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6C6E5114-ABDD-454C-A4B4-0D10B09362B3}" xr6:coauthVersionLast="47" xr6:coauthVersionMax="47" xr10:uidLastSave="{00000000-0000-0000-0000-000000000000}"/>
  <bookViews>
    <workbookView xWindow="0" yWindow="500" windowWidth="38400" windowHeight="21100" firstSheet="11" activeTab="2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5" l="1"/>
  <c r="J18" i="35" s="1"/>
  <c r="I18" i="15" l="1"/>
  <c r="J18" i="15" s="1"/>
  <c r="I18" i="19"/>
  <c r="J18" i="19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5" i="49" l="1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C4" i="49"/>
  <c r="D4" i="49"/>
  <c r="D3" i="49"/>
  <c r="C3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8" i="49"/>
  <c r="J9" i="49"/>
  <c r="J4" i="49"/>
  <c r="J5" i="49"/>
  <c r="J6" i="49"/>
  <c r="J7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Q6" i="24" a="1"/>
  <c r="Q6" i="22" a="1"/>
  <c r="Q6" i="36" a="1"/>
  <c r="Q6" i="32" a="1"/>
  <c r="Q6" i="35" a="1"/>
  <c r="Q6" i="28" a="1"/>
  <c r="Q6" i="33" a="1"/>
  <c r="Q6" i="17" a="1"/>
  <c r="Q6" i="41" a="1"/>
  <c r="Q6" i="40" a="1"/>
  <c r="Q6" i="43" a="1"/>
  <c r="Q6" i="27" a="1"/>
  <c r="Q6" i="29" a="1"/>
  <c r="Q6" i="31" a="1"/>
  <c r="Q6" i="42" a="1"/>
  <c r="Q6" i="18" a="1"/>
  <c r="Q6" i="11" a="1"/>
  <c r="Q6" i="37" a="1"/>
  <c r="Q6" i="39" a="1"/>
  <c r="Q6" i="19" a="1"/>
  <c r="Q6" i="21" a="1"/>
  <c r="Q6" i="16" a="1"/>
  <c r="Q6" i="14" a="1"/>
  <c r="Q6" i="26" a="1"/>
  <c r="Q6" i="23" a="1"/>
  <c r="Q6" i="38" a="1"/>
  <c r="Q6" i="34" a="1"/>
  <c r="Q6" i="30" a="1"/>
  <c r="Q6" i="15" a="1"/>
  <c r="Q6" i="42" l="1"/>
  <c r="Q6" i="33"/>
  <c r="Q6" i="14"/>
  <c r="Q6" i="34"/>
  <c r="Q6" i="41"/>
  <c r="Q6" i="18"/>
  <c r="Q6" i="24"/>
  <c r="Q6" i="40"/>
  <c r="Q6" i="32"/>
  <c r="F5" i="32" s="1"/>
  <c r="Q6" i="23"/>
  <c r="Q6" i="43"/>
  <c r="Q6" i="16"/>
  <c r="Q6" i="31"/>
  <c r="Q6" i="22"/>
  <c r="Q6" i="19"/>
  <c r="F5" i="19" s="1"/>
  <c r="Q6" i="15"/>
  <c r="F5" i="15" s="1"/>
  <c r="Q6" i="39"/>
  <c r="F5" i="39" s="1"/>
  <c r="Q6" i="30"/>
  <c r="Q6" i="21"/>
  <c r="Q6" i="26"/>
  <c r="Q6" i="38"/>
  <c r="Q6" i="29"/>
  <c r="Q6" i="11"/>
  <c r="F5" i="11" s="1"/>
  <c r="Q6" i="35"/>
  <c r="Q6" i="37"/>
  <c r="Q6" i="28"/>
  <c r="Q6" i="17"/>
  <c r="F5" i="17" s="1"/>
  <c r="Q6" i="36"/>
  <c r="F5" i="36" s="1"/>
  <c r="Q6" i="27"/>
  <c r="F5" i="27" s="1"/>
  <c r="Q6" i="20"/>
  <c r="F3" i="39" l="1"/>
  <c r="F5" i="34"/>
  <c r="F3" i="34" s="1"/>
  <c r="F17" i="34" s="1"/>
  <c r="F12" i="34" s="1"/>
  <c r="F18" i="34" s="1"/>
  <c r="F5" i="18"/>
  <c r="F3" i="18" s="1"/>
  <c r="H6" i="34"/>
  <c r="F5" i="29"/>
  <c r="F3" i="29" s="1"/>
  <c r="F17" i="29" s="1"/>
  <c r="F12" i="29" s="1"/>
  <c r="F18" i="29" s="1"/>
  <c r="H6" i="29"/>
  <c r="O9" i="40" a="1"/>
  <c r="P10" i="15" a="1"/>
  <c r="P10" i="26" a="1"/>
  <c r="O10" i="35" a="1"/>
  <c r="P4" i="20" a="1"/>
  <c r="P9" i="33" a="1"/>
  <c r="Q9" i="24" a="1"/>
  <c r="O4" i="35" a="1"/>
  <c r="O2" i="22" a="1"/>
  <c r="O9" i="17" a="1"/>
  <c r="O11" i="26" a="1"/>
  <c r="O2" i="39" a="1"/>
  <c r="O2" i="30" a="1"/>
  <c r="P11" i="21" a="1"/>
  <c r="P8" i="23" a="1"/>
  <c r="O5" i="18" a="1"/>
  <c r="P10" i="16" a="1"/>
  <c r="Q4" i="33" a="1"/>
  <c r="O11" i="36" a="1"/>
  <c r="Q9" i="30" a="1"/>
  <c r="Q3" i="26" a="1"/>
  <c r="O10" i="39" a="1"/>
  <c r="O11" i="27" a="1"/>
  <c r="O10" i="23" a="1"/>
  <c r="Q10" i="38" a="1"/>
  <c r="Q10" i="11" a="1"/>
  <c r="Q3" i="30" a="1"/>
  <c r="Q2" i="17" a="1"/>
  <c r="O8" i="35" a="1"/>
  <c r="P10" i="30" a="1"/>
  <c r="P3" i="14" a="1"/>
  <c r="O4" i="36" a="1"/>
  <c r="Q4" i="21" a="1"/>
  <c r="P3" i="19" a="1"/>
  <c r="P5" i="21" a="1"/>
  <c r="Q3" i="43" a="1"/>
  <c r="P5" i="31" a="1"/>
  <c r="O5" i="21" a="1"/>
  <c r="P11" i="24" a="1"/>
  <c r="Q9" i="35" a="1"/>
  <c r="Q2" i="15" a="1"/>
  <c r="O4" i="43" a="1"/>
  <c r="Q2" i="37" a="1"/>
  <c r="Q7" i="32" a="1"/>
  <c r="Q9" i="17" a="1"/>
  <c r="O2" i="32" a="1"/>
  <c r="P3" i="36" a="1"/>
  <c r="Q10" i="14" a="1"/>
  <c r="P10" i="40" a="1"/>
  <c r="O3" i="11" a="1"/>
  <c r="O5" i="43" a="1"/>
  <c r="P11" i="32" a="1"/>
  <c r="P9" i="28" a="1"/>
  <c r="Q3" i="27" a="1"/>
  <c r="O9" i="31" a="1"/>
  <c r="O2" i="41" a="1"/>
  <c r="Q2" i="41" a="1"/>
  <c r="O8" i="24" a="1"/>
  <c r="Q3" i="24" a="1"/>
  <c r="P10" i="14" a="1"/>
  <c r="P8" i="21" a="1"/>
  <c r="Q3" i="15" a="1"/>
  <c r="O4" i="42" a="1"/>
  <c r="Q4" i="26" a="1"/>
  <c r="P11" i="31" a="1"/>
  <c r="Q9" i="34" a="1"/>
  <c r="P5" i="33" a="1"/>
  <c r="Q3" i="42" a="1"/>
  <c r="O3" i="16" a="1"/>
  <c r="O5" i="39" a="1"/>
  <c r="Q7" i="30" a="1"/>
  <c r="Q10" i="22" a="1"/>
  <c r="Q7" i="37" a="1"/>
  <c r="Q3" i="34" a="1"/>
  <c r="O2" i="16" a="1"/>
  <c r="Q9" i="40" a="1"/>
  <c r="Q3" i="22" a="1"/>
  <c r="Q4" i="31" a="1"/>
  <c r="Q9" i="39" a="1"/>
  <c r="O8" i="43" a="1"/>
  <c r="O5" i="15" a="1"/>
  <c r="O4" i="20" a="1"/>
  <c r="P5" i="35" a="1"/>
  <c r="O10" i="40" a="1"/>
  <c r="Q9" i="15" a="1"/>
  <c r="Q9" i="14" a="1"/>
  <c r="O5" i="24" a="1"/>
  <c r="Q3" i="18" a="1"/>
  <c r="P8" i="43" a="1"/>
  <c r="O10" i="38" a="1"/>
  <c r="O5" i="23" a="1"/>
  <c r="O10" i="33" a="1"/>
  <c r="P9" i="39" a="1"/>
  <c r="P11" i="40" a="1"/>
  <c r="O11" i="37" a="1"/>
  <c r="P10" i="28" a="1"/>
  <c r="Q9" i="32" a="1"/>
  <c r="P11" i="16" a="1"/>
  <c r="O3" i="34" a="1"/>
  <c r="P8" i="36" a="1"/>
  <c r="P10" i="22" a="1"/>
  <c r="P5" i="42" a="1"/>
  <c r="P11" i="20" a="1"/>
  <c r="O3" i="42" a="1"/>
  <c r="P10" i="19" a="1"/>
  <c r="O4" i="40" a="1"/>
  <c r="P9" i="26" a="1"/>
  <c r="Q9" i="20" a="1"/>
  <c r="P5" i="27" a="1"/>
  <c r="O8" i="21" a="1"/>
  <c r="P3" i="35" a="1"/>
  <c r="O10" i="30" a="1"/>
  <c r="P11" i="35" a="1"/>
  <c r="O10" i="28" a="1"/>
  <c r="P11" i="30" a="1"/>
  <c r="O3" i="19" a="1"/>
  <c r="Q7" i="15" a="1"/>
  <c r="Q7" i="35" a="1"/>
  <c r="O11" i="22" a="1"/>
  <c r="Q2" i="26" a="1"/>
  <c r="O11" i="43" a="1"/>
  <c r="P11" i="36" a="1"/>
  <c r="P5" i="36" a="1"/>
  <c r="O2" i="29" a="1"/>
  <c r="O10" i="26" a="1"/>
  <c r="O5" i="17" a="1"/>
  <c r="O9" i="42" a="1"/>
  <c r="O4" i="41" a="1"/>
  <c r="O10" i="34" a="1"/>
  <c r="P5" i="41" a="1"/>
  <c r="P8" i="40" a="1"/>
  <c r="O4" i="29" a="1"/>
  <c r="O9" i="11" a="1"/>
  <c r="P11" i="42" a="1"/>
  <c r="Q2" i="18" a="1"/>
  <c r="Q3" i="14" a="1"/>
  <c r="P9" i="35" a="1"/>
  <c r="O8" i="38" a="1"/>
  <c r="P4" i="26" a="1"/>
  <c r="O10" i="43" a="1"/>
  <c r="P11" i="18" a="1"/>
  <c r="P10" i="23" a="1"/>
  <c r="P3" i="38" a="1"/>
  <c r="P8" i="19" a="1"/>
  <c r="O4" i="30" a="1"/>
  <c r="P4" i="15" a="1"/>
  <c r="O5" i="34" a="1"/>
  <c r="Q2" i="43" a="1"/>
  <c r="Q10" i="27" a="1"/>
  <c r="Q7" i="26" a="1"/>
  <c r="O11" i="15" a="1"/>
  <c r="P4" i="27" a="1"/>
  <c r="O9" i="16" a="1"/>
  <c r="O11" i="18" a="1"/>
  <c r="O3" i="43" a="1"/>
  <c r="O8" i="41" a="1"/>
  <c r="Q3" i="39" a="1"/>
  <c r="O9" i="36" a="1"/>
  <c r="O9" i="18" a="1"/>
  <c r="O8" i="22" a="1"/>
  <c r="O2" i="21" a="1"/>
  <c r="O10" i="18" a="1"/>
  <c r="O9" i="24" a="1"/>
  <c r="P5" i="30" a="1"/>
  <c r="Q10" i="40" a="1"/>
  <c r="P9" i="43" a="1"/>
  <c r="O2" i="17" a="1"/>
  <c r="Q2" i="16" a="1"/>
  <c r="O5" i="31" a="1"/>
  <c r="O11" i="14" a="1"/>
  <c r="P8" i="11" a="1"/>
  <c r="O4" i="37" a="1"/>
  <c r="P4" i="19" a="1"/>
  <c r="Q2" i="42" a="1"/>
  <c r="P9" i="34" a="1"/>
  <c r="Q3" i="37" a="1"/>
  <c r="O9" i="21" a="1"/>
  <c r="P5" i="23" a="1"/>
  <c r="P4" i="24" a="1"/>
  <c r="P9" i="15" a="1"/>
  <c r="P3" i="23" a="1"/>
  <c r="O8" i="19" a="1"/>
  <c r="P4" i="41" a="1"/>
  <c r="O9" i="19" a="1"/>
  <c r="P11" i="37" a="1"/>
  <c r="P10" i="27" a="1"/>
  <c r="O5" i="22" a="1"/>
  <c r="O5" i="11" a="1"/>
  <c r="Q2" i="23" a="1"/>
  <c r="P3" i="26" a="1"/>
  <c r="P10" i="32" a="1"/>
  <c r="O10" i="42" a="1"/>
  <c r="P4" i="35" a="1"/>
  <c r="O11" i="31" a="1"/>
  <c r="O10" i="16" a="1"/>
  <c r="Q7" i="33" a="1"/>
  <c r="Q7" i="39" a="1"/>
  <c r="O8" i="37" a="1"/>
  <c r="P10" i="38" a="1"/>
  <c r="O2" i="35" a="1"/>
  <c r="O4" i="14" a="1"/>
  <c r="Q4" i="18" a="1"/>
  <c r="P5" i="24" a="1"/>
  <c r="P5" i="18" a="1"/>
  <c r="O5" i="42" a="1"/>
  <c r="P5" i="32" a="1"/>
  <c r="O9" i="22" a="1"/>
  <c r="P5" i="39" a="1"/>
  <c r="Q10" i="15" a="1"/>
  <c r="O9" i="43" a="1"/>
  <c r="O4" i="11" a="1"/>
  <c r="Q10" i="17" a="1"/>
  <c r="O2" i="38" a="1"/>
  <c r="Q3" i="40" a="1"/>
  <c r="O3" i="24" a="1"/>
  <c r="Q7" i="42" a="1"/>
  <c r="P8" i="18" a="1"/>
  <c r="Q10" i="28" a="1"/>
  <c r="Q7" i="29" a="1"/>
  <c r="P5" i="40" a="1"/>
  <c r="P11" i="15" a="1"/>
  <c r="Q4" i="11" a="1"/>
  <c r="Q7" i="38" a="1"/>
  <c r="O11" i="24" a="1"/>
  <c r="P10" i="42" a="1"/>
  <c r="P4" i="39" a="1"/>
  <c r="P8" i="20" a="1"/>
  <c r="O2" i="43" a="1"/>
  <c r="P10" i="31" a="1"/>
  <c r="O11" i="33" a="1"/>
  <c r="O3" i="37" a="1"/>
  <c r="P4" i="14" a="1"/>
  <c r="Q9" i="21" a="1"/>
  <c r="P3" i="40" a="1"/>
  <c r="Q2" i="19" a="1"/>
  <c r="P11" i="26" a="1"/>
  <c r="O11" i="41" a="1"/>
  <c r="Q4" i="43" a="1"/>
  <c r="Q2" i="30" a="1"/>
  <c r="P5" i="34" a="1"/>
  <c r="P5" i="20" a="1"/>
  <c r="P10" i="20" a="1"/>
  <c r="O4" i="21" a="1"/>
  <c r="Q3" i="17" a="1"/>
  <c r="O2" i="19" a="1"/>
  <c r="Q2" i="34" a="1"/>
  <c r="Q9" i="28" a="1"/>
  <c r="P8" i="41" a="1"/>
  <c r="Q7" i="28" a="1"/>
  <c r="Q10" i="43" a="1"/>
  <c r="Q10" i="39" a="1"/>
  <c r="P11" i="39" a="1"/>
  <c r="O2" i="15" a="1"/>
  <c r="O4" i="39" a="1"/>
  <c r="Q9" i="19" a="1"/>
  <c r="O8" i="32" a="1"/>
  <c r="O4" i="32" a="1"/>
  <c r="Q9" i="16" a="1"/>
  <c r="O9" i="14" a="1"/>
  <c r="Q10" i="23" a="1"/>
  <c r="P3" i="29" a="1"/>
  <c r="Q7" i="31" a="1"/>
  <c r="Q7" i="21" a="1"/>
  <c r="P11" i="34" a="1"/>
  <c r="O3" i="41" a="1"/>
  <c r="P9" i="17" a="1"/>
  <c r="Q4" i="28" a="1"/>
  <c r="O5" i="14" a="1"/>
  <c r="O2" i="37" a="1"/>
  <c r="O5" i="19" a="1"/>
  <c r="Q3" i="31" a="1"/>
  <c r="P5" i="22" a="1"/>
  <c r="Q7" i="22" a="1"/>
  <c r="O2" i="34" a="1"/>
  <c r="P4" i="33" a="1"/>
  <c r="O9" i="38" a="1"/>
  <c r="Q3" i="33" a="1"/>
  <c r="O4" i="19" a="1"/>
  <c r="O8" i="30" a="1"/>
  <c r="P11" i="11" a="1"/>
  <c r="Q2" i="38" a="1"/>
  <c r="Q10" i="34" a="1"/>
  <c r="O4" i="31" a="1"/>
  <c r="O2" i="27" a="1"/>
  <c r="O8" i="28" a="1"/>
  <c r="O2" i="33" a="1"/>
  <c r="P4" i="38" a="1"/>
  <c r="Q7" i="41" a="1"/>
  <c r="O11" i="39" a="1"/>
  <c r="Q9" i="23" a="1"/>
  <c r="P8" i="17" a="1"/>
  <c r="O4" i="34" a="1"/>
  <c r="P4" i="37" a="1"/>
  <c r="P9" i="16" a="1"/>
  <c r="O9" i="30" a="1"/>
  <c r="P9" i="24" a="1"/>
  <c r="O9" i="34" a="1"/>
  <c r="O11" i="17" a="1"/>
  <c r="P4" i="36" a="1"/>
  <c r="Q7" i="11" a="1"/>
  <c r="O9" i="33" a="1"/>
  <c r="Q7" i="23" a="1"/>
  <c r="O4" i="27" a="1"/>
  <c r="P8" i="27" a="1"/>
  <c r="Q10" i="16" a="1"/>
  <c r="O3" i="23" a="1"/>
  <c r="P9" i="36" a="1"/>
  <c r="O8" i="36" a="1"/>
  <c r="P8" i="30" a="1"/>
  <c r="Q4" i="24" a="1"/>
  <c r="O8" i="27" a="1"/>
  <c r="O3" i="14" a="1"/>
  <c r="O8" i="33" a="1"/>
  <c r="Q3" i="38" a="1"/>
  <c r="O9" i="32" a="1"/>
  <c r="O9" i="28" a="1"/>
  <c r="P11" i="23" a="1"/>
  <c r="P4" i="43" a="1"/>
  <c r="O10" i="14" a="1"/>
  <c r="Q4" i="16" a="1"/>
  <c r="Q2" i="32" a="1"/>
  <c r="P5" i="17" a="1"/>
  <c r="O11" i="19" a="1"/>
  <c r="P4" i="18" a="1"/>
  <c r="P8" i="35" a="1"/>
  <c r="Q4" i="37" a="1"/>
  <c r="Q4" i="42" a="1"/>
  <c r="P4" i="31" a="1"/>
  <c r="O2" i="40" a="1"/>
  <c r="P4" i="30" a="1"/>
  <c r="O8" i="34" a="1"/>
  <c r="Q10" i="21" a="1"/>
  <c r="Q9" i="36" a="1"/>
  <c r="P11" i="29" a="1"/>
  <c r="Q9" i="27" a="1"/>
  <c r="Q2" i="39" a="1"/>
  <c r="Q9" i="26" a="1"/>
  <c r="O8" i="26" a="1"/>
  <c r="Q2" i="21" a="1"/>
  <c r="O3" i="40" a="1"/>
  <c r="Q10" i="41" a="1"/>
  <c r="O2" i="18" a="1"/>
  <c r="Q10" i="33" a="1"/>
  <c r="O2" i="11" a="1"/>
  <c r="O4" i="33" a="1"/>
  <c r="O10" i="22" a="1"/>
  <c r="Q10" i="18" a="1"/>
  <c r="O11" i="23" a="1"/>
  <c r="O5" i="40" a="1"/>
  <c r="O11" i="42" a="1"/>
  <c r="Q9" i="37" a="1"/>
  <c r="O9" i="26" a="1"/>
  <c r="Q7" i="24" a="1"/>
  <c r="O4" i="22" a="1"/>
  <c r="P9" i="40" a="1"/>
  <c r="O9" i="15" a="1"/>
  <c r="P3" i="39" a="1"/>
  <c r="Q4" i="41" a="1"/>
  <c r="P3" i="32" a="1"/>
  <c r="O3" i="21" a="1"/>
  <c r="O9" i="20" a="1"/>
  <c r="Q9" i="11" a="1"/>
  <c r="P9" i="32" a="1"/>
  <c r="P9" i="37" a="1"/>
  <c r="Q2" i="24" a="1"/>
  <c r="P9" i="22" a="1"/>
  <c r="P10" i="18" a="1"/>
  <c r="O11" i="40" a="1"/>
  <c r="O3" i="15" a="1"/>
  <c r="Q9" i="43" a="1"/>
  <c r="Q2" i="22" a="1"/>
  <c r="P10" i="43" a="1"/>
  <c r="Q7" i="34" a="1"/>
  <c r="P5" i="29" a="1"/>
  <c r="P3" i="11" a="1"/>
  <c r="O8" i="42" a="1"/>
  <c r="Q7" i="18" a="1"/>
  <c r="Q9" i="22" a="1"/>
  <c r="P11" i="14" a="1"/>
  <c r="O10" i="37" a="1"/>
  <c r="Q9" i="41" a="1"/>
  <c r="O5" i="16" a="1"/>
  <c r="Q4" i="39" a="1"/>
  <c r="O11" i="34" a="1"/>
  <c r="Q9" i="31" a="1"/>
  <c r="Q7" i="14" a="1"/>
  <c r="O2" i="31" a="1"/>
  <c r="P3" i="18" a="1"/>
  <c r="Q4" i="35" a="1"/>
  <c r="P11" i="41" a="1"/>
  <c r="Q3" i="35" a="1"/>
  <c r="O10" i="19" a="1"/>
  <c r="O3" i="39" a="1"/>
  <c r="P5" i="11" a="1"/>
  <c r="Q3" i="11" a="1"/>
  <c r="P9" i="14" a="1"/>
  <c r="O11" i="30" a="1"/>
  <c r="Q10" i="19" a="1"/>
  <c r="P9" i="42" a="1"/>
  <c r="O10" i="32" a="1"/>
  <c r="P9" i="18" a="1"/>
  <c r="O4" i="17" a="1"/>
  <c r="Q10" i="35" a="1"/>
  <c r="P5" i="38" a="1"/>
  <c r="Q10" i="26" a="1"/>
  <c r="Q9" i="42" a="1"/>
  <c r="Q4" i="14" a="1"/>
  <c r="P11" i="28" a="1"/>
  <c r="P9" i="31" a="1"/>
  <c r="Q9" i="38" a="1"/>
  <c r="P8" i="15" a="1"/>
  <c r="Q2" i="35" a="1"/>
  <c r="O10" i="15" a="1"/>
  <c r="Q3" i="20" a="1"/>
  <c r="Q4" i="20" a="1"/>
  <c r="P8" i="38" a="1"/>
  <c r="P9" i="19" a="1"/>
  <c r="P10" i="11" a="1"/>
  <c r="P8" i="33" a="1"/>
  <c r="P3" i="22" a="1"/>
  <c r="P9" i="38" a="1"/>
  <c r="P5" i="15" a="1"/>
  <c r="P3" i="27" a="1"/>
  <c r="O4" i="24" a="1"/>
  <c r="O5" i="35" a="1"/>
  <c r="Q4" i="40" a="1"/>
  <c r="O5" i="38" a="1"/>
  <c r="P3" i="31" a="1"/>
  <c r="Q10" i="37" a="1"/>
  <c r="P3" i="15" a="1"/>
  <c r="Q10" i="42" a="1"/>
  <c r="Q7" i="16" a="1"/>
  <c r="Q9" i="29" a="1"/>
  <c r="O3" i="28" a="1"/>
  <c r="O8" i="14" a="1"/>
  <c r="O10" i="11" a="1"/>
  <c r="P8" i="14" a="1"/>
  <c r="O5" i="37" a="1"/>
  <c r="O8" i="11" a="1"/>
  <c r="O5" i="26" a="1"/>
  <c r="P8" i="32" a="1"/>
  <c r="Q4" i="23" a="1"/>
  <c r="P9" i="11" a="1"/>
  <c r="Q3" i="32" a="1"/>
  <c r="O10" i="20" a="1"/>
  <c r="O8" i="23" a="1"/>
  <c r="O3" i="29" a="1"/>
  <c r="O5" i="27" a="1"/>
  <c r="Q4" i="32" a="1"/>
  <c r="O3" i="30" a="1"/>
  <c r="P9" i="20" a="1"/>
  <c r="P10" i="41" a="1"/>
  <c r="Q3" i="36" a="1"/>
  <c r="O2" i="26" a="1"/>
  <c r="P9" i="27" a="1"/>
  <c r="O9" i="35" a="1"/>
  <c r="Q9" i="33" a="1"/>
  <c r="P10" i="36" a="1"/>
  <c r="O11" i="28" a="1"/>
  <c r="O3" i="26" a="1"/>
  <c r="P8" i="16" a="1"/>
  <c r="O3" i="31" a="1"/>
  <c r="P8" i="31" a="1"/>
  <c r="P5" i="14" a="1"/>
  <c r="O8" i="29" a="1"/>
  <c r="P3" i="37" a="1"/>
  <c r="O11" i="32" a="1"/>
  <c r="O10" i="24" a="1"/>
  <c r="Q4" i="38" a="1"/>
  <c r="P8" i="28" a="1"/>
  <c r="P11" i="19" a="1"/>
  <c r="O2" i="23" a="1"/>
  <c r="P3" i="20" a="1"/>
  <c r="Q3" i="41" a="1"/>
  <c r="P3" i="16" a="1"/>
  <c r="O2" i="24" a="1"/>
  <c r="Q3" i="16" a="1"/>
  <c r="O2" i="36" a="1"/>
  <c r="P10" i="24" a="1"/>
  <c r="Q4" i="27" a="1"/>
  <c r="O8" i="16" a="1"/>
  <c r="Q7" i="17" a="1"/>
  <c r="P9" i="23" a="1"/>
  <c r="O4" i="28" a="1"/>
  <c r="P5" i="43" a="1"/>
  <c r="O3" i="38" a="1"/>
  <c r="O11" i="35" a="1"/>
  <c r="P3" i="43" a="1"/>
  <c r="P8" i="37" a="1"/>
  <c r="Q2" i="31" a="1"/>
  <c r="O9" i="29" a="1"/>
  <c r="P11" i="38" a="1"/>
  <c r="Q7" i="36" a="1"/>
  <c r="P4" i="21" a="1"/>
  <c r="Q10" i="32" a="1"/>
  <c r="O10" i="31" a="1"/>
  <c r="O10" i="17" a="1"/>
  <c r="P10" i="21" a="1"/>
  <c r="P8" i="22" a="1"/>
  <c r="O2" i="14" a="1"/>
  <c r="Q2" i="20" a="1"/>
  <c r="P4" i="40" a="1"/>
  <c r="P10" i="17" a="1"/>
  <c r="P10" i="34" a="1"/>
  <c r="P3" i="24" a="1"/>
  <c r="P4" i="17" a="1"/>
  <c r="O8" i="39" a="1"/>
  <c r="P3" i="42" a="1"/>
  <c r="O3" i="20" a="1"/>
  <c r="O3" i="27" a="1"/>
  <c r="P4" i="29" a="1"/>
  <c r="P5" i="19" a="1"/>
  <c r="O3" i="32" a="1"/>
  <c r="O3" i="36" a="1"/>
  <c r="O3" i="33" a="1"/>
  <c r="O11" i="21" a="1"/>
  <c r="O4" i="38" a="1"/>
  <c r="O3" i="22" a="1"/>
  <c r="P4" i="16" a="1"/>
  <c r="Q7" i="40" a="1"/>
  <c r="Q7" i="27" a="1"/>
  <c r="Q4" i="30" a="1"/>
  <c r="O3" i="18" a="1"/>
  <c r="P10" i="37" a="1"/>
  <c r="P11" i="22" a="1"/>
  <c r="O8" i="18" a="1"/>
  <c r="O3" i="17" a="1"/>
  <c r="P3" i="17" a="1"/>
  <c r="O10" i="36" a="1"/>
  <c r="P8" i="34" a="1"/>
  <c r="O5" i="29" a="1"/>
  <c r="Q3" i="21" a="1"/>
  <c r="Q3" i="28" a="1"/>
  <c r="O4" i="18" a="1"/>
  <c r="O8" i="17" a="1"/>
  <c r="P5" i="26" a="1"/>
  <c r="O11" i="29" a="1"/>
  <c r="P3" i="33" a="1"/>
  <c r="P11" i="43" a="1"/>
  <c r="O2" i="28" a="1"/>
  <c r="O8" i="15" a="1"/>
  <c r="O11" i="38" a="1"/>
  <c r="Q4" i="15" a="1"/>
  <c r="Q7" i="43" a="1"/>
  <c r="Q9" i="18" a="1"/>
  <c r="Q3" i="23" a="1"/>
  <c r="O5" i="32" a="1"/>
  <c r="O3" i="35" a="1"/>
  <c r="P9" i="30" a="1"/>
  <c r="P3" i="34" a="1"/>
  <c r="P3" i="41" a="1"/>
  <c r="O4" i="16" a="1"/>
  <c r="P8" i="39" a="1"/>
  <c r="Q2" i="36" a="1"/>
  <c r="O10" i="21" a="1"/>
  <c r="O5" i="28" a="1"/>
  <c r="Q10" i="36" a="1"/>
  <c r="O11" i="20" a="1"/>
  <c r="O5" i="36" a="1"/>
  <c r="Q10" i="29" a="1"/>
  <c r="P8" i="24" a="1"/>
  <c r="O4" i="26" a="1"/>
  <c r="Q2" i="28" a="1"/>
  <c r="P4" i="32" a="1"/>
  <c r="Q3" i="19" a="1"/>
  <c r="P8" i="26" a="1"/>
  <c r="Q2" i="29" a="1"/>
  <c r="P8" i="42" a="1"/>
  <c r="P4" i="34" a="1"/>
  <c r="O8" i="20" a="1"/>
  <c r="Q4" i="19" a="1"/>
  <c r="P10" i="33" a="1"/>
  <c r="P3" i="30" a="1"/>
  <c r="Q2" i="11" a="1"/>
  <c r="O5" i="41" a="1"/>
  <c r="Q4" i="36" a="1"/>
  <c r="Q2" i="14" a="1"/>
  <c r="P9" i="21" a="1"/>
  <c r="Q10" i="24" a="1"/>
  <c r="Q4" i="22" a="1"/>
  <c r="O4" i="15" a="1"/>
  <c r="O9" i="37" a="1"/>
  <c r="P10" i="35" a="1"/>
  <c r="Q4" i="17" a="1"/>
  <c r="O10" i="27" a="1"/>
  <c r="O9" i="41" a="1"/>
  <c r="Q4" i="34" a="1"/>
  <c r="Q4" i="29" a="1"/>
  <c r="O10" i="41" a="1"/>
  <c r="O8" i="40" a="1"/>
  <c r="P11" i="17" a="1"/>
  <c r="Q2" i="33" a="1"/>
  <c r="O5" i="20" a="1"/>
  <c r="O4" i="23" a="1"/>
  <c r="Q7" i="19" a="1"/>
  <c r="P5" i="28" a="1"/>
  <c r="O2" i="42" a="1"/>
  <c r="P10" i="39" a="1"/>
  <c r="P4" i="42" a="1"/>
  <c r="O10" i="29" a="1"/>
  <c r="P3" i="28" a="1"/>
  <c r="P4" i="11" a="1"/>
  <c r="P8" i="29" a="1"/>
  <c r="O9" i="23" a="1"/>
  <c r="Q2" i="40" a="1"/>
  <c r="P11" i="33" a="1"/>
  <c r="P4" i="22" a="1"/>
  <c r="P3" i="21" a="1"/>
  <c r="O9" i="27" a="1"/>
  <c r="P5" i="16" a="1"/>
  <c r="O5" i="33" a="1"/>
  <c r="P4" i="23" a="1"/>
  <c r="Q2" i="27" a="1"/>
  <c r="P9" i="29" a="1"/>
  <c r="Q10" i="20" a="1"/>
  <c r="Q7" i="20" a="1"/>
  <c r="O11" i="11" a="1"/>
  <c r="Q3" i="29" a="1"/>
  <c r="P9" i="41" a="1"/>
  <c r="O8" i="31" a="1"/>
  <c r="Q10" i="31" a="1"/>
  <c r="O11" i="16" a="1"/>
  <c r="O9" i="39" a="1"/>
  <c r="P10" i="29" a="1"/>
  <c r="P11" i="27" a="1"/>
  <c r="P4" i="28" a="1"/>
  <c r="O5" i="30" a="1"/>
  <c r="O2" i="20" a="1"/>
  <c r="P5" i="37" a="1"/>
  <c r="Q10" i="30" a="1"/>
  <c r="O3" i="31" l="1"/>
  <c r="Q2" i="30"/>
  <c r="F5" i="21"/>
  <c r="P9" i="32"/>
  <c r="O10" i="27"/>
  <c r="O9" i="24"/>
  <c r="O10" i="17"/>
  <c r="Q2" i="42"/>
  <c r="P10" i="23"/>
  <c r="Q4" i="30"/>
  <c r="P4" i="27"/>
  <c r="P9" i="29"/>
  <c r="P8" i="37"/>
  <c r="Q7" i="29"/>
  <c r="O10" i="23"/>
  <c r="Q3" i="35"/>
  <c r="O4" i="22"/>
  <c r="P10" i="33"/>
  <c r="Q4" i="24"/>
  <c r="Q10" i="21"/>
  <c r="O3" i="39"/>
  <c r="P8" i="23"/>
  <c r="P8" i="42"/>
  <c r="P10" i="22"/>
  <c r="O11" i="31"/>
  <c r="Q10" i="40"/>
  <c r="O5" i="35"/>
  <c r="O8" i="19"/>
  <c r="O9" i="32"/>
  <c r="Q2" i="18"/>
  <c r="O10" i="37"/>
  <c r="P11" i="36"/>
  <c r="P9" i="16"/>
  <c r="O10" i="32"/>
  <c r="O3" i="21"/>
  <c r="O2" i="31"/>
  <c r="Q2" i="31"/>
  <c r="P4" i="22"/>
  <c r="P9" i="41"/>
  <c r="P8" i="34"/>
  <c r="O5" i="33"/>
  <c r="O4" i="43"/>
  <c r="P5" i="20"/>
  <c r="P11" i="33"/>
  <c r="O5" i="27"/>
  <c r="Q10" i="37"/>
  <c r="Q3" i="28"/>
  <c r="P9" i="31"/>
  <c r="O11" i="40"/>
  <c r="Q2" i="39"/>
  <c r="P9" i="42"/>
  <c r="Q10" i="26"/>
  <c r="P4" i="24"/>
  <c r="O3" i="32"/>
  <c r="O2" i="37"/>
  <c r="O8" i="21"/>
  <c r="P5" i="21"/>
  <c r="P4" i="38"/>
  <c r="P10" i="27"/>
  <c r="O5" i="18"/>
  <c r="O4" i="29"/>
  <c r="Q7" i="38"/>
  <c r="O5" i="16"/>
  <c r="O8" i="32"/>
  <c r="O8" i="42"/>
  <c r="O11" i="24"/>
  <c r="O5" i="30"/>
  <c r="O8" i="16"/>
  <c r="O8" i="34"/>
  <c r="Q7" i="36"/>
  <c r="P11" i="28"/>
  <c r="P10" i="31"/>
  <c r="P3" i="18"/>
  <c r="P4" i="18"/>
  <c r="P9" i="21"/>
  <c r="F5" i="28"/>
  <c r="O4" i="32"/>
  <c r="Q4" i="38"/>
  <c r="O3" i="15"/>
  <c r="P11" i="15"/>
  <c r="P10" i="38"/>
  <c r="F5" i="31"/>
  <c r="O4" i="17"/>
  <c r="O5" i="20"/>
  <c r="O3" i="38"/>
  <c r="O11" i="17"/>
  <c r="O11" i="28"/>
  <c r="P9" i="28"/>
  <c r="O4" i="11"/>
  <c r="Q4" i="42"/>
  <c r="P5" i="11"/>
  <c r="O10" i="30"/>
  <c r="P3" i="16"/>
  <c r="Q9" i="24"/>
  <c r="O5" i="32"/>
  <c r="O9" i="35"/>
  <c r="L6" i="29"/>
  <c r="N6" i="29" s="1"/>
  <c r="R6" i="29" s="1"/>
  <c r="O4" i="37"/>
  <c r="Q7" i="30"/>
  <c r="Q2" i="27"/>
  <c r="O5" i="37"/>
  <c r="Q2" i="34"/>
  <c r="B16" i="34" s="1"/>
  <c r="B17" i="34" s="1"/>
  <c r="B12" i="34" s="1"/>
  <c r="B18" i="34" s="1"/>
  <c r="O5" i="14"/>
  <c r="O3" i="17"/>
  <c r="Q4" i="28"/>
  <c r="O3" i="24"/>
  <c r="O3" i="19"/>
  <c r="Q2" i="24"/>
  <c r="P10" i="18"/>
  <c r="P8" i="30"/>
  <c r="Q10" i="35"/>
  <c r="O9" i="26"/>
  <c r="O3" i="11"/>
  <c r="O8" i="28"/>
  <c r="O9" i="43"/>
  <c r="P9" i="24"/>
  <c r="P9" i="27"/>
  <c r="O8" i="23"/>
  <c r="Q3" i="18"/>
  <c r="P4" i="41"/>
  <c r="O8" i="40"/>
  <c r="Q3" i="43"/>
  <c r="P9" i="20"/>
  <c r="Q7" i="35"/>
  <c r="Q2" i="33"/>
  <c r="Q7" i="42"/>
  <c r="O9" i="23"/>
  <c r="P3" i="39"/>
  <c r="O3" i="26"/>
  <c r="O4" i="40"/>
  <c r="O2" i="42"/>
  <c r="P5" i="42"/>
  <c r="P10" i="29"/>
  <c r="O11" i="30"/>
  <c r="P5" i="32"/>
  <c r="P4" i="19"/>
  <c r="O9" i="20"/>
  <c r="Q4" i="40"/>
  <c r="Q7" i="33"/>
  <c r="O3" i="30"/>
  <c r="Q9" i="38"/>
  <c r="Q7" i="15"/>
  <c r="H7" i="15" s="1"/>
  <c r="L7" i="15" s="1"/>
  <c r="N7" i="15" s="1"/>
  <c r="R7" i="15" s="1"/>
  <c r="P5" i="24"/>
  <c r="Q9" i="19"/>
  <c r="Q9" i="43"/>
  <c r="O2" i="39"/>
  <c r="O3" i="36"/>
  <c r="O9" i="27"/>
  <c r="Q4" i="18"/>
  <c r="Q9" i="21"/>
  <c r="Q10" i="18"/>
  <c r="Q7" i="26"/>
  <c r="P3" i="14"/>
  <c r="P9" i="37"/>
  <c r="P3" i="32"/>
  <c r="P8" i="24"/>
  <c r="O2" i="14"/>
  <c r="Q10" i="38"/>
  <c r="O5" i="11"/>
  <c r="P11" i="32"/>
  <c r="O10" i="14"/>
  <c r="O8" i="22"/>
  <c r="Q10" i="33"/>
  <c r="O11" i="32"/>
  <c r="Q2" i="17"/>
  <c r="Q9" i="37"/>
  <c r="P10" i="26"/>
  <c r="Q4" i="19"/>
  <c r="D2" i="19" s="1"/>
  <c r="D17" i="19" s="1"/>
  <c r="D12" i="19" s="1"/>
  <c r="D18" i="19" s="1"/>
  <c r="Q4" i="14"/>
  <c r="D2" i="14" s="1"/>
  <c r="D17" i="14" s="1"/>
  <c r="D12" i="14" s="1"/>
  <c r="P4" i="36"/>
  <c r="P4" i="32"/>
  <c r="O9" i="37"/>
  <c r="Q4" i="35"/>
  <c r="P5" i="40"/>
  <c r="O2" i="15"/>
  <c r="Q3" i="37"/>
  <c r="Q10" i="34"/>
  <c r="Q9" i="29"/>
  <c r="P8" i="36"/>
  <c r="P11" i="17"/>
  <c r="O10" i="22"/>
  <c r="O2" i="11"/>
  <c r="Q10" i="39"/>
  <c r="O3" i="23"/>
  <c r="O3" i="16"/>
  <c r="P8" i="22"/>
  <c r="Q4" i="16"/>
  <c r="P3" i="11"/>
  <c r="P5" i="14"/>
  <c r="O9" i="39"/>
  <c r="O4" i="38"/>
  <c r="O4" i="27"/>
  <c r="P9" i="43"/>
  <c r="Q7" i="11"/>
  <c r="O4" i="30"/>
  <c r="O10" i="24"/>
  <c r="O9" i="28"/>
  <c r="F5" i="38"/>
  <c r="O11" i="34"/>
  <c r="O10" i="19"/>
  <c r="O4" i="23"/>
  <c r="Q2" i="35"/>
  <c r="B16" i="35" s="1"/>
  <c r="Q3" i="21"/>
  <c r="O5" i="28"/>
  <c r="Q3" i="26"/>
  <c r="Q2" i="23"/>
  <c r="O3" i="40"/>
  <c r="Q10" i="15"/>
  <c r="O2" i="22"/>
  <c r="P8" i="21"/>
  <c r="P8" i="15"/>
  <c r="O5" i="29"/>
  <c r="O8" i="18"/>
  <c r="O9" i="14"/>
  <c r="O2" i="34"/>
  <c r="P3" i="30"/>
  <c r="F5" i="14"/>
  <c r="F3" i="14" s="1"/>
  <c r="F17" i="14" s="1"/>
  <c r="F12" i="14" s="1"/>
  <c r="F18" i="14" s="1"/>
  <c r="P3" i="19"/>
  <c r="O3" i="33"/>
  <c r="Q3" i="41"/>
  <c r="P3" i="22"/>
  <c r="P8" i="31"/>
  <c r="P3" i="36"/>
  <c r="Q3" i="11"/>
  <c r="O9" i="30"/>
  <c r="O5" i="23"/>
  <c r="O2" i="18"/>
  <c r="Q3" i="29"/>
  <c r="F5" i="37"/>
  <c r="P4" i="34"/>
  <c r="Q10" i="23"/>
  <c r="P4" i="28"/>
  <c r="Q4" i="22"/>
  <c r="Q9" i="42"/>
  <c r="O8" i="11"/>
  <c r="P5" i="18"/>
  <c r="O8" i="36"/>
  <c r="P8" i="41"/>
  <c r="O8" i="31"/>
  <c r="O4" i="35"/>
  <c r="Q2" i="40"/>
  <c r="P9" i="18"/>
  <c r="P5" i="43"/>
  <c r="O3" i="28"/>
  <c r="Q9" i="33"/>
  <c r="Q10" i="11"/>
  <c r="Q2" i="37"/>
  <c r="Q3" i="34"/>
  <c r="Q3" i="16"/>
  <c r="Q2" i="29"/>
  <c r="B16" i="29" s="1"/>
  <c r="B17" i="29" s="1"/>
  <c r="B12" i="29" s="1"/>
  <c r="B18" i="29" s="1"/>
  <c r="Q7" i="19"/>
  <c r="H7" i="19" s="1"/>
  <c r="L7" i="19" s="1"/>
  <c r="N7" i="19" s="1"/>
  <c r="R7" i="19" s="1"/>
  <c r="Q9" i="27"/>
  <c r="Q9" i="23"/>
  <c r="F5" i="22"/>
  <c r="P5" i="26"/>
  <c r="O4" i="33"/>
  <c r="P10" i="43"/>
  <c r="O8" i="27"/>
  <c r="Q10" i="19"/>
  <c r="Q4" i="36"/>
  <c r="Q10" i="28"/>
  <c r="O11" i="22"/>
  <c r="O11" i="39"/>
  <c r="F5" i="16"/>
  <c r="O5" i="15"/>
  <c r="Q7" i="14"/>
  <c r="H7" i="14" s="1"/>
  <c r="L7" i="14" s="1"/>
  <c r="N7" i="14" s="1"/>
  <c r="R7" i="14" s="1"/>
  <c r="P10" i="21"/>
  <c r="Q4" i="20"/>
  <c r="D2" i="20" s="1"/>
  <c r="D17" i="20" s="1"/>
  <c r="D12" i="20" s="1"/>
  <c r="D18" i="20" s="1"/>
  <c r="O4" i="19"/>
  <c r="Q9" i="14"/>
  <c r="O10" i="11"/>
  <c r="O2" i="20"/>
  <c r="O8" i="39"/>
  <c r="Q9" i="26"/>
  <c r="P4" i="37"/>
  <c r="P4" i="42"/>
  <c r="O9" i="42"/>
  <c r="Q3" i="39"/>
  <c r="O4" i="39"/>
  <c r="Q3" i="15"/>
  <c r="P8" i="28"/>
  <c r="Q2" i="28"/>
  <c r="P11" i="41"/>
  <c r="P4" i="11"/>
  <c r="O9" i="11"/>
  <c r="Q10" i="43"/>
  <c r="O5" i="38"/>
  <c r="O9" i="29"/>
  <c r="P10" i="32"/>
  <c r="O3" i="43"/>
  <c r="P3" i="21"/>
  <c r="P4" i="20"/>
  <c r="Q2" i="41"/>
  <c r="B16" i="41" s="1"/>
  <c r="B17" i="41" s="1"/>
  <c r="B12" i="41" s="1"/>
  <c r="B18" i="41" s="1"/>
  <c r="P4" i="15"/>
  <c r="P8" i="33"/>
  <c r="Q2" i="19"/>
  <c r="B16" i="19" s="1"/>
  <c r="L16" i="19" s="1"/>
  <c r="R16" i="19" s="1"/>
  <c r="P5" i="28"/>
  <c r="P8" i="20"/>
  <c r="O5" i="40"/>
  <c r="O5" i="17"/>
  <c r="P10" i="41"/>
  <c r="Q9" i="22"/>
  <c r="Q4" i="17"/>
  <c r="Q4" i="39"/>
  <c r="P10" i="15"/>
  <c r="F5" i="33"/>
  <c r="P10" i="28"/>
  <c r="Q4" i="33"/>
  <c r="P3" i="27"/>
  <c r="Q9" i="41"/>
  <c r="P10" i="30"/>
  <c r="P11" i="42"/>
  <c r="P3" i="34"/>
  <c r="F5" i="23"/>
  <c r="Q7" i="41"/>
  <c r="H7" i="41" s="1"/>
  <c r="L7" i="41" s="1"/>
  <c r="P11" i="30"/>
  <c r="P8" i="43"/>
  <c r="O11" i="26"/>
  <c r="P3" i="42"/>
  <c r="P4" i="31"/>
  <c r="Q4" i="15"/>
  <c r="D2" i="15" s="1"/>
  <c r="D17" i="15" s="1"/>
  <c r="D12" i="15" s="1"/>
  <c r="O5" i="24"/>
  <c r="P11" i="29"/>
  <c r="P8" i="17"/>
  <c r="Q10" i="27"/>
  <c r="O10" i="34"/>
  <c r="O3" i="14"/>
  <c r="P8" i="40"/>
  <c r="P9" i="34"/>
  <c r="O3" i="27"/>
  <c r="P5" i="23"/>
  <c r="Q4" i="21"/>
  <c r="P11" i="18"/>
  <c r="P5" i="33"/>
  <c r="O10" i="42"/>
  <c r="Q7" i="32"/>
  <c r="O5" i="22"/>
  <c r="O3" i="42"/>
  <c r="O8" i="26"/>
  <c r="O11" i="38"/>
  <c r="P10" i="37"/>
  <c r="O10" i="28"/>
  <c r="P3" i="33"/>
  <c r="P3" i="23"/>
  <c r="Q7" i="18"/>
  <c r="O2" i="41"/>
  <c r="P10" i="19"/>
  <c r="Q10" i="42"/>
  <c r="O9" i="22"/>
  <c r="O2" i="38"/>
  <c r="P11" i="37"/>
  <c r="P10" i="20"/>
  <c r="Q9" i="40"/>
  <c r="P9" i="14"/>
  <c r="P5" i="31"/>
  <c r="P11" i="43"/>
  <c r="Q7" i="39"/>
  <c r="Q3" i="31"/>
  <c r="P8" i="27"/>
  <c r="Q3" i="40"/>
  <c r="P4" i="16"/>
  <c r="O4" i="42"/>
  <c r="P8" i="29"/>
  <c r="Q3" i="42"/>
  <c r="O3" i="41"/>
  <c r="O8" i="33"/>
  <c r="Q2" i="22"/>
  <c r="P3" i="31"/>
  <c r="Q9" i="39"/>
  <c r="O11" i="36"/>
  <c r="Q2" i="26"/>
  <c r="P10" i="36"/>
  <c r="P3" i="26"/>
  <c r="O9" i="34"/>
  <c r="O4" i="28"/>
  <c r="Q10" i="31"/>
  <c r="Q3" i="24"/>
  <c r="Q10" i="29"/>
  <c r="Q9" i="31"/>
  <c r="Q9" i="18"/>
  <c r="P11" i="22"/>
  <c r="Q7" i="23"/>
  <c r="O4" i="20"/>
  <c r="P8" i="26"/>
  <c r="O5" i="36"/>
  <c r="O10" i="15"/>
  <c r="O11" i="33"/>
  <c r="O8" i="43"/>
  <c r="P8" i="19"/>
  <c r="O3" i="20"/>
  <c r="P5" i="19"/>
  <c r="P4" i="35"/>
  <c r="P8" i="18"/>
  <c r="P11" i="24"/>
  <c r="Q9" i="34"/>
  <c r="Q4" i="29"/>
  <c r="O10" i="31"/>
  <c r="Q9" i="35"/>
  <c r="P9" i="15"/>
  <c r="O5" i="43"/>
  <c r="P11" i="11"/>
  <c r="O11" i="16"/>
  <c r="P5" i="30"/>
  <c r="P10" i="17"/>
  <c r="O8" i="14"/>
  <c r="P3" i="20"/>
  <c r="P8" i="14"/>
  <c r="O4" i="24"/>
  <c r="Q10" i="36"/>
  <c r="O9" i="41"/>
  <c r="Q7" i="24"/>
  <c r="P11" i="38"/>
  <c r="O11" i="23"/>
  <c r="P10" i="24"/>
  <c r="P5" i="35"/>
  <c r="Q7" i="20"/>
  <c r="H7" i="20" s="1"/>
  <c r="L7" i="20" s="1"/>
  <c r="N7" i="20" s="1"/>
  <c r="P8" i="11"/>
  <c r="P4" i="14"/>
  <c r="O4" i="34"/>
  <c r="Q7" i="27"/>
  <c r="O3" i="35"/>
  <c r="P11" i="34"/>
  <c r="O9" i="31"/>
  <c r="O8" i="38"/>
  <c r="Q7" i="22"/>
  <c r="Q9" i="20"/>
  <c r="P11" i="26"/>
  <c r="O2" i="19"/>
  <c r="O4" i="14"/>
  <c r="P8" i="38"/>
  <c r="O4" i="26"/>
  <c r="O11" i="14"/>
  <c r="O10" i="36"/>
  <c r="P9" i="36"/>
  <c r="O2" i="28"/>
  <c r="Q3" i="38"/>
  <c r="O11" i="37"/>
  <c r="P9" i="38"/>
  <c r="P9" i="11"/>
  <c r="Q2" i="16"/>
  <c r="P10" i="39"/>
  <c r="O5" i="21"/>
  <c r="P9" i="33"/>
  <c r="O5" i="42"/>
  <c r="P3" i="15"/>
  <c r="P11" i="19"/>
  <c r="O4" i="36"/>
  <c r="P11" i="31"/>
  <c r="P10" i="35"/>
  <c r="Q9" i="11"/>
  <c r="P5" i="29"/>
  <c r="P11" i="39"/>
  <c r="P3" i="38"/>
  <c r="Q10" i="17"/>
  <c r="Q9" i="36"/>
  <c r="Q4" i="27"/>
  <c r="Q9" i="16"/>
  <c r="O3" i="18"/>
  <c r="P3" i="29"/>
  <c r="Q3" i="17"/>
  <c r="O4" i="15"/>
  <c r="Q4" i="32"/>
  <c r="O10" i="40"/>
  <c r="P9" i="23"/>
  <c r="Q7" i="21"/>
  <c r="L6" i="34"/>
  <c r="N6" i="34" s="1"/>
  <c r="R6" i="34" s="1"/>
  <c r="Q3" i="14"/>
  <c r="Q7" i="16"/>
  <c r="Q4" i="37"/>
  <c r="Q10" i="16"/>
  <c r="Q7" i="43"/>
  <c r="O2" i="30"/>
  <c r="O11" i="19"/>
  <c r="F5" i="40"/>
  <c r="Q4" i="11"/>
  <c r="Q10" i="41"/>
  <c r="P5" i="16"/>
  <c r="O9" i="17"/>
  <c r="F5" i="43"/>
  <c r="Q9" i="15"/>
  <c r="O10" i="18"/>
  <c r="P4" i="33"/>
  <c r="Q3" i="30"/>
  <c r="O8" i="41"/>
  <c r="P8" i="32"/>
  <c r="O9" i="38"/>
  <c r="P11" i="20"/>
  <c r="Q7" i="28"/>
  <c r="Q10" i="32"/>
  <c r="P4" i="29"/>
  <c r="O11" i="20"/>
  <c r="P11" i="14"/>
  <c r="O10" i="16"/>
  <c r="Q2" i="11"/>
  <c r="Q10" i="14"/>
  <c r="P4" i="23"/>
  <c r="Q3" i="22"/>
  <c r="O11" i="21"/>
  <c r="O5" i="39"/>
  <c r="F5" i="42"/>
  <c r="O9" i="16"/>
  <c r="P9" i="22"/>
  <c r="Q2" i="14"/>
  <c r="B16" i="14" s="1"/>
  <c r="L16" i="14" s="1"/>
  <c r="Q16" i="14" s="1"/>
  <c r="Q10" i="24"/>
  <c r="F5" i="30"/>
  <c r="O4" i="16"/>
  <c r="O11" i="35"/>
  <c r="O2" i="32"/>
  <c r="O10" i="43"/>
  <c r="Q2" i="36"/>
  <c r="P10" i="14"/>
  <c r="Q7" i="34"/>
  <c r="O11" i="27"/>
  <c r="P3" i="37"/>
  <c r="P5" i="38"/>
  <c r="Q2" i="20"/>
  <c r="B16" i="20" s="1"/>
  <c r="B17" i="20" s="1"/>
  <c r="B12" i="20" s="1"/>
  <c r="Q4" i="26"/>
  <c r="P4" i="30"/>
  <c r="P10" i="34"/>
  <c r="P5" i="15"/>
  <c r="Q4" i="41"/>
  <c r="D2" i="41" s="1"/>
  <c r="D17" i="41" s="1"/>
  <c r="D12" i="41" s="1"/>
  <c r="P11" i="23"/>
  <c r="O2" i="43"/>
  <c r="P3" i="17"/>
  <c r="Q4" i="23"/>
  <c r="O2" i="24"/>
  <c r="O10" i="21"/>
  <c r="O8" i="17"/>
  <c r="Q2" i="43"/>
  <c r="P10" i="42"/>
  <c r="O10" i="26"/>
  <c r="O11" i="18"/>
  <c r="O8" i="24"/>
  <c r="P5" i="17"/>
  <c r="Q3" i="33"/>
  <c r="O2" i="40"/>
  <c r="O9" i="33"/>
  <c r="Q10" i="30"/>
  <c r="O9" i="15"/>
  <c r="P5" i="39"/>
  <c r="P9" i="19"/>
  <c r="O10" i="33"/>
  <c r="O2" i="26"/>
  <c r="Q9" i="32"/>
  <c r="P3" i="41"/>
  <c r="O2" i="21"/>
  <c r="O5" i="34"/>
  <c r="O3" i="34"/>
  <c r="O10" i="38"/>
  <c r="P9" i="26"/>
  <c r="P8" i="16"/>
  <c r="O4" i="18"/>
  <c r="O2" i="17"/>
  <c r="O8" i="35"/>
  <c r="P4" i="39"/>
  <c r="P4" i="17"/>
  <c r="F5" i="20"/>
  <c r="Q9" i="30"/>
  <c r="O4" i="41"/>
  <c r="P5" i="22"/>
  <c r="P5" i="36"/>
  <c r="O9" i="19"/>
  <c r="O11" i="43"/>
  <c r="O5" i="19"/>
  <c r="O10" i="20"/>
  <c r="Q7" i="40"/>
  <c r="O8" i="15"/>
  <c r="O11" i="29"/>
  <c r="P3" i="43"/>
  <c r="Q7" i="31"/>
  <c r="P11" i="35"/>
  <c r="Q9" i="28"/>
  <c r="O8" i="30"/>
  <c r="O10" i="29"/>
  <c r="O5" i="41"/>
  <c r="P5" i="41"/>
  <c r="P5" i="34"/>
  <c r="O11" i="41"/>
  <c r="O3" i="22"/>
  <c r="P9" i="30"/>
  <c r="F5" i="24"/>
  <c r="P4" i="40"/>
  <c r="Q2" i="32"/>
  <c r="P4" i="26"/>
  <c r="Q7" i="37"/>
  <c r="P11" i="16"/>
  <c r="P8" i="35"/>
  <c r="O9" i="21"/>
  <c r="P3" i="40"/>
  <c r="O8" i="20"/>
  <c r="Q7" i="17"/>
  <c r="P9" i="39"/>
  <c r="O3" i="37"/>
  <c r="O8" i="29"/>
  <c r="O5" i="31"/>
  <c r="O2" i="36"/>
  <c r="Q3" i="36"/>
  <c r="O2" i="33"/>
  <c r="P11" i="21"/>
  <c r="P3" i="28"/>
  <c r="P10" i="11"/>
  <c r="O10" i="35"/>
  <c r="O2" i="29"/>
  <c r="Q3" i="20"/>
  <c r="F3" i="19"/>
  <c r="F17" i="19" s="1"/>
  <c r="F12" i="19" s="1"/>
  <c r="F18" i="19" s="1"/>
  <c r="P5" i="37"/>
  <c r="P5" i="27"/>
  <c r="Q2" i="21"/>
  <c r="P10" i="40"/>
  <c r="Q4" i="34"/>
  <c r="Q2" i="15"/>
  <c r="B16" i="15" s="1"/>
  <c r="B17" i="15" s="1"/>
  <c r="B12" i="15" s="1"/>
  <c r="B18" i="15" s="1"/>
  <c r="P11" i="27"/>
  <c r="O5" i="26"/>
  <c r="Q3" i="19"/>
  <c r="F3" i="15"/>
  <c r="F17" i="15" s="1"/>
  <c r="F12" i="15" s="1"/>
  <c r="F18" i="15" s="1"/>
  <c r="P10" i="16"/>
  <c r="P9" i="35"/>
  <c r="P4" i="43"/>
  <c r="O9" i="18"/>
  <c r="O11" i="42"/>
  <c r="Q3" i="32"/>
  <c r="Q4" i="31"/>
  <c r="O4" i="21"/>
  <c r="O9" i="40"/>
  <c r="Q10" i="20"/>
  <c r="Q3" i="23"/>
  <c r="P9" i="40"/>
  <c r="O8" i="37"/>
  <c r="P9" i="17"/>
  <c r="O3" i="29"/>
  <c r="O11" i="11"/>
  <c r="P4" i="21"/>
  <c r="O2" i="35"/>
  <c r="O10" i="41"/>
  <c r="O10" i="39"/>
  <c r="Q9" i="17"/>
  <c r="Q10" i="22"/>
  <c r="P8" i="39"/>
  <c r="O2" i="23"/>
  <c r="O4" i="31"/>
  <c r="Q3" i="27"/>
  <c r="P3" i="24"/>
  <c r="Q4" i="43"/>
  <c r="Q2" i="38"/>
  <c r="O2" i="16"/>
  <c r="O11" i="15"/>
  <c r="O9" i="36"/>
  <c r="P3" i="35"/>
  <c r="O2" i="27"/>
  <c r="P11" i="40"/>
  <c r="G3" i="39" l="1"/>
  <c r="G5" i="39" s="1"/>
  <c r="G3" i="34"/>
  <c r="G4" i="18"/>
  <c r="G3" i="18"/>
  <c r="D2" i="34"/>
  <c r="D17" i="34" s="1"/>
  <c r="D12" i="34" s="1"/>
  <c r="D18" i="34" s="1"/>
  <c r="C2" i="34"/>
  <c r="C17" i="34" s="1"/>
  <c r="C12" i="34" s="1"/>
  <c r="C18" i="34" s="1"/>
  <c r="K9" i="34"/>
  <c r="L9" i="34" s="1"/>
  <c r="N9" i="34" s="1"/>
  <c r="R9" i="34" s="1"/>
  <c r="K10" i="34"/>
  <c r="L10" i="34" s="1"/>
  <c r="N10" i="34" s="1"/>
  <c r="R10" i="34" s="1"/>
  <c r="H7" i="34"/>
  <c r="H17" i="34" s="1"/>
  <c r="G4" i="35"/>
  <c r="H7" i="35"/>
  <c r="L7" i="35" s="1"/>
  <c r="N7" i="35" s="1"/>
  <c r="R7" i="35" s="1"/>
  <c r="D2" i="35"/>
  <c r="D17" i="35" s="1"/>
  <c r="D12" i="35" s="1"/>
  <c r="D18" i="35" s="1"/>
  <c r="C2" i="29"/>
  <c r="C17" i="29" s="1"/>
  <c r="C12" i="29" s="1"/>
  <c r="C18" i="29" s="1"/>
  <c r="G3" i="29"/>
  <c r="K9" i="29"/>
  <c r="L9" i="29" s="1"/>
  <c r="N9" i="29" s="1"/>
  <c r="R9" i="29" s="1"/>
  <c r="H7" i="29"/>
  <c r="H17" i="29" s="1"/>
  <c r="K10" i="29"/>
  <c r="L10" i="29" s="1"/>
  <c r="N10" i="29" s="1"/>
  <c r="R10" i="29" s="1"/>
  <c r="G4" i="29"/>
  <c r="L4" i="29" s="1"/>
  <c r="N4" i="29" s="1"/>
  <c r="R4" i="29" s="1"/>
  <c r="D2" i="29"/>
  <c r="D17" i="29" s="1"/>
  <c r="D12" i="29" s="1"/>
  <c r="D18" i="29" s="1"/>
  <c r="C2" i="35"/>
  <c r="C17" i="35" s="1"/>
  <c r="C12" i="35" s="1"/>
  <c r="C18" i="35" s="1"/>
  <c r="C2" i="14"/>
  <c r="C17" i="14" s="1"/>
  <c r="C12" i="14" s="1"/>
  <c r="C18" i="14" s="1"/>
  <c r="G3" i="14"/>
  <c r="C2" i="15"/>
  <c r="C17" i="15" s="1"/>
  <c r="C12" i="15" s="1"/>
  <c r="C18" i="15" s="1"/>
  <c r="G3" i="15"/>
  <c r="C2" i="41"/>
  <c r="C17" i="41" s="1"/>
  <c r="C12" i="41" s="1"/>
  <c r="C18" i="41" s="1"/>
  <c r="C2" i="19"/>
  <c r="C17" i="19" s="1"/>
  <c r="C12" i="19" s="1"/>
  <c r="C18" i="19" s="1"/>
  <c r="G3" i="19"/>
  <c r="C2" i="20"/>
  <c r="C17" i="20" s="1"/>
  <c r="C12" i="20" s="1"/>
  <c r="C18" i="20" s="1"/>
  <c r="H6" i="20"/>
  <c r="L6" i="20" s="1"/>
  <c r="N6" i="20" s="1"/>
  <c r="R6" i="20" s="1"/>
  <c r="F3" i="20"/>
  <c r="F17" i="20" s="1"/>
  <c r="F12" i="20" s="1"/>
  <c r="F18" i="20" s="1"/>
  <c r="H6" i="14"/>
  <c r="L6" i="14" s="1"/>
  <c r="N6" i="14" s="1"/>
  <c r="R6" i="14" s="1"/>
  <c r="Q8" i="26"/>
  <c r="Q8" i="41"/>
  <c r="I18" i="41" s="1"/>
  <c r="J18" i="41" s="1"/>
  <c r="B17" i="19"/>
  <c r="B12" i="19" s="1"/>
  <c r="B18" i="19" s="1"/>
  <c r="N7" i="41"/>
  <c r="R7" i="41" s="1"/>
  <c r="G4" i="20"/>
  <c r="L4" i="20" s="1"/>
  <c r="N4" i="20" s="1"/>
  <c r="R4" i="20" s="1"/>
  <c r="Q16" i="19"/>
  <c r="L16" i="29"/>
  <c r="R16" i="29" s="1"/>
  <c r="K10" i="35"/>
  <c r="L10" i="35" s="1"/>
  <c r="N10" i="35" s="1"/>
  <c r="R10" i="35" s="1"/>
  <c r="G4" i="19"/>
  <c r="L4" i="19" s="1"/>
  <c r="N4" i="19" s="1"/>
  <c r="R4" i="19" s="1"/>
  <c r="Q8" i="33"/>
  <c r="K9" i="41"/>
  <c r="L9" i="41" s="1"/>
  <c r="N9" i="41" s="1"/>
  <c r="R9" i="41" s="1"/>
  <c r="K9" i="20"/>
  <c r="L9" i="20" s="1"/>
  <c r="N9" i="20" s="1"/>
  <c r="R9" i="20" s="1"/>
  <c r="R7" i="20"/>
  <c r="Q8" i="36"/>
  <c r="Q8" i="38"/>
  <c r="K9" i="14"/>
  <c r="L9" i="14" s="1"/>
  <c r="N9" i="14" s="1"/>
  <c r="R9" i="14" s="1"/>
  <c r="Q8" i="16"/>
  <c r="Q8" i="31"/>
  <c r="Q8" i="32"/>
  <c r="Q8" i="20"/>
  <c r="I18" i="20" s="1"/>
  <c r="J18" i="20" s="1"/>
  <c r="Q8" i="43"/>
  <c r="Q8" i="22"/>
  <c r="K10" i="20"/>
  <c r="L10" i="20" s="1"/>
  <c r="N10" i="20" s="1"/>
  <c r="K10" i="15"/>
  <c r="L10" i="15" s="1"/>
  <c r="N10" i="15" s="1"/>
  <c r="R10" i="15" s="1"/>
  <c r="K10" i="19"/>
  <c r="L10" i="19" s="1"/>
  <c r="N10" i="19" s="1"/>
  <c r="R10" i="19" s="1"/>
  <c r="Q8" i="39"/>
  <c r="L16" i="15"/>
  <c r="Q16" i="15" s="1"/>
  <c r="Q8" i="17"/>
  <c r="Q8" i="18"/>
  <c r="I18" i="18" s="1"/>
  <c r="J18" i="18" s="1"/>
  <c r="Q8" i="21"/>
  <c r="Q8" i="19"/>
  <c r="K10" i="14"/>
  <c r="L10" i="14" s="1"/>
  <c r="N10" i="14" s="1"/>
  <c r="R10" i="14" s="1"/>
  <c r="G4" i="14"/>
  <c r="L4" i="14" s="1"/>
  <c r="N4" i="14" s="1"/>
  <c r="R4" i="14" s="1"/>
  <c r="K9" i="15"/>
  <c r="L9" i="15" s="1"/>
  <c r="N9" i="15" s="1"/>
  <c r="R9" i="15" s="1"/>
  <c r="G4" i="15"/>
  <c r="Q8" i="42"/>
  <c r="Q8" i="28"/>
  <c r="Q8" i="11"/>
  <c r="Q8" i="34"/>
  <c r="I18" i="34" s="1"/>
  <c r="J18" i="34" s="1"/>
  <c r="L16" i="41"/>
  <c r="R16" i="41" s="1"/>
  <c r="K10" i="41"/>
  <c r="L10" i="41" s="1"/>
  <c r="N10" i="41" s="1"/>
  <c r="R10" i="41" s="1"/>
  <c r="Q8" i="40"/>
  <c r="K9" i="19"/>
  <c r="L9" i="19" s="1"/>
  <c r="N9" i="19" s="1"/>
  <c r="R9" i="19" s="1"/>
  <c r="K9" i="35"/>
  <c r="L9" i="35" s="1"/>
  <c r="N9" i="35" s="1"/>
  <c r="R9" i="35" s="1"/>
  <c r="F5" i="26"/>
  <c r="Q8" i="23"/>
  <c r="L16" i="20"/>
  <c r="Q16" i="20" s="1"/>
  <c r="Q8" i="37"/>
  <c r="R16" i="14"/>
  <c r="Q8" i="27"/>
  <c r="Q8" i="14"/>
  <c r="B17" i="14"/>
  <c r="B12" i="14" s="1"/>
  <c r="B18" i="14" s="1"/>
  <c r="Q8" i="15"/>
  <c r="G4" i="41"/>
  <c r="L4" i="41" s="1"/>
  <c r="N4" i="41" s="1"/>
  <c r="R4" i="41" s="1"/>
  <c r="H6" i="19"/>
  <c r="H17" i="19" s="1"/>
  <c r="Q8" i="29"/>
  <c r="I18" i="29" s="1"/>
  <c r="Q8" i="30"/>
  <c r="L16" i="35"/>
  <c r="B17" i="35"/>
  <c r="B12" i="35" s="1"/>
  <c r="B18" i="35" s="1"/>
  <c r="H6" i="35"/>
  <c r="L6" i="35" s="1"/>
  <c r="N6" i="35" s="1"/>
  <c r="R6" i="35" s="1"/>
  <c r="F5" i="35"/>
  <c r="F3" i="35" s="1"/>
  <c r="F17" i="35" s="1"/>
  <c r="F12" i="35" s="1"/>
  <c r="F18" i="35" s="1"/>
  <c r="Q8" i="35"/>
  <c r="Q8" i="24"/>
  <c r="H6" i="41"/>
  <c r="L6" i="41" s="1"/>
  <c r="N6" i="41" s="1"/>
  <c r="R6" i="41" s="1"/>
  <c r="F5" i="41"/>
  <c r="F3" i="41" s="1"/>
  <c r="G3" i="41" s="1"/>
  <c r="H6" i="15"/>
  <c r="L6" i="15" s="1"/>
  <c r="N6" i="15" s="1"/>
  <c r="R6" i="15" s="1"/>
  <c r="D18" i="41"/>
  <c r="D18" i="15"/>
  <c r="D18" i="14"/>
  <c r="B18" i="20"/>
  <c r="G5" i="18" l="1"/>
  <c r="J8" i="19"/>
  <c r="J17" i="19" s="1"/>
  <c r="J13" i="19" s="1"/>
  <c r="J8" i="41"/>
  <c r="J17" i="41" s="1"/>
  <c r="J13" i="41" s="1"/>
  <c r="I8" i="41"/>
  <c r="J8" i="34"/>
  <c r="J17" i="34" s="1"/>
  <c r="J13" i="34" s="1"/>
  <c r="I8" i="34"/>
  <c r="I17" i="34" s="1"/>
  <c r="I13" i="34" s="1"/>
  <c r="H12" i="34"/>
  <c r="H18" i="34" s="1"/>
  <c r="L7" i="34"/>
  <c r="N7" i="34" s="1"/>
  <c r="R7" i="34" s="1"/>
  <c r="K17" i="34"/>
  <c r="L16" i="34"/>
  <c r="G3" i="35"/>
  <c r="G5" i="35" s="1"/>
  <c r="L3" i="34"/>
  <c r="N3" i="34" s="1"/>
  <c r="R3" i="34" s="1"/>
  <c r="G5" i="29"/>
  <c r="G17" i="29" s="1"/>
  <c r="G12" i="29" s="1"/>
  <c r="G18" i="29" s="1"/>
  <c r="L7" i="29"/>
  <c r="N7" i="29" s="1"/>
  <c r="R7" i="29" s="1"/>
  <c r="J18" i="29"/>
  <c r="J8" i="29" s="1"/>
  <c r="J17" i="29" s="1"/>
  <c r="J13" i="29" s="1"/>
  <c r="I8" i="29"/>
  <c r="H12" i="29"/>
  <c r="H18" i="29" s="1"/>
  <c r="K17" i="29"/>
  <c r="I8" i="19"/>
  <c r="L2" i="19"/>
  <c r="P2" i="19" s="1"/>
  <c r="N2" i="19" s="1"/>
  <c r="R2" i="19" s="1"/>
  <c r="L2" i="29"/>
  <c r="P2" i="29" s="1"/>
  <c r="N2" i="29" s="1"/>
  <c r="R2" i="29" s="1"/>
  <c r="L2" i="14"/>
  <c r="P2" i="14" s="1"/>
  <c r="N2" i="14" s="1"/>
  <c r="R2" i="14" s="1"/>
  <c r="L2" i="34"/>
  <c r="P2" i="34" s="1"/>
  <c r="N2" i="34" s="1"/>
  <c r="R2" i="34" s="1"/>
  <c r="L2" i="41"/>
  <c r="P2" i="41" s="1"/>
  <c r="N2" i="41" s="1"/>
  <c r="R2" i="41" s="1"/>
  <c r="L2" i="20"/>
  <c r="P2" i="20" s="1"/>
  <c r="N2" i="20" s="1"/>
  <c r="R2" i="20" s="1"/>
  <c r="L2" i="15"/>
  <c r="P2" i="15" s="1"/>
  <c r="N2" i="15" s="1"/>
  <c r="R2" i="15" s="1"/>
  <c r="L2" i="35"/>
  <c r="P2" i="35" s="1"/>
  <c r="N2" i="35" s="1"/>
  <c r="R2" i="35" s="1"/>
  <c r="G3" i="20"/>
  <c r="L3" i="20" s="1"/>
  <c r="N3" i="20" s="1"/>
  <c r="R3" i="20" s="1"/>
  <c r="H17" i="20"/>
  <c r="H12" i="20" s="1"/>
  <c r="H18" i="20" s="1"/>
  <c r="H17" i="14"/>
  <c r="H12" i="14" s="1"/>
  <c r="H18" i="14" s="1"/>
  <c r="I8" i="35"/>
  <c r="I17" i="35" s="1"/>
  <c r="I13" i="35" s="1"/>
  <c r="J8" i="15"/>
  <c r="J17" i="15" s="1"/>
  <c r="J13" i="15" s="1"/>
  <c r="I18" i="14"/>
  <c r="J18" i="14" s="1"/>
  <c r="J8" i="14" s="1"/>
  <c r="J17" i="14" s="1"/>
  <c r="J13" i="14" s="1"/>
  <c r="J8" i="20"/>
  <c r="J17" i="20" s="1"/>
  <c r="J13" i="20" s="1"/>
  <c r="L3" i="14"/>
  <c r="N3" i="14" s="1"/>
  <c r="R3" i="14" s="1"/>
  <c r="G5" i="19"/>
  <c r="L5" i="19" s="1"/>
  <c r="Q16" i="29"/>
  <c r="Q11" i="20"/>
  <c r="M11" i="20" s="1"/>
  <c r="R10" i="20"/>
  <c r="Q11" i="34"/>
  <c r="M11" i="34" s="1"/>
  <c r="Q11" i="19"/>
  <c r="M11" i="19" s="1"/>
  <c r="K17" i="41"/>
  <c r="K17" i="19"/>
  <c r="Q11" i="35"/>
  <c r="M11" i="35" s="1"/>
  <c r="R16" i="15"/>
  <c r="G5" i="15"/>
  <c r="Q11" i="29"/>
  <c r="M11" i="29" s="1"/>
  <c r="Q16" i="41"/>
  <c r="K17" i="20"/>
  <c r="Q11" i="14"/>
  <c r="M11" i="14" s="1"/>
  <c r="K17" i="35"/>
  <c r="H12" i="19"/>
  <c r="H18" i="19" s="1"/>
  <c r="K17" i="15"/>
  <c r="L3" i="15"/>
  <c r="N3" i="15" s="1"/>
  <c r="R3" i="15" s="1"/>
  <c r="K17" i="14"/>
  <c r="Q11" i="15"/>
  <c r="M11" i="15" s="1"/>
  <c r="Q11" i="41"/>
  <c r="M11" i="41" s="1"/>
  <c r="H17" i="41"/>
  <c r="H12" i="41" s="1"/>
  <c r="H18" i="41" s="1"/>
  <c r="R16" i="20"/>
  <c r="H17" i="35"/>
  <c r="H12" i="35" s="1"/>
  <c r="H18" i="35" s="1"/>
  <c r="R16" i="35"/>
  <c r="Q16" i="35"/>
  <c r="H17" i="15"/>
  <c r="H12" i="15" s="1"/>
  <c r="H18" i="15" s="1"/>
  <c r="F17" i="41"/>
  <c r="F12" i="41" s="1"/>
  <c r="F18" i="41" s="1"/>
  <c r="L6" i="19"/>
  <c r="N6" i="19" s="1"/>
  <c r="R6" i="19" s="1"/>
  <c r="I17" i="41" l="1"/>
  <c r="I13" i="41" s="1"/>
  <c r="L8" i="41"/>
  <c r="N8" i="41" s="1"/>
  <c r="R8" i="41" s="1"/>
  <c r="L3" i="35"/>
  <c r="N3" i="35" s="1"/>
  <c r="R3" i="35" s="1"/>
  <c r="K13" i="34"/>
  <c r="K18" i="34" s="1"/>
  <c r="R16" i="34"/>
  <c r="Q16" i="34"/>
  <c r="K13" i="29"/>
  <c r="K18" i="29" s="1"/>
  <c r="I17" i="29"/>
  <c r="I13" i="29" s="1"/>
  <c r="L8" i="29"/>
  <c r="N8" i="29" s="1"/>
  <c r="R8" i="29" s="1"/>
  <c r="I17" i="19"/>
  <c r="I13" i="19" s="1"/>
  <c r="L8" i="19"/>
  <c r="N8" i="19" s="1"/>
  <c r="R8" i="19" s="1"/>
  <c r="R5" i="19"/>
  <c r="I8" i="20"/>
  <c r="L8" i="20" s="1"/>
  <c r="N8" i="20" s="1"/>
  <c r="R8" i="20" s="1"/>
  <c r="G5" i="14"/>
  <c r="L5" i="14" s="1"/>
  <c r="J8" i="35"/>
  <c r="J17" i="35" s="1"/>
  <c r="J13" i="35" s="1"/>
  <c r="I8" i="15"/>
  <c r="I17" i="15" s="1"/>
  <c r="I13" i="15" s="1"/>
  <c r="I8" i="14"/>
  <c r="I17" i="14" s="1"/>
  <c r="I13" i="14" s="1"/>
  <c r="R11" i="34"/>
  <c r="R11" i="15"/>
  <c r="R11" i="14"/>
  <c r="R11" i="35"/>
  <c r="R11" i="20"/>
  <c r="R11" i="41"/>
  <c r="R11" i="29"/>
  <c r="R11" i="19"/>
  <c r="L3" i="19"/>
  <c r="K13" i="20"/>
  <c r="K18" i="20" s="1"/>
  <c r="G17" i="19"/>
  <c r="G12" i="19" s="1"/>
  <c r="G18" i="19" s="1"/>
  <c r="Q5" i="19"/>
  <c r="E17" i="19" s="1"/>
  <c r="E12" i="19" s="1"/>
  <c r="E18" i="19" s="1"/>
  <c r="K13" i="19"/>
  <c r="K18" i="19" s="1"/>
  <c r="K13" i="35"/>
  <c r="K18" i="35" s="1"/>
  <c r="K13" i="14"/>
  <c r="K18" i="14" s="1"/>
  <c r="G5" i="20"/>
  <c r="L5" i="20" s="1"/>
  <c r="K13" i="15"/>
  <c r="K18" i="15" s="1"/>
  <c r="K13" i="41"/>
  <c r="K18" i="41" s="1"/>
  <c r="L3" i="41"/>
  <c r="N3" i="41" s="1"/>
  <c r="R3" i="41" s="1"/>
  <c r="G5" i="41"/>
  <c r="L5" i="41" s="1"/>
  <c r="L5" i="15"/>
  <c r="E14" i="34" l="1"/>
  <c r="G5" i="34" s="1"/>
  <c r="G4" i="34" s="1"/>
  <c r="E14" i="29"/>
  <c r="R5" i="20"/>
  <c r="Q5" i="14"/>
  <c r="E17" i="14" s="1"/>
  <c r="E12" i="14" s="1"/>
  <c r="E18" i="14" s="1"/>
  <c r="N3" i="19"/>
  <c r="R3" i="19" s="1"/>
  <c r="L8" i="34"/>
  <c r="N8" i="34" s="1"/>
  <c r="R8" i="34" s="1"/>
  <c r="R5" i="14"/>
  <c r="I17" i="20"/>
  <c r="I13" i="20" s="1"/>
  <c r="E14" i="20" s="1"/>
  <c r="L8" i="14"/>
  <c r="N8" i="14" s="1"/>
  <c r="R8" i="14" s="1"/>
  <c r="G17" i="14"/>
  <c r="G12" i="14" s="1"/>
  <c r="G18" i="14" s="1"/>
  <c r="L8" i="15"/>
  <c r="N8" i="15" s="1"/>
  <c r="R8" i="15" s="1"/>
  <c r="L8" i="35"/>
  <c r="N8" i="35" s="1"/>
  <c r="R8" i="35" s="1"/>
  <c r="L12" i="19"/>
  <c r="R12" i="19" s="1"/>
  <c r="L17" i="19"/>
  <c r="R17" i="19" s="1"/>
  <c r="E14" i="19"/>
  <c r="L13" i="19"/>
  <c r="L13" i="34"/>
  <c r="G17" i="41"/>
  <c r="G12" i="41" s="1"/>
  <c r="G18" i="41" s="1"/>
  <c r="L13" i="14"/>
  <c r="E14" i="14"/>
  <c r="L13" i="35"/>
  <c r="E14" i="35"/>
  <c r="G17" i="20"/>
  <c r="G12" i="20" s="1"/>
  <c r="G18" i="20" s="1"/>
  <c r="Q5" i="20"/>
  <c r="E17" i="20" s="1"/>
  <c r="E12" i="20" s="1"/>
  <c r="E18" i="20" s="1"/>
  <c r="E14" i="15"/>
  <c r="L13" i="15"/>
  <c r="L13" i="41"/>
  <c r="L13" i="29"/>
  <c r="E14" i="41"/>
  <c r="R5" i="41"/>
  <c r="Q5" i="41"/>
  <c r="E17" i="41" s="1"/>
  <c r="G17" i="15"/>
  <c r="G12" i="15" s="1"/>
  <c r="G18" i="15" s="1"/>
  <c r="L4" i="15"/>
  <c r="Q5" i="15"/>
  <c r="E17" i="15" s="1"/>
  <c r="R5" i="15"/>
  <c r="G17" i="34" l="1"/>
  <c r="G12" i="34" s="1"/>
  <c r="G18" i="34" s="1"/>
  <c r="L13" i="20"/>
  <c r="L4" i="35"/>
  <c r="N4" i="35" s="1"/>
  <c r="R4" i="35" s="1"/>
  <c r="L14" i="20"/>
  <c r="R14" i="20" s="1"/>
  <c r="L14" i="41"/>
  <c r="Q14" i="41" s="1"/>
  <c r="L14" i="14"/>
  <c r="Q14" i="14" s="1"/>
  <c r="L14" i="15"/>
  <c r="R14" i="15" s="1"/>
  <c r="L12" i="14"/>
  <c r="R12" i="14" s="1"/>
  <c r="L17" i="14"/>
  <c r="R17" i="14" s="1"/>
  <c r="L14" i="19"/>
  <c r="Q14" i="19" s="1"/>
  <c r="E15" i="19"/>
  <c r="Q17" i="19"/>
  <c r="Q12" i="19"/>
  <c r="L14" i="34"/>
  <c r="R14" i="34" s="1"/>
  <c r="E15" i="14"/>
  <c r="L14" i="35"/>
  <c r="Q14" i="35" s="1"/>
  <c r="E15" i="20"/>
  <c r="L17" i="20"/>
  <c r="R17" i="20" s="1"/>
  <c r="L12" i="20"/>
  <c r="Q12" i="20" s="1"/>
  <c r="E15" i="41"/>
  <c r="L14" i="29"/>
  <c r="Q14" i="29" s="1"/>
  <c r="E12" i="41"/>
  <c r="L17" i="41"/>
  <c r="N4" i="15"/>
  <c r="R4" i="15" s="1"/>
  <c r="E12" i="15"/>
  <c r="E15" i="15"/>
  <c r="L17" i="15"/>
  <c r="L4" i="34" l="1"/>
  <c r="N4" i="34" s="1"/>
  <c r="R4" i="34" s="1"/>
  <c r="Q14" i="20"/>
  <c r="R14" i="14"/>
  <c r="L5" i="35"/>
  <c r="L5" i="34"/>
  <c r="M13" i="14"/>
  <c r="L15" i="41"/>
  <c r="Q15" i="41" s="1"/>
  <c r="R14" i="41"/>
  <c r="Q14" i="15"/>
  <c r="Q17" i="14"/>
  <c r="L15" i="20"/>
  <c r="Q15" i="20" s="1"/>
  <c r="Q12" i="14"/>
  <c r="G17" i="35"/>
  <c r="G12" i="35" s="1"/>
  <c r="G18" i="35" s="1"/>
  <c r="R14" i="19"/>
  <c r="L15" i="19"/>
  <c r="R15" i="19" s="1"/>
  <c r="M13" i="19"/>
  <c r="Q14" i="34"/>
  <c r="L15" i="14"/>
  <c r="Q15" i="14" s="1"/>
  <c r="M13" i="20"/>
  <c r="R14" i="35"/>
  <c r="R14" i="29"/>
  <c r="R12" i="20"/>
  <c r="M13" i="41"/>
  <c r="Q17" i="20"/>
  <c r="R17" i="41"/>
  <c r="Q17" i="41"/>
  <c r="E18" i="41"/>
  <c r="L12" i="41"/>
  <c r="M13" i="15"/>
  <c r="L15" i="15"/>
  <c r="E18" i="15"/>
  <c r="L12" i="15"/>
  <c r="R17" i="15"/>
  <c r="Q17" i="15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R5" i="34" l="1"/>
  <c r="Q5" i="35"/>
  <c r="E17" i="35" s="1"/>
  <c r="E12" i="35" s="1"/>
  <c r="E18" i="35" s="1"/>
  <c r="Q13" i="14"/>
  <c r="Q13" i="20"/>
  <c r="Q13" i="41"/>
  <c r="R13" i="19"/>
  <c r="R5" i="35"/>
  <c r="Q15" i="19"/>
  <c r="Q5" i="34"/>
  <c r="E17" i="34" s="1"/>
  <c r="R13" i="14"/>
  <c r="R15" i="20"/>
  <c r="R15" i="41"/>
  <c r="Q13" i="19"/>
  <c r="R15" i="14"/>
  <c r="R13" i="20"/>
  <c r="R13" i="41"/>
  <c r="Q12" i="41"/>
  <c r="R12" i="41"/>
  <c r="N4" i="39"/>
  <c r="R4" i="39" s="1"/>
  <c r="R12" i="15"/>
  <c r="Q12" i="15"/>
  <c r="Q15" i="15"/>
  <c r="R15" i="15"/>
  <c r="Q13" i="15"/>
  <c r="R13" i="15"/>
  <c r="D17" i="39"/>
  <c r="D12" i="39" s="1"/>
  <c r="D17" i="38"/>
  <c r="D12" i="38" s="1"/>
  <c r="D17" i="40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E15" i="34" l="1"/>
  <c r="L15" i="34" s="1"/>
  <c r="Q15" i="34" s="1"/>
  <c r="E12" i="34"/>
  <c r="E18" i="34" s="1"/>
  <c r="L17" i="35"/>
  <c r="R17" i="35" s="1"/>
  <c r="E15" i="35"/>
  <c r="L12" i="35"/>
  <c r="R12" i="35" s="1"/>
  <c r="L17" i="34"/>
  <c r="R17" i="34" s="1"/>
  <c r="D18" i="36"/>
  <c r="D18" i="38"/>
  <c r="D18" i="39"/>
  <c r="D12" i="43"/>
  <c r="D12" i="42"/>
  <c r="D12" i="40"/>
  <c r="M13" i="34" l="1"/>
  <c r="Q13" i="34" s="1"/>
  <c r="R15" i="34"/>
  <c r="M13" i="35"/>
  <c r="R13" i="35" s="1"/>
  <c r="Q17" i="35"/>
  <c r="L15" i="35"/>
  <c r="R15" i="35" s="1"/>
  <c r="Q12" i="35"/>
  <c r="Q17" i="34"/>
  <c r="L12" i="34"/>
  <c r="R12" i="34" s="1"/>
  <c r="D18" i="42"/>
  <c r="D18" i="43"/>
  <c r="D18" i="40"/>
  <c r="R13" i="34" l="1"/>
  <c r="Q13" i="35"/>
  <c r="Q15" i="35"/>
  <c r="Q12" i="34"/>
  <c r="D2" i="33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K9" i="30"/>
  <c r="Q11" i="30" s="1"/>
  <c r="B16" i="38"/>
  <c r="H7" i="30"/>
  <c r="H7" i="28"/>
  <c r="K9" i="39"/>
  <c r="Q11" i="39" s="1"/>
  <c r="K9" i="40"/>
  <c r="Q11" i="40" s="1"/>
  <c r="K9" i="26"/>
  <c r="Q11" i="26" s="1"/>
  <c r="K9" i="23"/>
  <c r="Q11" i="23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6"/>
  <c r="B16" i="17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6" i="17"/>
  <c r="H6" i="16"/>
  <c r="K9" i="18"/>
  <c r="K9" i="21"/>
  <c r="H6" i="18"/>
  <c r="H6" i="11"/>
  <c r="H6" i="21"/>
  <c r="K9" i="22"/>
  <c r="H6" i="22"/>
  <c r="K9" i="17"/>
  <c r="H7" i="11"/>
  <c r="L7" i="11" s="1"/>
  <c r="N7" i="11" s="1"/>
  <c r="R7" i="11" s="1"/>
  <c r="H7" i="16"/>
  <c r="H7" i="17"/>
  <c r="F17" i="11" l="1"/>
  <c r="F12" i="11" s="1"/>
  <c r="F18" i="11" s="1"/>
  <c r="G3" i="11"/>
  <c r="F17" i="22"/>
  <c r="F12" i="22" s="1"/>
  <c r="F18" i="22" s="1"/>
  <c r="G3" i="22"/>
  <c r="F17" i="17"/>
  <c r="F12" i="17" s="1"/>
  <c r="F18" i="17" s="1"/>
  <c r="G3" i="17"/>
  <c r="F17" i="16"/>
  <c r="F12" i="16" s="1"/>
  <c r="F18" i="16" s="1"/>
  <c r="G3" i="16"/>
  <c r="F17" i="18"/>
  <c r="F12" i="18" s="1"/>
  <c r="F18" i="18" s="1"/>
  <c r="Q11" i="11"/>
  <c r="Q11" i="17"/>
  <c r="Q11" i="18"/>
  <c r="Q11" i="22"/>
  <c r="Q11" i="16"/>
  <c r="Q11" i="21"/>
  <c r="Q11" i="37"/>
  <c r="N2" i="33"/>
  <c r="R2" i="33" s="1"/>
  <c r="N2" i="28"/>
  <c r="R2" i="28" s="1"/>
  <c r="N2" i="40"/>
  <c r="R2" i="40" s="1"/>
  <c r="N2" i="39"/>
  <c r="R2" i="39" s="1"/>
  <c r="N2" i="31"/>
  <c r="R2" i="31" s="1"/>
  <c r="N2" i="26"/>
  <c r="R2" i="26" s="1"/>
  <c r="N2" i="38"/>
  <c r="R2" i="38" s="1"/>
  <c r="N2" i="27"/>
  <c r="R2" i="27" s="1"/>
  <c r="N2" i="42"/>
  <c r="N2" i="32"/>
  <c r="R2" i="32" s="1"/>
  <c r="N2" i="24"/>
  <c r="R2" i="24" s="1"/>
  <c r="N2" i="43"/>
  <c r="N2" i="30"/>
  <c r="R2" i="30" s="1"/>
  <c r="L16" i="37"/>
  <c r="R16" i="37" s="1"/>
  <c r="B17" i="39"/>
  <c r="B12" i="39" s="1"/>
  <c r="B18" i="39" s="1"/>
  <c r="B16" i="36"/>
  <c r="L16" i="36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K17" i="24"/>
  <c r="L9" i="24"/>
  <c r="N9" i="24" s="1"/>
  <c r="R9" i="24" s="1"/>
  <c r="L7" i="39"/>
  <c r="N7" i="39" s="1"/>
  <c r="R7" i="39" s="1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7"/>
  <c r="B12" i="17" s="1"/>
  <c r="B18" i="17" s="1"/>
  <c r="L16" i="17"/>
  <c r="K17" i="18"/>
  <c r="K17" i="21"/>
  <c r="K17" i="17"/>
  <c r="L9" i="16"/>
  <c r="N9" i="16" s="1"/>
  <c r="R9" i="16" s="1"/>
  <c r="K17" i="16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N2" i="16"/>
  <c r="N2" i="11"/>
  <c r="R2" i="11" s="1"/>
  <c r="N2" i="17"/>
  <c r="R2" i="17" s="1"/>
  <c r="N2" i="21"/>
  <c r="R2" i="21" s="1"/>
  <c r="N2" i="18"/>
  <c r="R2" i="18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7"/>
  <c r="N9" i="17" s="1"/>
  <c r="R9" i="17" s="1"/>
  <c r="L7" i="17"/>
  <c r="L7" i="16"/>
  <c r="N7" i="16" s="1"/>
  <c r="R7" i="16" s="1"/>
  <c r="F17" i="21" l="1"/>
  <c r="F12" i="21" s="1"/>
  <c r="F18" i="21" s="1"/>
  <c r="G3" i="21"/>
  <c r="D18" i="37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I18" i="21"/>
  <c r="J18" i="21" s="1"/>
  <c r="J8" i="21" s="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N4" i="37"/>
  <c r="R4" i="37" s="1"/>
  <c r="M11" i="36"/>
  <c r="M11" i="24"/>
  <c r="M11" i="38"/>
  <c r="M11" i="11"/>
  <c r="M11" i="26"/>
  <c r="M11" i="30"/>
  <c r="M11" i="27"/>
  <c r="M11" i="37"/>
  <c r="M11" i="33"/>
  <c r="M11" i="23"/>
  <c r="M11" i="31"/>
  <c r="M11" i="42"/>
  <c r="M11" i="39"/>
  <c r="M11" i="40"/>
  <c r="M11" i="32"/>
  <c r="M11" i="28"/>
  <c r="G5" i="11"/>
  <c r="G17" i="11" s="1"/>
  <c r="H17" i="17"/>
  <c r="H12" i="17" s="1"/>
  <c r="H18" i="17" s="1"/>
  <c r="I18" i="39"/>
  <c r="I18" i="30"/>
  <c r="I18" i="38"/>
  <c r="I18" i="27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27"/>
  <c r="Q16" i="27"/>
  <c r="Q16" i="43"/>
  <c r="R16" i="43"/>
  <c r="K13" i="27"/>
  <c r="K18" i="27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K13" i="37"/>
  <c r="K18" i="37" s="1"/>
  <c r="B16" i="23"/>
  <c r="R16" i="21"/>
  <c r="Q16" i="21"/>
  <c r="R16" i="17"/>
  <c r="Q16" i="17"/>
  <c r="R16" i="18"/>
  <c r="Q16" i="18"/>
  <c r="R16" i="11"/>
  <c r="Q16" i="11"/>
  <c r="R16" i="16"/>
  <c r="Q16" i="16"/>
  <c r="R16" i="22"/>
  <c r="Q16" i="22"/>
  <c r="R2" i="16"/>
  <c r="K13" i="11"/>
  <c r="K18" i="11" s="1"/>
  <c r="K13" i="16"/>
  <c r="K18" i="16" s="1"/>
  <c r="M11" i="17"/>
  <c r="M11" i="18"/>
  <c r="M11" i="16"/>
  <c r="M11" i="22"/>
  <c r="M11" i="21"/>
  <c r="N2" i="22"/>
  <c r="R2" i="22" s="1"/>
  <c r="K13" i="21"/>
  <c r="K18" i="21" s="1"/>
  <c r="K13" i="18"/>
  <c r="K18" i="18" s="1"/>
  <c r="K13" i="22"/>
  <c r="K18" i="22" s="1"/>
  <c r="K13" i="17"/>
  <c r="K18" i="17" s="1"/>
  <c r="N7" i="17"/>
  <c r="R7" i="17" s="1"/>
  <c r="R11" i="28" l="1"/>
  <c r="R11" i="30"/>
  <c r="R11" i="32"/>
  <c r="R11" i="26"/>
  <c r="R11" i="17"/>
  <c r="R11" i="40"/>
  <c r="R11" i="11"/>
  <c r="R11" i="39"/>
  <c r="R11" i="38"/>
  <c r="R11" i="21"/>
  <c r="R11" i="22"/>
  <c r="R11" i="42"/>
  <c r="R11" i="24"/>
  <c r="R11" i="36"/>
  <c r="R11" i="16"/>
  <c r="R11" i="31"/>
  <c r="R11" i="18"/>
  <c r="R11" i="23"/>
  <c r="R11" i="33"/>
  <c r="R11" i="37"/>
  <c r="R11" i="27"/>
  <c r="Q5" i="24"/>
  <c r="E17" i="24" s="1"/>
  <c r="E12" i="24" s="1"/>
  <c r="E18" i="24" s="1"/>
  <c r="Q5" i="30"/>
  <c r="E17" i="30" s="1"/>
  <c r="E12" i="30" s="1"/>
  <c r="E18" i="30" s="1"/>
  <c r="Q5" i="28"/>
  <c r="E17" i="28" s="1"/>
  <c r="E12" i="28" s="1"/>
  <c r="E18" i="28" s="1"/>
  <c r="Q5" i="22"/>
  <c r="Q5" i="31"/>
  <c r="Q5" i="40"/>
  <c r="R5" i="23"/>
  <c r="Q5" i="23"/>
  <c r="E17" i="23" s="1"/>
  <c r="E12" i="23" s="1"/>
  <c r="E18" i="23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R5" i="40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18" i="27"/>
  <c r="J8" i="27" s="1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G17" i="28"/>
  <c r="G12" i="28" s="1"/>
  <c r="G18" i="28" s="1"/>
  <c r="G5" i="32"/>
  <c r="L5" i="32" s="1"/>
  <c r="G5" i="27"/>
  <c r="L5" i="27" s="1"/>
  <c r="L3" i="27"/>
  <c r="L3" i="37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J17" i="22"/>
  <c r="J13" i="22" s="1"/>
  <c r="J17" i="18"/>
  <c r="J13" i="18" s="1"/>
  <c r="L3" i="21"/>
  <c r="G17" i="22"/>
  <c r="G12" i="22" s="1"/>
  <c r="G18" i="22" s="1"/>
  <c r="G12" i="11"/>
  <c r="G18" i="11" s="1"/>
  <c r="N3" i="17"/>
  <c r="R3" i="17" s="1"/>
  <c r="R5" i="22"/>
  <c r="L5" i="16"/>
  <c r="G12" i="16"/>
  <c r="G18" i="16" s="1"/>
  <c r="G5" i="21"/>
  <c r="L5" i="21" s="1"/>
  <c r="I13" i="17"/>
  <c r="Q5" i="16" l="1"/>
  <c r="Q5" i="27"/>
  <c r="Q5" i="32"/>
  <c r="Q5" i="38"/>
  <c r="Q5" i="17"/>
  <c r="E17" i="17" s="1"/>
  <c r="E12" i="17" s="1"/>
  <c r="E18" i="17" s="1"/>
  <c r="Q5" i="43"/>
  <c r="Q5" i="39"/>
  <c r="Q5" i="33"/>
  <c r="Q5" i="26"/>
  <c r="Q5" i="21"/>
  <c r="Q5" i="36"/>
  <c r="N3" i="23"/>
  <c r="R3" i="23" s="1"/>
  <c r="J17" i="17"/>
  <c r="J13" i="17" s="1"/>
  <c r="E14" i="17" s="1"/>
  <c r="L8" i="11"/>
  <c r="N8" i="11" s="1"/>
  <c r="R8" i="11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13" i="26"/>
  <c r="L8" i="21"/>
  <c r="N8" i="21" s="1"/>
  <c r="R8" i="21" s="1"/>
  <c r="L8" i="26"/>
  <c r="N8" i="26" s="1"/>
  <c r="R8" i="26" s="1"/>
  <c r="L8" i="31"/>
  <c r="N8" i="31" s="1"/>
  <c r="R8" i="31" s="1"/>
  <c r="N3" i="27"/>
  <c r="R3" i="27" s="1"/>
  <c r="N3" i="28"/>
  <c r="R3" i="28" s="1"/>
  <c r="N3" i="31"/>
  <c r="R3" i="31" s="1"/>
  <c r="N3" i="24"/>
  <c r="R3" i="24" s="1"/>
  <c r="N3" i="16"/>
  <c r="R3" i="16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R5" i="33"/>
  <c r="R5" i="26"/>
  <c r="G17" i="36"/>
  <c r="G12" i="36" s="1"/>
  <c r="G18" i="36" s="1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E14" i="16"/>
  <c r="L13" i="16"/>
  <c r="L13" i="21"/>
  <c r="E14" i="21"/>
  <c r="G17" i="21"/>
  <c r="G12" i="21" s="1"/>
  <c r="G18" i="21" s="1"/>
  <c r="E14" i="11"/>
  <c r="E17" i="22"/>
  <c r="L17" i="22" s="1"/>
  <c r="R5" i="16"/>
  <c r="E14" i="22"/>
  <c r="L13" i="22"/>
  <c r="L13" i="18"/>
  <c r="E14" i="18"/>
  <c r="R5" i="21"/>
  <c r="L4" i="18" l="1"/>
  <c r="N4" i="18" s="1"/>
  <c r="R4" i="18" s="1"/>
  <c r="R11" i="43"/>
  <c r="Q5" i="37"/>
  <c r="L12" i="40"/>
  <c r="Q12" i="40" s="1"/>
  <c r="E18" i="40"/>
  <c r="L13" i="17"/>
  <c r="L14" i="11"/>
  <c r="Q14" i="11" s="1"/>
  <c r="L14" i="33"/>
  <c r="R14" i="33" s="1"/>
  <c r="L14" i="21"/>
  <c r="R14" i="21" s="1"/>
  <c r="L14" i="26"/>
  <c r="R14" i="26" s="1"/>
  <c r="L14" i="16"/>
  <c r="Q14" i="16" s="1"/>
  <c r="L14" i="31"/>
  <c r="R14" i="31" s="1"/>
  <c r="L17" i="28"/>
  <c r="Q17" i="28" s="1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L17" i="30"/>
  <c r="Q17" i="30" s="1"/>
  <c r="E14" i="42"/>
  <c r="N5" i="42" s="1"/>
  <c r="L13" i="42"/>
  <c r="E14" i="23"/>
  <c r="L13" i="23"/>
  <c r="E14" i="39"/>
  <c r="L13" i="39"/>
  <c r="E17" i="32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33"/>
  <c r="E12" i="33" s="1"/>
  <c r="E18" i="33" s="1"/>
  <c r="E17" i="27"/>
  <c r="L13" i="27"/>
  <c r="E14" i="27"/>
  <c r="L13" i="32"/>
  <c r="E14" i="32"/>
  <c r="E17" i="38"/>
  <c r="E12" i="38" s="1"/>
  <c r="E18" i="38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R17" i="22"/>
  <c r="Q17" i="22"/>
  <c r="E12" i="22"/>
  <c r="E18" i="22" s="1"/>
  <c r="E17" i="21"/>
  <c r="L17" i="21" s="1"/>
  <c r="E17" i="16"/>
  <c r="L17" i="16" s="1"/>
  <c r="L14" i="18"/>
  <c r="L14" i="22"/>
  <c r="E15" i="22"/>
  <c r="L14" i="17"/>
  <c r="E15" i="17"/>
  <c r="R5" i="42" l="1"/>
  <c r="Q5" i="42"/>
  <c r="E17" i="42" s="1"/>
  <c r="E12" i="42" s="1"/>
  <c r="E18" i="42" s="1"/>
  <c r="E12" i="32"/>
  <c r="E18" i="32" s="1"/>
  <c r="L5" i="18"/>
  <c r="N5" i="18" s="1"/>
  <c r="L3" i="18"/>
  <c r="G17" i="18"/>
  <c r="G12" i="18" s="1"/>
  <c r="G18" i="18" s="1"/>
  <c r="R12" i="40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Q17" i="24"/>
  <c r="E15" i="26"/>
  <c r="L17" i="43"/>
  <c r="R17" i="43" s="1"/>
  <c r="L17" i="32"/>
  <c r="R17" i="32" s="1"/>
  <c r="E15" i="27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36"/>
  <c r="L12" i="38"/>
  <c r="R17" i="39"/>
  <c r="Q17" i="39"/>
  <c r="R12" i="23"/>
  <c r="Q12" i="23"/>
  <c r="R17" i="16"/>
  <c r="Q17" i="16"/>
  <c r="R17" i="21"/>
  <c r="Q17" i="21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5" i="42" l="1"/>
  <c r="L15" i="42" s="1"/>
  <c r="L17" i="42"/>
  <c r="Q17" i="42" s="1"/>
  <c r="L12" i="42"/>
  <c r="Q12" i="42" s="1"/>
  <c r="L12" i="32"/>
  <c r="R12" i="32" s="1"/>
  <c r="Q13" i="31"/>
  <c r="N3" i="18"/>
  <c r="R3" i="18" s="1"/>
  <c r="L12" i="27"/>
  <c r="Q12" i="27" s="1"/>
  <c r="E18" i="27"/>
  <c r="L12" i="39"/>
  <c r="R12" i="39" s="1"/>
  <c r="E18" i="39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M13" i="36"/>
  <c r="R17" i="33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M13" i="39"/>
  <c r="L15" i="39"/>
  <c r="M13" i="33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L12" i="37"/>
  <c r="Q12" i="36"/>
  <c r="R12" i="36"/>
  <c r="R12" i="38"/>
  <c r="Q12" i="38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R17" i="42" l="1"/>
  <c r="R12" i="42"/>
  <c r="M13" i="42"/>
  <c r="Q13" i="42" s="1"/>
  <c r="Q12" i="32"/>
  <c r="Q13" i="27"/>
  <c r="R13" i="33"/>
  <c r="R13" i="43"/>
  <c r="Q13" i="21"/>
  <c r="Q13" i="26"/>
  <c r="R13" i="36"/>
  <c r="Q13" i="16"/>
  <c r="R13" i="32"/>
  <c r="R12" i="27"/>
  <c r="Q12" i="39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6"/>
  <c r="R15" i="27"/>
  <c r="R17" i="37"/>
  <c r="L15" i="37"/>
  <c r="R15" i="37" s="1"/>
  <c r="Q15" i="39"/>
  <c r="R15" i="39"/>
  <c r="R13" i="39"/>
  <c r="Q13" i="39"/>
  <c r="Q13" i="33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R13" i="42" l="1"/>
  <c r="Q13" i="37"/>
  <c r="R13" i="37"/>
  <c r="Q15" i="37"/>
  <c r="L3" i="11" l="1"/>
  <c r="C12" i="11"/>
  <c r="C18" i="11" s="1"/>
  <c r="N3" i="11" l="1"/>
  <c r="R3" i="11" s="1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Q13" i="11" l="1"/>
  <c r="R13" i="11"/>
  <c r="R15" i="11"/>
  <c r="Q15" i="11"/>
  <c r="R12" i="11"/>
  <c r="Q12" i="11"/>
  <c r="L5" i="29" l="1"/>
  <c r="L3" i="29"/>
  <c r="N3" i="29" l="1"/>
  <c r="R3" i="29" s="1"/>
  <c r="Q5" i="29"/>
  <c r="E17" i="29" s="1"/>
  <c r="R5" i="29"/>
  <c r="E15" i="29" l="1"/>
  <c r="E12" i="29"/>
  <c r="E18" i="29" s="1"/>
  <c r="L17" i="29"/>
  <c r="R17" i="29" s="1"/>
  <c r="L12" i="29" l="1"/>
  <c r="Q12" i="29" s="1"/>
  <c r="L15" i="29"/>
  <c r="R15" i="29" s="1"/>
  <c r="M13" i="29"/>
  <c r="Q17" i="29"/>
  <c r="R12" i="29" l="1"/>
  <c r="R13" i="29"/>
  <c r="Q15" i="29"/>
  <c r="Q13" i="29"/>
  <c r="Q5" i="18" l="1"/>
  <c r="E17" i="18" s="1"/>
  <c r="E15" i="18" s="1"/>
  <c r="R5" i="18"/>
  <c r="L17" i="18" l="1"/>
  <c r="E12" i="18"/>
  <c r="L15" i="18"/>
  <c r="M13" i="18"/>
  <c r="L12" i="18" l="1"/>
  <c r="E18" i="18"/>
  <c r="R17" i="18"/>
  <c r="Q17" i="18"/>
  <c r="Q13" i="18"/>
  <c r="R13" i="18"/>
  <c r="R15" i="18"/>
  <c r="Q15" i="18"/>
  <c r="Q12" i="18" l="1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<sst xmlns="http://schemas.openxmlformats.org/spreadsheetml/2006/main" count="1164" uniqueCount="109">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</sst>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4" sqref="B4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108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14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404662.98496964906</v>
      </c>
      <c r="D3" s="1">
        <f>VLOOKUP($B3, '[1]Pro of iron ore'!$B$2:$X$31, $A$1, FALSE)*(1-VLOOKUP($B3, '[1]Foundry share'!$B$2:$X$31, $A$1, FALSE))</f>
        <v>251345.86149907045</v>
      </c>
      <c r="E3" s="47">
        <f>VLOOKUP($B3, '[1]Iron content'!$B$2:$X$31, $A$1, FALSE)</f>
        <v>0.62112392493205715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645315.5727289276</v>
      </c>
      <c r="H3" s="1">
        <f>VLOOKUP($B3, '[1]Exp of pig iron'!$B$2:$X$31, $A$1, FALSE)</f>
        <v>302</v>
      </c>
      <c r="I3" s="1">
        <f>VLOOKUP($B3, '[1]Imp of pig iron'!$B$2:$X$31, $A$1, FALSE)</f>
        <v>581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112</v>
      </c>
      <c r="L3" s="1">
        <f>VLOOKUP($B3, '[1]Imp of DRI'!$B$2:$X$31, $A$1, FALSE)</f>
        <v>1071</v>
      </c>
      <c r="M3" s="1">
        <f>VLOOKUP($B3, '[1]Exp of scrap'!$B$2:$X$31, $A$1, FALSE)</f>
        <v>1</v>
      </c>
      <c r="N3" s="1">
        <f>VLOOKUP($B3, '[1]Imp of scrap'!$B$2:$X$31, $A$1, FALSE)</f>
        <v>4974</v>
      </c>
      <c r="O3" s="1">
        <f>VLOOKUP($B3, '[1]Pro of BOF steel'!$B$2:$X$31, $A$1, FALSE)</f>
        <v>666185</v>
      </c>
      <c r="P3" s="1">
        <f>VLOOKUP($B3, '[1]Pro of OHF steel'!$B$2:$X$31, $A$1, FALSE)</f>
        <v>0</v>
      </c>
      <c r="Q3" s="1">
        <f>VLOOKUP($B3, '[1]Pro of EAF steel'!$B$2:$X$31, $A$1, FALSE)</f>
        <v>64796</v>
      </c>
      <c r="R3" s="1">
        <f>VLOOKUP($B3, '[1]Exp of ingots and semis'!$B$2:$X$31, $A$1, FALSE)</f>
        <v>4</v>
      </c>
      <c r="S3" s="1">
        <f>VLOOKUP($B3, '[1]Imp of ingots and semis'!$B$2:$X$31, $A$1, FALSE)</f>
        <v>402</v>
      </c>
      <c r="T3" s="1">
        <f>VLOOKUP($B3, '[1]Pro of hr long'!$B$2:$X$31, $A$1, FALSE)+VLOOKUP($B3, '[1]Pro of seamless tubes'!$B$2:$X$31, $A$1, FALSE)</f>
        <v>482482</v>
      </c>
      <c r="U3" s="1">
        <f>VLOOKUP($B3, '[1]Exp of long'!$B$2:$X$31, $A$1, FALSE)</f>
        <v>17565</v>
      </c>
      <c r="V3" s="1">
        <f>VLOOKUP($B3, '[1]Imp of long'!$B$2:$X$31, $A$1, FALSE)</f>
        <v>1531</v>
      </c>
      <c r="W3" s="1">
        <f>VLOOKUP($B3, '[1]Pro of hr flat'!$B$2:$X$31, $A$1, FALSE)*parameters!$B$8</f>
        <v>277421.38691322901</v>
      </c>
      <c r="X3" s="1">
        <f>VLOOKUP($B3, '[1]Exp of flat'!$B$2:$X$31, $A$1, FALSE)</f>
        <v>26966</v>
      </c>
      <c r="Y3" s="1">
        <f>VLOOKUP($B3, '[1]Imp of flat'!$B$2:$X$31, $A$1, FALSE)</f>
        <v>11666</v>
      </c>
      <c r="Z3" s="1">
        <f>VLOOKUP($B3, '[1]Indirect exp'!$B$2:$X$31, $A$1, FALSE)</f>
        <v>69431</v>
      </c>
      <c r="AA3" s="1">
        <f>VLOOKUP($B3, '[1]Indirect imp'!$B$2:$X$31, $A$1, FALSE)</f>
        <v>12797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118548.31880877096</v>
      </c>
      <c r="D4" s="1">
        <f>VLOOKUP($B4, '[1]Pro of iron ore'!$B$2:$X$31, $A$1, FALSE)*(1-VLOOKUP($B4, '[1]Foundry share'!$B$2:$X$31, $A$1, FALSE))</f>
        <v>72889.800611462328</v>
      </c>
      <c r="E4" s="47">
        <f>VLOOKUP($B4, '[1]Iron content'!$B$2:$X$31, $A$1, FALSE)</f>
        <v>0.61485309402860533</v>
      </c>
      <c r="F4" s="1">
        <f>VLOOKUP($B4, '[1]Exp of usable iron ore'!$B$2:$X$31, $A$1, FALSE)*parameters!$B$12</f>
        <v>18480.8</v>
      </c>
      <c r="G4" s="1">
        <f>VLOOKUP($B4, '[1]Pro of pig iron'!$B$2:$X$31, $A$1, FALSE)*(1-VLOOKUP($B4, '[1]Foundry share'!$B$2:$X$31, $A$1, FALSE))</f>
        <v>41640.034070740985</v>
      </c>
      <c r="H4" s="1">
        <f>VLOOKUP($B4, '[1]Exp of pig iron'!$B$2:$X$31, $A$1, FALSE)</f>
        <v>394</v>
      </c>
      <c r="I4" s="1">
        <f>VLOOKUP($B4, '[1]Imp of pig iron'!$B$2:$X$31, $A$1, FALSE)</f>
        <v>12</v>
      </c>
      <c r="J4" s="1">
        <f>VLOOKUP($B4, '[1]Pro of DRI'!$B$2:$X$31, $A$1, FALSE)*(1-VLOOKUP($B4, '[1]Foundry share'!$B$2:$X$31, $A$1, FALSE))</f>
        <v>20337.989842041119</v>
      </c>
      <c r="K4" s="1">
        <f>VLOOKUP($B4, '[1]Exp of DRI'!$B$2:$X$31, $A$1, FALSE)</f>
        <v>126</v>
      </c>
      <c r="L4" s="1">
        <f>VLOOKUP($B4, '[1]Imp of DRI'!$B$2:$X$31, $A$1, FALSE)</f>
        <v>1069</v>
      </c>
      <c r="M4" s="1">
        <f>VLOOKUP($B4, '[1]Exp of scrap'!$B$2:$X$31, $A$1, FALSE)</f>
        <v>0</v>
      </c>
      <c r="N4" s="1">
        <f>VLOOKUP($B4, '[1]Imp of scrap'!$B$2:$X$31, $A$1, FALSE)</f>
        <v>8156</v>
      </c>
      <c r="O4" s="1">
        <f>VLOOKUP($B4, '[1]Pro of BOF steel'!$B$2:$X$31, $A$1, FALSE)</f>
        <v>24664</v>
      </c>
      <c r="P4" s="1">
        <f>VLOOKUP($B4, '[1]Pro of OHF steel'!$B$2:$X$31, $A$1, FALSE)</f>
        <v>250</v>
      </c>
      <c r="Q4" s="1">
        <f>VLOOKUP($B4, '[1]Pro of EAF steel'!$B$2:$X$31, $A$1, FALSE)</f>
        <v>52350</v>
      </c>
      <c r="R4" s="1">
        <f>VLOOKUP($B4, '[1]Exp of ingots and semis'!$B$2:$X$31, $A$1, FALSE)</f>
        <v>601</v>
      </c>
      <c r="S4" s="1">
        <f>VLOOKUP($B4, '[1]Imp of ingots and semis'!$B$2:$X$31, $A$1, FALSE)</f>
        <v>823</v>
      </c>
      <c r="T4" s="1">
        <f>VLOOKUP($B4, '[1]Pro of hr long'!$B$2:$X$31, $A$1, FALSE)+VLOOKUP($B4, '[1]Pro of seamless tubes'!$B$2:$X$31, $A$1, FALSE)</f>
        <v>35179</v>
      </c>
      <c r="U4" s="1">
        <f>VLOOKUP($B4, '[1]Exp of long'!$B$2:$X$31, $A$1, FALSE)</f>
        <v>707</v>
      </c>
      <c r="V4" s="1">
        <f>VLOOKUP($B4, '[1]Imp of long'!$B$2:$X$31, $A$1, FALSE)</f>
        <v>963</v>
      </c>
      <c r="W4" s="1">
        <f>VLOOKUP($B4, '[1]Pro of hr flat'!$B$2:$X$31, $A$1, FALSE)*parameters!$B$8</f>
        <v>38547.237553342813</v>
      </c>
      <c r="X4" s="1">
        <f>VLOOKUP($B4, '[1]Exp of flat'!$B$2:$X$31, $A$1, FALSE)</f>
        <v>4445</v>
      </c>
      <c r="Y4" s="1">
        <f>VLOOKUP($B4, '[1]Imp of flat'!$B$2:$X$31, $A$1, FALSE)</f>
        <v>6868</v>
      </c>
      <c r="Z4" s="1">
        <f>VLOOKUP($B4, '[1]Indirect exp'!$B$2:$X$31, $A$1, FALSE)</f>
        <v>4692</v>
      </c>
      <c r="AA4" s="1">
        <f>VLOOKUP($B4, '[1]Indirect imp'!$B$2:$X$31, $A$1, FALSE)</f>
        <v>4606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81405</v>
      </c>
      <c r="H5" s="1">
        <f>VLOOKUP($B5, '[1]Exp of pig iron'!$B$2:$X$31, $A$1, FALSE)</f>
        <v>402</v>
      </c>
      <c r="I5" s="1">
        <f>VLOOKUP($B5, '[1]Imp of pig iron'!$B$2:$X$31, $A$1, FALSE)</f>
        <v>113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84</v>
      </c>
      <c r="M5" s="1">
        <f>VLOOKUP($B5, '[1]Exp of scrap'!$B$2:$X$31, $A$1, FALSE)</f>
        <v>8594</v>
      </c>
      <c r="N5" s="1">
        <f>VLOOKUP($B5, '[1]Imp of scrap'!$B$2:$X$31, $A$1, FALSE)</f>
        <v>225</v>
      </c>
      <c r="O5" s="1">
        <f>VLOOKUP($B5, '[1]Pro of BOF steel'!$B$2:$X$31, $A$1, FALSE)</f>
        <v>82307</v>
      </c>
      <c r="P5" s="1">
        <f>VLOOKUP($B5, '[1]Pro of OHF steel'!$B$2:$X$31, $A$1, FALSE)</f>
        <v>0</v>
      </c>
      <c r="Q5" s="1">
        <f>VLOOKUP($B5, '[1]Pro of EAF steel'!$B$2:$X$31, $A$1, FALSE)</f>
        <v>24925</v>
      </c>
      <c r="R5" s="1">
        <f>VLOOKUP($B5, '[1]Exp of ingots and semis'!$B$2:$X$31, $A$1, FALSE)</f>
        <v>5519</v>
      </c>
      <c r="S5" s="1">
        <f>VLOOKUP($B5, '[1]Imp of ingots and semis'!$B$2:$X$31, $A$1, FALSE)</f>
        <v>287</v>
      </c>
      <c r="T5" s="1">
        <f>VLOOKUP($B5, '[1]Pro of hr long'!$B$2:$X$31, $A$1, FALSE)+VLOOKUP($B5, '[1]Pro of seamless tubes'!$B$2:$X$31, $A$1, FALSE)</f>
        <v>31127</v>
      </c>
      <c r="U5" s="1">
        <f>VLOOKUP($B5, '[1]Exp of long'!$B$2:$X$31, $A$1, FALSE)</f>
        <v>4770</v>
      </c>
      <c r="V5" s="1">
        <f>VLOOKUP($B5, '[1]Imp of long'!$B$2:$X$31, $A$1, FALSE)</f>
        <v>979</v>
      </c>
      <c r="W5" s="1">
        <f>VLOOKUP($B5, '[1]Pro of hr flat'!$B$2:$X$31, $A$1, FALSE)*parameters!$B$8</f>
        <v>61945.088193456613</v>
      </c>
      <c r="X5" s="1">
        <f>VLOOKUP($B5, '[1]Exp of flat'!$B$2:$X$31, $A$1, FALSE)</f>
        <v>28136</v>
      </c>
      <c r="Y5" s="1">
        <f>VLOOKUP($B5, '[1]Imp of flat'!$B$2:$X$31, $A$1, FALSE)</f>
        <v>4100</v>
      </c>
      <c r="Z5" s="1">
        <f>VLOOKUP($B5, '[1]Indirect exp'!$B$2:$X$31, $A$1, FALSE)</f>
        <v>26972</v>
      </c>
      <c r="AA5" s="1">
        <f>VLOOKUP($B5, '[1]Indirect imp'!$B$2:$X$31, $A$1, FALSE)</f>
        <v>7054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54700</v>
      </c>
      <c r="D6" s="1">
        <f>VLOOKUP($B6, '[1]Pro of iron ore'!$B$2:$X$31, $A$1, FALSE)*(1-VLOOKUP($B6, '[1]Foundry share'!$B$2:$X$31, $A$1, FALSE))</f>
        <v>33400</v>
      </c>
      <c r="E6" s="47">
        <f>VLOOKUP($B6, '[1]Iron content'!$B$2:$X$31, $A$1, FALSE)</f>
        <v>0.61060329067641683</v>
      </c>
      <c r="F6" s="1">
        <f>VLOOKUP($B6, '[1]Exp of usable iron ore'!$B$2:$X$31, $A$1, FALSE)*parameters!$B$12</f>
        <v>7266.35</v>
      </c>
      <c r="G6" s="1">
        <f>VLOOKUP($B6, '[1]Pro of pig iron'!$B$2:$X$31, $A$1, FALSE)*(1-VLOOKUP($B6, '[1]Foundry share'!$B$2:$X$31, $A$1, FALSE))</f>
        <v>32062</v>
      </c>
      <c r="H6" s="1">
        <f>VLOOKUP($B6, '[1]Exp of pig iron'!$B$2:$X$31, $A$1, FALSE)</f>
        <v>122</v>
      </c>
      <c r="I6" s="1">
        <f>VLOOKUP($B6, '[1]Imp of pig iron'!$B$2:$X$31, $A$1, FALSE)</f>
        <v>4270</v>
      </c>
      <c r="J6" s="1">
        <f>VLOOKUP($B6, '[1]Pro of DRI'!$B$2:$X$31, $A$1, FALSE)*(1-VLOOKUP($B6, '[1]Foundry share'!$B$2:$X$31, $A$1, FALSE))</f>
        <v>0</v>
      </c>
      <c r="K6" s="1">
        <f>VLOOKUP($B6, '[1]Exp of DRI'!$B$2:$X$31, $A$1, FALSE)</f>
        <v>8</v>
      </c>
      <c r="L6" s="1">
        <f>VLOOKUP($B6, '[1]Imp of DRI'!$B$2:$X$31, $A$1, FALSE)</f>
        <v>2762</v>
      </c>
      <c r="M6" s="1">
        <f>VLOOKUP($B6, '[1]Exp of scrap'!$B$2:$X$31, $A$1, FALSE)</f>
        <v>21397</v>
      </c>
      <c r="N6" s="1">
        <f>VLOOKUP($B6, '[1]Imp of scrap'!$B$2:$X$31, $A$1, FALSE)</f>
        <v>3711</v>
      </c>
      <c r="O6" s="1">
        <f>VLOOKUP($B6, '[1]Pro of BOF steel'!$B$2:$X$31, $A$1, FALSE)</f>
        <v>36281</v>
      </c>
      <c r="P6" s="1">
        <f>VLOOKUP($B6, '[1]Pro of OHF steel'!$B$2:$X$31, $A$1, FALSE)</f>
        <v>0</v>
      </c>
      <c r="Q6" s="1">
        <f>VLOOKUP($B6, '[1]Pro of EAF steel'!$B$2:$X$31, $A$1, FALSE)</f>
        <v>52414</v>
      </c>
      <c r="R6" s="1">
        <f>VLOOKUP($B6, '[1]Exp of ingots and semis'!$B$2:$X$31, $A$1, FALSE)</f>
        <v>808</v>
      </c>
      <c r="S6" s="1">
        <f>VLOOKUP($B6, '[1]Imp of ingots and semis'!$B$2:$X$31, $A$1, FALSE)</f>
        <v>6915</v>
      </c>
      <c r="T6" s="1">
        <f>VLOOKUP($B6, '[1]Pro of hr long'!$B$2:$X$31, $A$1, FALSE)+VLOOKUP($B6, '[1]Pro of seamless tubes'!$B$2:$X$31, $A$1, FALSE)</f>
        <v>25468</v>
      </c>
      <c r="U6" s="1">
        <f>VLOOKUP($B6, '[1]Exp of long'!$B$2:$X$31, $A$1, FALSE)</f>
        <v>3629</v>
      </c>
      <c r="V6" s="1">
        <f>VLOOKUP($B6, '[1]Imp of long'!$B$2:$X$31, $A$1, FALSE)</f>
        <v>4979</v>
      </c>
      <c r="W6" s="1">
        <f>VLOOKUP($B6, '[1]Pro of hr flat'!$B$2:$X$31, $A$1, FALSE)*parameters!$B$8</f>
        <v>61000.74110953058</v>
      </c>
      <c r="X6" s="1">
        <f>VLOOKUP($B6, '[1]Exp of flat'!$B$2:$X$31, $A$1, FALSE)</f>
        <v>6734</v>
      </c>
      <c r="Y6" s="1">
        <f>VLOOKUP($B6, '[1]Imp of flat'!$B$2:$X$31, $A$1, FALSE)</f>
        <v>10179</v>
      </c>
      <c r="Z6" s="1">
        <f>VLOOKUP($B6, '[1]Indirect exp'!$B$2:$X$31, $A$1, FALSE)</f>
        <v>22013</v>
      </c>
      <c r="AA6" s="1">
        <f>VLOOKUP($B6, '[1]Indirect imp'!$B$2:$X$31, $A$1, FALSE)</f>
        <v>38297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104010</v>
      </c>
      <c r="D7" s="1">
        <f>VLOOKUP($B7, '[1]Pro of iron ore'!$B$2:$X$31, $A$1, FALSE)*(1-VLOOKUP($B7, '[1]Foundry share'!$B$2:$X$31, $A$1, FALSE))</f>
        <v>62900</v>
      </c>
      <c r="E7" s="47">
        <f>VLOOKUP($B7, '[1]Iron content'!$B$2:$X$31, $A$1, FALSE)</f>
        <v>0.60474954331314301</v>
      </c>
      <c r="F7" s="1">
        <f>VLOOKUP($B7, '[1]Exp of usable iron ore'!$B$2:$X$31, $A$1, FALSE)*parameters!$B$12</f>
        <v>16551.600000000002</v>
      </c>
      <c r="G7" s="1">
        <f>VLOOKUP($B7, '[1]Pro of pig iron'!$B$2:$X$31, $A$1, FALSE)*(1-VLOOKUP($B7, '[1]Foundry share'!$B$2:$X$31, $A$1, FALSE))</f>
        <v>50529</v>
      </c>
      <c r="H7" s="1">
        <f>VLOOKUP($B7, '[1]Exp of pig iron'!$B$2:$X$31, $A$1, FALSE)</f>
        <v>3996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5125</v>
      </c>
      <c r="K7" s="1">
        <f>VLOOKUP($B7, '[1]Exp of DRI'!$B$2:$X$31, $A$1, FALSE)</f>
        <v>2132</v>
      </c>
      <c r="L7" s="1">
        <f>VLOOKUP($B7, '[1]Imp of DRI'!$B$2:$X$31, $A$1, FALSE)</f>
        <v>0</v>
      </c>
      <c r="M7" s="1">
        <f>VLOOKUP($B7, '[1]Exp of scrap'!$B$2:$X$31, $A$1, FALSE)</f>
        <v>4349</v>
      </c>
      <c r="N7" s="1">
        <f>VLOOKUP($B7, '[1]Imp of scrap'!$B$2:$X$31, $A$1, FALSE)</f>
        <v>4</v>
      </c>
      <c r="O7" s="1">
        <f>VLOOKUP($B7, '[1]Pro of BOF steel'!$B$2:$X$31, $A$1, FALSE)</f>
        <v>45800</v>
      </c>
      <c r="P7" s="1">
        <f>VLOOKUP($B7, '[1]Pro of OHF steel'!$B$2:$X$31, $A$1, FALSE)</f>
        <v>3610</v>
      </c>
      <c r="Q7" s="1">
        <f>VLOOKUP($B7, '[1]Pro of EAF steel'!$B$2:$X$31, $A$1, FALSE)</f>
        <v>20800</v>
      </c>
      <c r="R7" s="1">
        <f>VLOOKUP($B7, '[1]Exp of ingots and semis'!$B$2:$X$31, $A$1, FALSE)</f>
        <v>15507</v>
      </c>
      <c r="S7" s="1">
        <f>VLOOKUP($B7, '[1]Imp of ingots and semis'!$B$2:$X$31, $A$1, FALSE)</f>
        <v>19</v>
      </c>
      <c r="T7" s="1">
        <f>VLOOKUP($B7, '[1]Pro of hr long'!$B$2:$X$31, $A$1, FALSE)+VLOOKUP($B7, '[1]Pro of seamless tubes'!$B$2:$X$31, $A$1, FALSE)</f>
        <v>20587</v>
      </c>
      <c r="U7" s="1">
        <f>VLOOKUP($B7, '[1]Exp of long'!$B$2:$X$31, $A$1, FALSE)</f>
        <v>2496</v>
      </c>
      <c r="V7" s="1">
        <f>VLOOKUP($B7, '[1]Imp of long'!$B$2:$X$31, $A$1, FALSE)</f>
        <v>2611</v>
      </c>
      <c r="W7" s="1">
        <f>VLOOKUP($B7, '[1]Pro of hr flat'!$B$2:$X$31, $A$1, FALSE)*parameters!$B$8</f>
        <v>25324.435277382647</v>
      </c>
      <c r="X7" s="1">
        <f>VLOOKUP($B7, '[1]Exp of flat'!$B$2:$X$31, $A$1, FALSE)</f>
        <v>7669</v>
      </c>
      <c r="Y7" s="1">
        <f>VLOOKUP($B7, '[1]Imp of flat'!$B$2:$X$31, $A$1, FALSE)</f>
        <v>3432</v>
      </c>
      <c r="Z7" s="1">
        <f>VLOOKUP($B7, '[1]Indirect exp'!$B$2:$X$31, $A$1, FALSE)</f>
        <v>2038</v>
      </c>
      <c r="AA7" s="1">
        <f>VLOOKUP($B7, '[1]Indirect imp'!$B$2:$X$31, $A$1, FALSE)</f>
        <v>11627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41734</v>
      </c>
      <c r="H8" s="1">
        <f>VLOOKUP($B8, '[1]Exp of pig iron'!$B$2:$X$31, $A$1, FALSE)</f>
        <v>41</v>
      </c>
      <c r="I8" s="1">
        <f>VLOOKUP($B8, '[1]Imp of pig iron'!$B$2:$X$31, $A$1, FALSE)</f>
        <v>833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70</v>
      </c>
      <c r="L8" s="1">
        <f>VLOOKUP($B8, '[1]Imp of DRI'!$B$2:$X$31, $A$1, FALSE)</f>
        <v>439</v>
      </c>
      <c r="M8" s="1">
        <f>VLOOKUP($B8, '[1]Exp of scrap'!$B$2:$X$31, $A$1, FALSE)</f>
        <v>236</v>
      </c>
      <c r="N8" s="1">
        <f>VLOOKUP($B8, '[1]Imp of scrap'!$B$2:$X$31, $A$1, FALSE)</f>
        <v>10126</v>
      </c>
      <c r="O8" s="1">
        <f>VLOOKUP($B8, '[1]Pro of BOF steel'!$B$2:$X$31, $A$1, FALSE)</f>
        <v>43119</v>
      </c>
      <c r="P8" s="1">
        <f>VLOOKUP($B8, '[1]Pro of OHF steel'!$B$2:$X$31, $A$1, FALSE)</f>
        <v>0</v>
      </c>
      <c r="Q8" s="1">
        <f>VLOOKUP($B8, '[1]Pro of EAF steel'!$B$2:$X$31, $A$1, FALSE)</f>
        <v>25955</v>
      </c>
      <c r="R8" s="1">
        <f>VLOOKUP($B8, '[1]Exp of ingots and semis'!$B$2:$X$31, $A$1, FALSE)</f>
        <v>1985</v>
      </c>
      <c r="S8" s="1">
        <f>VLOOKUP($B8, '[1]Imp of ingots and semis'!$B$2:$X$31, $A$1, FALSE)</f>
        <v>2760</v>
      </c>
      <c r="T8" s="1">
        <f>VLOOKUP($B8, '[1]Pro of hr long'!$B$2:$X$31, $A$1, FALSE)+VLOOKUP($B8, '[1]Pro of seamless tubes'!$B$2:$X$31, $A$1, FALSE)</f>
        <v>19785</v>
      </c>
      <c r="U8" s="1">
        <f>VLOOKUP($B8, '[1]Exp of long'!$B$2:$X$31, $A$1, FALSE)</f>
        <v>3449</v>
      </c>
      <c r="V8" s="1">
        <f>VLOOKUP($B8, '[1]Imp of long'!$B$2:$X$31, $A$1, FALSE)</f>
        <v>4685</v>
      </c>
      <c r="W8" s="1">
        <f>VLOOKUP($B8, '[1]Pro of hr flat'!$B$2:$X$31, $A$1, FALSE)*parameters!$B$8</f>
        <v>45226.64722617354</v>
      </c>
      <c r="X8" s="1">
        <f>VLOOKUP($B8, '[1]Exp of flat'!$B$2:$X$31, $A$1, FALSE)</f>
        <v>21625</v>
      </c>
      <c r="Y8" s="1">
        <f>VLOOKUP($B8, '[1]Imp of flat'!$B$2:$X$31, $A$1, FALSE)</f>
        <v>11983</v>
      </c>
      <c r="Z8" s="1">
        <f>VLOOKUP($B8, '[1]Indirect exp'!$B$2:$X$31, $A$1, FALSE)</f>
        <v>25355</v>
      </c>
      <c r="AA8" s="1">
        <f>VLOOKUP($B8, '[1]Indirect imp'!$B$2:$X$31, $A$1, FALSE)</f>
        <v>6419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450</v>
      </c>
      <c r="D9" s="1">
        <f>VLOOKUP($B9, '[1]Pro of iron ore'!$B$2:$X$31, $A$1, FALSE)*(1-VLOOKUP($B9, '[1]Foundry share'!$B$2:$X$31, $A$1, FALSE))</f>
        <v>47.2</v>
      </c>
      <c r="E9" s="47">
        <f>VLOOKUP($B9, '[1]Iron content'!$B$2:$X$31, $A$1, FALSE)</f>
        <v>0.10488888888888889</v>
      </c>
      <c r="F9" s="1">
        <f>VLOOKUP($B9, '[1]Exp of usable iron ore'!$B$2:$X$31, $A$1, FALSE)*parameters!$B$12</f>
        <v>26</v>
      </c>
      <c r="G9" s="1">
        <f>VLOOKUP($B9, '[1]Pro of pig iron'!$B$2:$X$31, $A$1, FALSE)*(1-VLOOKUP($B9, '[1]Foundry share'!$B$2:$X$31, $A$1, FALSE))</f>
        <v>26493</v>
      </c>
      <c r="H9" s="1">
        <f>VLOOKUP($B9, '[1]Exp of pig iron'!$B$2:$X$31, $A$1, FALSE)</f>
        <v>125</v>
      </c>
      <c r="I9" s="1">
        <f>VLOOKUP($B9, '[1]Imp of pig iron'!$B$2:$X$31, $A$1, FALSE)</f>
        <v>585</v>
      </c>
      <c r="J9" s="1">
        <f>VLOOKUP($B9, '[1]Pro of DRI'!$B$2:$X$31, $A$1, FALSE)*(1-VLOOKUP($B9, '[1]Foundry share'!$B$2:$X$31, $A$1, FALSE))</f>
        <v>555</v>
      </c>
      <c r="K9" s="1">
        <f>VLOOKUP($B9, '[1]Exp of DRI'!$B$2:$X$31, $A$1, FALSE)</f>
        <v>0</v>
      </c>
      <c r="L9" s="1">
        <f>VLOOKUP($B9, '[1]Imp of DRI'!$B$2:$X$31, $A$1, FALSE)</f>
        <v>127</v>
      </c>
      <c r="M9" s="1">
        <f>VLOOKUP($B9, '[1]Exp of scrap'!$B$2:$X$31, $A$1, FALSE)</f>
        <v>8924</v>
      </c>
      <c r="N9" s="1">
        <f>VLOOKUP($B9, '[1]Imp of scrap'!$B$2:$X$31, $A$1, FALSE)</f>
        <v>5484</v>
      </c>
      <c r="O9" s="1">
        <f>VLOOKUP($B9, '[1]Pro of BOF steel'!$B$2:$X$31, $A$1, FALSE)</f>
        <v>28872</v>
      </c>
      <c r="P9" s="1">
        <f>VLOOKUP($B9, '[1]Pro of OHF steel'!$B$2:$X$31, $A$1, FALSE)</f>
        <v>0</v>
      </c>
      <c r="Q9" s="1">
        <f>VLOOKUP($B9, '[1]Pro of EAF steel'!$B$2:$X$31, $A$1, FALSE)</f>
        <v>13789</v>
      </c>
      <c r="R9" s="1">
        <f>VLOOKUP($B9, '[1]Exp of ingots and semis'!$B$2:$X$31, $A$1, FALSE)</f>
        <v>1690</v>
      </c>
      <c r="S9" s="1">
        <f>VLOOKUP($B9, '[1]Imp of ingots and semis'!$B$2:$X$31, $A$1, FALSE)</f>
        <v>1728</v>
      </c>
      <c r="T9" s="1">
        <f>VLOOKUP($B9, '[1]Pro of hr long'!$B$2:$X$31, $A$1, FALSE)+VLOOKUP($B9, '[1]Pro of seamless tubes'!$B$2:$X$31, $A$1, FALSE)</f>
        <v>14173</v>
      </c>
      <c r="U9" s="1">
        <f>VLOOKUP($B9, '[1]Exp of long'!$B$2:$X$31, $A$1, FALSE)</f>
        <v>7322</v>
      </c>
      <c r="V9" s="1">
        <f>VLOOKUP($B9, '[1]Imp of long'!$B$2:$X$31, $A$1, FALSE)</f>
        <v>6265</v>
      </c>
      <c r="W9" s="1">
        <f>VLOOKUP($B9, '[1]Pro of hr flat'!$B$2:$X$31, $A$1, FALSE)*parameters!$B$8</f>
        <v>22996.60028449502</v>
      </c>
      <c r="X9" s="1">
        <f>VLOOKUP($B9, '[1]Exp of flat'!$B$2:$X$31, $A$1, FALSE)</f>
        <v>13382</v>
      </c>
      <c r="Y9" s="1">
        <f>VLOOKUP($B9, '[1]Imp of flat'!$B$2:$X$31, $A$1, FALSE)</f>
        <v>12527</v>
      </c>
      <c r="Z9" s="1">
        <f>VLOOKUP($B9, '[1]Indirect exp'!$B$2:$X$31, $A$1, FALSE)</f>
        <v>30110</v>
      </c>
      <c r="AA9" s="1">
        <f>VLOOKUP($B9, '[1]Indirect imp'!$B$2:$X$31, $A$1, FALSE)</f>
        <v>21231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8102</v>
      </c>
      <c r="D10" s="1">
        <f>VLOOKUP($B10, '[1]Pro of iron ore'!$B$2:$X$31, $A$1, FALSE)*(1-VLOOKUP($B10, '[1]Foundry share'!$B$2:$X$31, $A$1, FALSE))</f>
        <v>4900</v>
      </c>
      <c r="E10" s="47">
        <f>VLOOKUP($B10, '[1]Iron content'!$B$2:$X$31, $A$1, FALSE)</f>
        <v>0.60478894100222169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8613</v>
      </c>
      <c r="H10" s="1">
        <f>VLOOKUP($B10, '[1]Exp of pig iron'!$B$2:$X$31, $A$1, FALSE)</f>
        <v>8</v>
      </c>
      <c r="I10" s="1">
        <f>VLOOKUP($B10, '[1]Imp of pig iron'!$B$2:$X$31, $A$1, FALSE)</f>
        <v>1377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5</v>
      </c>
      <c r="M10" s="1">
        <f>VLOOKUP($B10, '[1]Exp of scrap'!$B$2:$X$31, $A$1, FALSE)</f>
        <v>95</v>
      </c>
      <c r="N10" s="1">
        <f>VLOOKUP($B10, '[1]Imp of scrap'!$B$2:$X$31, $A$1, FALSE)</f>
        <v>22415</v>
      </c>
      <c r="O10" s="1">
        <f>VLOOKUP($B10, '[1]Pro of BOF steel'!$B$2:$X$31, $A$1, FALSE)</f>
        <v>9325</v>
      </c>
      <c r="P10" s="1">
        <f>VLOOKUP($B10, '[1]Pro of OHF steel'!$B$2:$X$31, $A$1, FALSE)</f>
        <v>0</v>
      </c>
      <c r="Q10" s="1">
        <f>VLOOKUP($B10, '[1]Pro of EAF steel'!$B$2:$X$31, $A$1, FALSE)</f>
        <v>26560</v>
      </c>
      <c r="R10" s="1">
        <f>VLOOKUP($B10, '[1]Exp of ingots and semis'!$B$2:$X$31, $A$1, FALSE)</f>
        <v>2980</v>
      </c>
      <c r="S10" s="1">
        <f>VLOOKUP($B10, '[1]Imp of ingots and semis'!$B$2:$X$31, $A$1, FALSE)</f>
        <v>3356</v>
      </c>
      <c r="T10" s="1">
        <f>VLOOKUP($B10, '[1]Pro of hr long'!$B$2:$X$31, $A$1, FALSE)+VLOOKUP($B10, '[1]Pro of seamless tubes'!$B$2:$X$31, $A$1, FALSE)</f>
        <v>25247</v>
      </c>
      <c r="U10" s="1">
        <f>VLOOKUP($B10, '[1]Exp of long'!$B$2:$X$31, $A$1, FALSE)</f>
        <v>11774</v>
      </c>
      <c r="V10" s="1">
        <f>VLOOKUP($B10, '[1]Imp of long'!$B$2:$X$31, $A$1, FALSE)</f>
        <v>1301</v>
      </c>
      <c r="W10" s="1">
        <f>VLOOKUP($B10, '[1]Pro of hr flat'!$B$2:$X$31, $A$1, FALSE)*parameters!$B$8</f>
        <v>8781.8449502133717</v>
      </c>
      <c r="X10" s="1">
        <f>VLOOKUP($B10, '[1]Exp of flat'!$B$2:$X$31, $A$1, FALSE)</f>
        <v>1863</v>
      </c>
      <c r="Y10" s="1">
        <f>VLOOKUP($B10, '[1]Imp of flat'!$B$2:$X$31, $A$1, FALSE)</f>
        <v>6446</v>
      </c>
      <c r="Z10" s="1">
        <f>VLOOKUP($B10, '[1]Indirect exp'!$B$2:$X$31, $A$1, FALSE)</f>
        <v>5471</v>
      </c>
      <c r="AA10" s="1">
        <f>VLOOKUP($B10, '[1]Indirect imp'!$B$2:$X$31, $A$1, FALSE)</f>
        <v>4132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400822</v>
      </c>
      <c r="D11" s="1">
        <f>VLOOKUP($B11, '[1]Pro of iron ore'!$B$2:$X$31, $A$1, FALSE)*(1-VLOOKUP($B11, '[1]Foundry share'!$B$2:$X$31, $A$1, FALSE))</f>
        <v>258000</v>
      </c>
      <c r="E11" s="47">
        <f>VLOOKUP($B11, '[1]Iron content'!$B$2:$X$31, $A$1, FALSE)</f>
        <v>0.64367724326509024</v>
      </c>
      <c r="F11" s="1">
        <f>VLOOKUP($B11, '[1]Exp of usable iron ore'!$B$2:$X$31, $A$1, FALSE)*parameters!$B$12</f>
        <v>212234.75</v>
      </c>
      <c r="G11" s="1">
        <f>VLOOKUP($B11, '[1]Pro of pig iron'!$B$2:$X$31, $A$1, FALSE)*(1-VLOOKUP($B11, '[1]Foundry share'!$B$2:$X$31, $A$1, FALSE))</f>
        <v>26900</v>
      </c>
      <c r="H11" s="1">
        <f>VLOOKUP($B11, '[1]Exp of pig iron'!$B$2:$X$31, $A$1, FALSE)</f>
        <v>3027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444</v>
      </c>
      <c r="N11" s="1">
        <f>VLOOKUP($B11, '[1]Imp of scrap'!$B$2:$X$31, $A$1, FALSE)</f>
        <v>51</v>
      </c>
      <c r="O11" s="1">
        <f>VLOOKUP($B11, '[1]Pro of BOF steel'!$B$2:$X$31, $A$1, FALSE)</f>
        <v>25962</v>
      </c>
      <c r="P11" s="1">
        <f>VLOOKUP($B11, '[1]Pro of OHF steel'!$B$2:$X$31, $A$1, FALSE)</f>
        <v>468</v>
      </c>
      <c r="Q11" s="1">
        <f>VLOOKUP($B11, '[1]Pro of EAF steel'!$B$2:$X$31, $A$1, FALSE)</f>
        <v>8094</v>
      </c>
      <c r="R11" s="1">
        <f>VLOOKUP($B11, '[1]Exp of ingots and semis'!$B$2:$X$31, $A$1, FALSE)</f>
        <v>6637</v>
      </c>
      <c r="S11" s="1">
        <f>VLOOKUP($B11, '[1]Imp of ingots and semis'!$B$2:$X$31, $A$1, FALSE)</f>
        <v>32</v>
      </c>
      <c r="T11" s="1">
        <f>VLOOKUP($B11, '[1]Pro of hr long'!$B$2:$X$31, $A$1, FALSE)+VLOOKUP($B11, '[1]Pro of seamless tubes'!$B$2:$X$31, $A$1, FALSE)</f>
        <v>10798</v>
      </c>
      <c r="U11" s="1">
        <f>VLOOKUP($B11, '[1]Exp of long'!$B$2:$X$31, $A$1, FALSE)</f>
        <v>816</v>
      </c>
      <c r="V11" s="1">
        <f>VLOOKUP($B11, '[1]Imp of long'!$B$2:$X$31, $A$1, FALSE)</f>
        <v>1298</v>
      </c>
      <c r="W11" s="1">
        <f>VLOOKUP($B11, '[1]Pro of hr flat'!$B$2:$X$31, $A$1, FALSE)*parameters!$B$8</f>
        <v>14473.187766714082</v>
      </c>
      <c r="X11" s="1">
        <f>VLOOKUP($B11, '[1]Exp of flat'!$B$2:$X$31, $A$1, FALSE)</f>
        <v>1960</v>
      </c>
      <c r="Y11" s="1">
        <f>VLOOKUP($B11, '[1]Imp of flat'!$B$2:$X$31, $A$1, FALSE)</f>
        <v>2101</v>
      </c>
      <c r="Z11" s="1">
        <f>VLOOKUP($B11, '[1]Indirect exp'!$B$2:$X$31, $A$1, FALSE)</f>
        <v>2812</v>
      </c>
      <c r="AA11" s="1">
        <f>VLOOKUP($B11, '[1]Indirect imp'!$B$2:$X$31, $A$1, FALSE)</f>
        <v>4752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31763.775747421409</v>
      </c>
      <c r="D12" s="1">
        <f>VLOOKUP($B12, '[1]Pro of iron ore'!$B$2:$X$31, $A$1, FALSE)*(1-VLOOKUP($B12, '[1]Foundry share'!$B$2:$X$31, $A$1, FALSE))</f>
        <v>14999.560769615666</v>
      </c>
      <c r="E12" s="47">
        <f>VLOOKUP($B12, '[1]Iron content'!$B$2:$X$31, $A$1, FALSE)</f>
        <v>0.47222222222222221</v>
      </c>
      <c r="F12" s="1">
        <f>VLOOKUP($B12, '[1]Exp of usable iron ore'!$B$2:$X$31, $A$1, FALSE)*parameters!$B$12</f>
        <v>11397.1</v>
      </c>
      <c r="G12" s="1">
        <f>VLOOKUP($B12, '[1]Pro of pig iron'!$B$2:$X$31, $A$1, FALSE)*(1-VLOOKUP($B12, '[1]Foundry share'!$B$2:$X$31, $A$1, FALSE))</f>
        <v>1890.8269840756689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10219.112519628743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21</v>
      </c>
      <c r="N12" s="1">
        <f>VLOOKUP($B12, '[1]Imp of scrap'!$B$2:$X$31, $A$1, FALSE)</f>
        <v>5</v>
      </c>
      <c r="O12" s="1">
        <f>VLOOKUP($B12, '[1]Pro of BOF steel'!$B$2:$X$31, $A$1, FALSE)</f>
        <v>2157</v>
      </c>
      <c r="P12" s="1">
        <f>VLOOKUP($B12, '[1]Pro of OHF steel'!$B$2:$X$31, $A$1, FALSE)</f>
        <v>0</v>
      </c>
      <c r="Q12" s="1">
        <f>VLOOKUP($B12, '[1]Pro of EAF steel'!$B$2:$X$31, $A$1, FALSE)</f>
        <v>12306</v>
      </c>
      <c r="R12" s="1">
        <f>VLOOKUP($B12, '[1]Exp of ingots and semis'!$B$2:$X$31, $A$1, FALSE)</f>
        <v>1</v>
      </c>
      <c r="S12" s="1">
        <f>VLOOKUP($B12, '[1]Imp of ingots and semis'!$B$2:$X$31, $A$1, FALSE)</f>
        <v>2053</v>
      </c>
      <c r="T12" s="1">
        <f>VLOOKUP($B12, '[1]Pro of hr long'!$B$2:$X$31, $A$1, FALSE)+VLOOKUP($B12, '[1]Pro of seamless tubes'!$B$2:$X$31, $A$1, FALSE)</f>
        <v>8785</v>
      </c>
      <c r="U12" s="1">
        <f>VLOOKUP($B12, '[1]Exp of long'!$B$2:$X$31, $A$1, FALSE)</f>
        <v>31</v>
      </c>
      <c r="V12" s="1">
        <f>VLOOKUP($B12, '[1]Imp of long'!$B$2:$X$31, $A$1, FALSE)</f>
        <v>650</v>
      </c>
      <c r="W12" s="1">
        <f>VLOOKUP($B12, '[1]Pro of hr flat'!$B$2:$X$31, $A$1, FALSE)*parameters!$B$8</f>
        <v>8234.8620199146517</v>
      </c>
      <c r="X12" s="1">
        <f>VLOOKUP($B12, '[1]Exp of flat'!$B$2:$X$31, $A$1, FALSE)</f>
        <v>225</v>
      </c>
      <c r="Y12" s="1">
        <f>VLOOKUP($B12, '[1]Imp of flat'!$B$2:$X$31, $A$1, FALSE)</f>
        <v>2049</v>
      </c>
      <c r="Z12" s="1">
        <f>VLOOKUP($B12, '[1]Indirect exp'!$B$2:$X$31, $A$1, FALSE)</f>
        <v>109</v>
      </c>
      <c r="AA12" s="1">
        <f>VLOOKUP($B12, '[1]Indirect imp'!$B$2:$X$31, $A$1, FALSE)</f>
        <v>1791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9424</v>
      </c>
      <c r="H13" s="1">
        <f>VLOOKUP($B13, '[1]Exp of pig iron'!$B$2:$X$31, $A$1, FALSE)</f>
        <v>52</v>
      </c>
      <c r="I13" s="1">
        <f>VLOOKUP($B13, '[1]Imp of pig iron'!$B$2:$X$31, $A$1, FALSE)</f>
        <v>1107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509</v>
      </c>
      <c r="M13" s="1">
        <f>VLOOKUP($B13, '[1]Exp of scrap'!$B$2:$X$31, $A$1, FALSE)</f>
        <v>325</v>
      </c>
      <c r="N13" s="1">
        <f>VLOOKUP($B13, '[1]Imp of scrap'!$B$2:$X$31, $A$1, FALSE)</f>
        <v>5264</v>
      </c>
      <c r="O13" s="1">
        <f>VLOOKUP($B13, '[1]Pro of BOF steel'!$B$2:$X$31, $A$1, FALSE)</f>
        <v>9312</v>
      </c>
      <c r="P13" s="1">
        <f>VLOOKUP($B13, '[1]Pro of OHF steel'!$B$2:$X$31, $A$1, FALSE)</f>
        <v>0</v>
      </c>
      <c r="Q13" s="1">
        <f>VLOOKUP($B13, '[1]Pro of EAF steel'!$B$2:$X$31, $A$1, FALSE)</f>
        <v>17939</v>
      </c>
      <c r="R13" s="1">
        <f>VLOOKUP($B13, '[1]Exp of ingots and semis'!$B$2:$X$31, $A$1, FALSE)</f>
        <v>831</v>
      </c>
      <c r="S13" s="1">
        <f>VLOOKUP($B13, '[1]Imp of ingots and semis'!$B$2:$X$31, $A$1, FALSE)</f>
        <v>3168</v>
      </c>
      <c r="T13" s="1">
        <f>VLOOKUP($B13, '[1]Pro of hr long'!$B$2:$X$31, $A$1, FALSE)+VLOOKUP($B13, '[1]Pro of seamless tubes'!$B$2:$X$31, $A$1, FALSE)</f>
        <v>12434</v>
      </c>
      <c r="U13" s="1">
        <f>VLOOKUP($B13, '[1]Exp of long'!$B$2:$X$31, $A$1, FALSE)</f>
        <v>5050</v>
      </c>
      <c r="V13" s="1">
        <f>VLOOKUP($B13, '[1]Imp of long'!$B$2:$X$31, $A$1, FALSE)</f>
        <v>2124</v>
      </c>
      <c r="W13" s="1">
        <f>VLOOKUP($B13, '[1]Pro of hr flat'!$B$2:$X$31, $A$1, FALSE)*parameters!$B$8</f>
        <v>14081.652916073968</v>
      </c>
      <c r="X13" s="1">
        <f>VLOOKUP($B13, '[1]Exp of flat'!$B$2:$X$31, $A$1, FALSE)</f>
        <v>8341</v>
      </c>
      <c r="Y13" s="1">
        <f>VLOOKUP($B13, '[1]Imp of flat'!$B$2:$X$31, $A$1, FALSE)</f>
        <v>7748</v>
      </c>
      <c r="Z13" s="1">
        <f>VLOOKUP($B13, '[1]Indirect exp'!$B$2:$X$31, $A$1, FALSE)</f>
        <v>12802</v>
      </c>
      <c r="AA13" s="1">
        <f>VLOOKUP($B13, '[1]Indirect imp'!$B$2:$X$31, $A$1, FALSE)</f>
        <v>6676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66379</v>
      </c>
      <c r="D14" s="1">
        <f>VLOOKUP($B14, '[1]Pro of iron ore'!$B$2:$X$31, $A$1, FALSE)*(1-VLOOKUP($B14, '[1]Foundry share'!$B$2:$X$31, $A$1, FALSE))</f>
        <v>40200</v>
      </c>
      <c r="E14" s="47">
        <f>VLOOKUP($B14, '[1]Iron content'!$B$2:$X$31, $A$1, FALSE)</f>
        <v>0.60561322104882565</v>
      </c>
      <c r="F14" s="1">
        <f>VLOOKUP($B14, '[1]Exp of usable iron ore'!$B$2:$X$31, $A$1, FALSE)*parameters!$B$12</f>
        <v>22784.45</v>
      </c>
      <c r="G14" s="1">
        <f>VLOOKUP($B14, '[1]Pro of pig iron'!$B$2:$X$31, $A$1, FALSE)*(1-VLOOKUP($B14, '[1]Foundry share'!$B$2:$X$31, $A$1, FALSE))</f>
        <v>28500</v>
      </c>
      <c r="H14" s="1">
        <f>VLOOKUP($B14, '[1]Exp of pig iron'!$B$2:$X$31, $A$1, FALSE)</f>
        <v>1966</v>
      </c>
      <c r="I14" s="1">
        <f>VLOOKUP($B14, '[1]Imp of pig iron'!$B$2:$X$31, $A$1, FALSE)</f>
        <v>34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260</v>
      </c>
      <c r="M14" s="1">
        <f>VLOOKUP($B14, '[1]Exp of scrap'!$B$2:$X$31, $A$1, FALSE)</f>
        <v>367</v>
      </c>
      <c r="N14" s="1">
        <f>VLOOKUP($B14, '[1]Imp of scrap'!$B$2:$X$31, $A$1, FALSE)</f>
        <v>116</v>
      </c>
      <c r="O14" s="1">
        <f>VLOOKUP($B14, '[1]Pro of BOF steel'!$B$2:$X$31, $A$1, FALSE)</f>
        <v>23954</v>
      </c>
      <c r="P14" s="1">
        <f>VLOOKUP($B14, '[1]Pro of OHF steel'!$B$2:$X$31, $A$1, FALSE)</f>
        <v>7035</v>
      </c>
      <c r="Q14" s="1">
        <f>VLOOKUP($B14, '[1]Pro of EAF steel'!$B$2:$X$31, $A$1, FALSE)</f>
        <v>1987</v>
      </c>
      <c r="R14" s="1">
        <f>VLOOKUP($B14, '[1]Exp of ingots and semis'!$B$2:$X$31, $A$1, FALSE)</f>
        <v>10101</v>
      </c>
      <c r="S14" s="1">
        <f>VLOOKUP($B14, '[1]Imp of ingots and semis'!$B$2:$X$31, $A$1, FALSE)</f>
        <v>363</v>
      </c>
      <c r="T14" s="1">
        <f>VLOOKUP($B14, '[1]Pro of hr long'!$B$2:$X$31, $A$1, FALSE)+VLOOKUP($B14, '[1]Pro of seamless tubes'!$B$2:$X$31, $A$1, FALSE)</f>
        <v>9091</v>
      </c>
      <c r="U14" s="1">
        <f>VLOOKUP($B14, '[1]Exp of long'!$B$2:$X$31, $A$1, FALSE)</f>
        <v>5937</v>
      </c>
      <c r="V14" s="1">
        <f>VLOOKUP($B14, '[1]Imp of long'!$B$2:$X$31, $A$1, FALSE)</f>
        <v>417</v>
      </c>
      <c r="W14" s="1">
        <f>VLOOKUP($B14, '[1]Pro of hr flat'!$B$2:$X$31, $A$1, FALSE)*parameters!$B$8</f>
        <v>9216.1280227596017</v>
      </c>
      <c r="X14" s="1">
        <f>VLOOKUP($B14, '[1]Exp of flat'!$B$2:$X$31, $A$1, FALSE)</f>
        <v>6562</v>
      </c>
      <c r="Y14" s="1">
        <f>VLOOKUP($B14, '[1]Imp of flat'!$B$2:$X$31, $A$1, FALSE)</f>
        <v>1007</v>
      </c>
      <c r="Z14" s="1">
        <f>VLOOKUP($B14, '[1]Indirect exp'!$B$2:$X$31, $A$1, FALSE)</f>
        <v>2433</v>
      </c>
      <c r="AA14" s="1">
        <f>VLOOKUP($B14, '[1]Indirect imp'!$B$2:$X$31, $A$1, FALSE)</f>
        <v>2236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14915</v>
      </c>
      <c r="D15" s="1">
        <f>VLOOKUP($B15, '[1]Pro of iron ore'!$B$2:$X$31, $A$1, FALSE)*(1-VLOOKUP($B15, '[1]Foundry share'!$B$2:$X$31, $A$1, FALSE))</f>
        <v>9320</v>
      </c>
      <c r="E15" s="47">
        <f>VLOOKUP($B15, '[1]Iron content'!$B$2:$X$31, $A$1, FALSE)</f>
        <v>0.62487428762990282</v>
      </c>
      <c r="F15" s="1">
        <f>VLOOKUP($B15, '[1]Exp of usable iron ore'!$B$2:$X$31, $A$1, FALSE)*parameters!$B$12</f>
        <v>2863.9</v>
      </c>
      <c r="G15" s="1">
        <f>VLOOKUP($B15, '[1]Pro of pig iron'!$B$2:$X$31, $A$1, FALSE)*(1-VLOOKUP($B15, '[1]Foundry share'!$B$2:$X$31, $A$1, FALSE))</f>
        <v>4611</v>
      </c>
      <c r="H15" s="1">
        <f>VLOOKUP($B15, '[1]Exp of pig iron'!$B$2:$X$31, $A$1, FALSE)</f>
        <v>0</v>
      </c>
      <c r="I15" s="1">
        <f>VLOOKUP($B15, '[1]Imp of pig iron'!$B$2:$X$31, $A$1, FALSE)</f>
        <v>166</v>
      </c>
      <c r="J15" s="1">
        <f>VLOOKUP($B15, '[1]Pro of DRI'!$B$2:$X$31, $A$1, FALSE)*(1-VLOOKUP($B15, '[1]Foundry share'!$B$2:$X$31, $A$1, FALSE))</f>
        <v>5586</v>
      </c>
      <c r="K15" s="1">
        <f>VLOOKUP($B15, '[1]Exp of DRI'!$B$2:$X$31, $A$1, FALSE)</f>
        <v>55</v>
      </c>
      <c r="L15" s="1">
        <f>VLOOKUP($B15, '[1]Imp of DRI'!$B$2:$X$31, $A$1, FALSE)</f>
        <v>185</v>
      </c>
      <c r="M15" s="1">
        <f>VLOOKUP($B15, '[1]Exp of scrap'!$B$2:$X$31, $A$1, FALSE)</f>
        <v>858</v>
      </c>
      <c r="N15" s="1">
        <f>VLOOKUP($B15, '[1]Imp of scrap'!$B$2:$X$31, $A$1, FALSE)</f>
        <v>946</v>
      </c>
      <c r="O15" s="1">
        <f>VLOOKUP($B15, '[1]Pro of BOF steel'!$B$2:$X$31, $A$1, FALSE)</f>
        <v>4989</v>
      </c>
      <c r="P15" s="1">
        <f>VLOOKUP($B15, '[1]Pro of OHF steel'!$B$2:$X$31, $A$1, FALSE)</f>
        <v>0</v>
      </c>
      <c r="Q15" s="1">
        <f>VLOOKUP($B15, '[1]Pro of EAF steel'!$B$2:$X$31, $A$1, FALSE)</f>
        <v>13084</v>
      </c>
      <c r="R15" s="1">
        <f>VLOOKUP($B15, '[1]Exp of ingots and semis'!$B$2:$X$31, $A$1, FALSE)</f>
        <v>1020</v>
      </c>
      <c r="S15" s="1">
        <f>VLOOKUP($B15, '[1]Imp of ingots and semis'!$B$2:$X$31, $A$1, FALSE)</f>
        <v>1007</v>
      </c>
      <c r="T15" s="1">
        <f>VLOOKUP($B15, '[1]Pro of hr long'!$B$2:$X$31, $A$1, FALSE)+VLOOKUP($B15, '[1]Pro of seamless tubes'!$B$2:$X$31, $A$1, FALSE)</f>
        <v>8652</v>
      </c>
      <c r="U15" s="1">
        <f>VLOOKUP($B15, '[1]Exp of long'!$B$2:$X$31, $A$1, FALSE)</f>
        <v>1458</v>
      </c>
      <c r="V15" s="1">
        <f>VLOOKUP($B15, '[1]Imp of long'!$B$2:$X$31, $A$1, FALSE)</f>
        <v>1647</v>
      </c>
      <c r="W15" s="1">
        <f>VLOOKUP($B15, '[1]Pro of hr flat'!$B$2:$X$31, $A$1, FALSE)*parameters!$B$8</f>
        <v>7400.3001422475108</v>
      </c>
      <c r="X15" s="1">
        <f>VLOOKUP($B15, '[1]Exp of flat'!$B$2:$X$31, $A$1, FALSE)</f>
        <v>1099</v>
      </c>
      <c r="Y15" s="1">
        <f>VLOOKUP($B15, '[1]Imp of flat'!$B$2:$X$31, $A$1, FALSE)</f>
        <v>5854</v>
      </c>
      <c r="Z15" s="1">
        <f>VLOOKUP($B15, '[1]Indirect exp'!$B$2:$X$31, $A$1, FALSE)</f>
        <v>11475</v>
      </c>
      <c r="AA15" s="1">
        <f>VLOOKUP($B15, '[1]Indirect imp'!$B$2:$X$31, $A$1, FALSE)</f>
        <v>9664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2870</v>
      </c>
      <c r="D16" s="1">
        <f>VLOOKUP($B16, '[1]Pro of iron ore'!$B$2:$X$31, $A$1, FALSE)*(1-VLOOKUP($B16, '[1]Foundry share'!$B$2:$X$31, $A$1, FALSE))</f>
        <v>1520</v>
      </c>
      <c r="E16" s="47">
        <f>VLOOKUP($B16, '[1]Iron content'!$B$2:$X$31, $A$1, FALSE)</f>
        <v>0.52961672473867594</v>
      </c>
      <c r="F16" s="1">
        <f>VLOOKUP($B16, '[1]Exp of usable iron ore'!$B$2:$X$31, $A$1, FALSE)*parameters!$B$12</f>
        <v>1136.8500000000001</v>
      </c>
      <c r="G16" s="1">
        <f>VLOOKUP($B16, '[1]Pro of pig iron'!$B$2:$X$31, $A$1, FALSE)*(1-VLOOKUP($B16, '[1]Foundry share'!$B$2:$X$31, $A$1, FALSE))</f>
        <v>650</v>
      </c>
      <c r="H16" s="1">
        <f>VLOOKUP($B16, '[1]Exp of pig iron'!$B$2:$X$31, $A$1, FALSE)</f>
        <v>0</v>
      </c>
      <c r="I16" s="1">
        <f>VLOOKUP($B16, '[1]Imp of pig iron'!$B$2:$X$31, $A$1, FALSE)</f>
        <v>38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2169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5298</v>
      </c>
      <c r="R16" s="1">
        <f>VLOOKUP($B16, '[1]Exp of ingots and semis'!$B$2:$X$31, $A$1, FALSE)</f>
        <v>82</v>
      </c>
      <c r="S16" s="1">
        <f>VLOOKUP($B16, '[1]Imp of ingots and semis'!$B$2:$X$31, $A$1, FALSE)</f>
        <v>452</v>
      </c>
      <c r="T16" s="1">
        <f>VLOOKUP($B16, '[1]Pro of hr long'!$B$2:$X$31, $A$1, FALSE)+VLOOKUP($B16, '[1]Pro of seamless tubes'!$B$2:$X$31, $A$1, FALSE)</f>
        <v>5049</v>
      </c>
      <c r="U16" s="1">
        <f>VLOOKUP($B16, '[1]Exp of long'!$B$2:$X$31, $A$1, FALSE)</f>
        <v>50</v>
      </c>
      <c r="V16" s="1">
        <f>VLOOKUP($B16, '[1]Imp of long'!$B$2:$X$31, $A$1, FALSE)</f>
        <v>1271</v>
      </c>
      <c r="W16" s="1">
        <f>VLOOKUP($B16, '[1]Pro of hr flat'!$B$2:$X$31, $A$1, FALSE)*parameters!$B$8</f>
        <v>0</v>
      </c>
      <c r="X16" s="1">
        <f>VLOOKUP($B16, '[1]Exp of flat'!$B$2:$X$31, $A$1, FALSE)</f>
        <v>796</v>
      </c>
      <c r="Y16" s="1">
        <f>VLOOKUP($B16, '[1]Imp of flat'!$B$2:$X$31, $A$1, FALSE)</f>
        <v>5738</v>
      </c>
      <c r="Z16" s="1">
        <f>VLOOKUP($B16, '[1]Indirect exp'!$B$2:$X$31, $A$1, FALSE)</f>
        <v>805</v>
      </c>
      <c r="AA16" s="1">
        <f>VLOOKUP($B16, '[1]Indirect imp'!$B$2:$X$31, $A$1, FALSE)</f>
        <v>1148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57.2</v>
      </c>
      <c r="G17" s="1">
        <f>VLOOKUP($B17, '[1]Pro of pig iron'!$B$2:$X$31, $A$1, FALSE)*(1-VLOOKUP($B17, '[1]Foundry share'!$B$2:$X$31, $A$1, FALSE))</f>
        <v>9532</v>
      </c>
      <c r="H17" s="1">
        <f>VLOOKUP($B17, '[1]Exp of pig iron'!$B$2:$X$31, $A$1, FALSE)</f>
        <v>44</v>
      </c>
      <c r="I17" s="1">
        <f>VLOOKUP($B17, '[1]Imp of pig iron'!$B$2:$X$31, $A$1, FALSE)</f>
        <v>132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6</v>
      </c>
      <c r="L17" s="1">
        <f>VLOOKUP($B17, '[1]Imp of DRI'!$B$2:$X$31, $A$1, FALSE)</f>
        <v>34</v>
      </c>
      <c r="M17" s="1">
        <f>VLOOKUP($B17, '[1]Exp of scrap'!$B$2:$X$31, $A$1, FALSE)</f>
        <v>6118</v>
      </c>
      <c r="N17" s="1">
        <f>VLOOKUP($B17, '[1]Imp of scrap'!$B$2:$X$31, $A$1, FALSE)</f>
        <v>2705</v>
      </c>
      <c r="O17" s="1">
        <f>VLOOKUP($B17, '[1]Pro of BOF steel'!$B$2:$X$31, $A$1, FALSE)</f>
        <v>9507</v>
      </c>
      <c r="P17" s="1">
        <f>VLOOKUP($B17, '[1]Pro of OHF steel'!$B$2:$X$31, $A$1, FALSE)</f>
        <v>0</v>
      </c>
      <c r="Q17" s="1">
        <f>VLOOKUP($B17, '[1]Pro of EAF steel'!$B$2:$X$31, $A$1, FALSE)</f>
        <v>6102</v>
      </c>
      <c r="R17" s="1">
        <f>VLOOKUP($B17, '[1]Exp of ingots and semis'!$B$2:$X$31, $A$1, FALSE)</f>
        <v>2233</v>
      </c>
      <c r="S17" s="1">
        <f>VLOOKUP($B17, '[1]Imp of ingots and semis'!$B$2:$X$31, $A$1, FALSE)</f>
        <v>1718</v>
      </c>
      <c r="T17" s="1">
        <f>VLOOKUP($B17, '[1]Pro of hr long'!$B$2:$X$31, $A$1, FALSE)+VLOOKUP($B17, '[1]Pro of seamless tubes'!$B$2:$X$31, $A$1, FALSE)</f>
        <v>4879</v>
      </c>
      <c r="U17" s="1">
        <f>VLOOKUP($B17, '[1]Exp of long'!$B$2:$X$31, $A$1, FALSE)</f>
        <v>2500</v>
      </c>
      <c r="V17" s="1">
        <f>VLOOKUP($B17, '[1]Imp of long'!$B$2:$X$31, $A$1, FALSE)</f>
        <v>3028</v>
      </c>
      <c r="W17" s="1">
        <f>VLOOKUP($B17, '[1]Pro of hr flat'!$B$2:$X$31, $A$1, FALSE)*parameters!$B$8</f>
        <v>8959.6386913229016</v>
      </c>
      <c r="X17" s="1">
        <f>VLOOKUP($B17, '[1]Exp of flat'!$B$2:$X$31, $A$1, FALSE)</f>
        <v>8760</v>
      </c>
      <c r="Y17" s="1">
        <f>VLOOKUP($B17, '[1]Imp of flat'!$B$2:$X$31, $A$1, FALSE)</f>
        <v>7082</v>
      </c>
      <c r="Z17" s="1">
        <f>VLOOKUP($B17, '[1]Indirect exp'!$B$2:$X$31, $A$1, FALSE)</f>
        <v>8579</v>
      </c>
      <c r="AA17" s="1">
        <f>VLOOKUP($B17, '[1]Indirect imp'!$B$2:$X$31, $A$1, FALSE)</f>
        <v>11779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3081</v>
      </c>
      <c r="H18" s="1">
        <f>VLOOKUP($B18, '[1]Exp of pig iron'!$B$2:$X$31, $A$1, FALSE)</f>
        <v>11</v>
      </c>
      <c r="I18" s="1">
        <f>VLOOKUP($B18, '[1]Imp of pig iron'!$B$2:$X$31, $A$1, FALSE)</f>
        <v>274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2</v>
      </c>
      <c r="L18" s="1">
        <f>VLOOKUP($B18, '[1]Imp of DRI'!$B$2:$X$31, $A$1, FALSE)</f>
        <v>441</v>
      </c>
      <c r="M18" s="1">
        <f>VLOOKUP($B18, '[1]Exp of scrap'!$B$2:$X$31, $A$1, FALSE)</f>
        <v>663</v>
      </c>
      <c r="N18" s="1">
        <f>VLOOKUP($B18, '[1]Imp of scrap'!$B$2:$X$31, $A$1, FALSE)</f>
        <v>4289</v>
      </c>
      <c r="O18" s="1">
        <f>VLOOKUP($B18, '[1]Pro of BOF steel'!$B$2:$X$31, $A$1, FALSE)</f>
        <v>3423</v>
      </c>
      <c r="P18" s="1">
        <f>VLOOKUP($B18, '[1]Pro of OHF steel'!$B$2:$X$31, $A$1, FALSE)</f>
        <v>0</v>
      </c>
      <c r="Q18" s="1">
        <f>VLOOKUP($B18, '[1]Pro of EAF steel'!$B$2:$X$31, $A$1, FALSE)</f>
        <v>10216</v>
      </c>
      <c r="R18" s="1">
        <f>VLOOKUP($B18, '[1]Exp of ingots and semis'!$B$2:$X$31, $A$1, FALSE)</f>
        <v>122</v>
      </c>
      <c r="S18" s="1">
        <f>VLOOKUP($B18, '[1]Imp of ingots and semis'!$B$2:$X$31, $A$1, FALSE)</f>
        <v>711</v>
      </c>
      <c r="T18" s="1">
        <f>VLOOKUP($B18, '[1]Pro of hr long'!$B$2:$X$31, $A$1, FALSE)+VLOOKUP($B18, '[1]Pro of seamless tubes'!$B$2:$X$31, $A$1, FALSE)</f>
        <v>9619</v>
      </c>
      <c r="U18" s="1">
        <f>VLOOKUP($B18, '[1]Exp of long'!$B$2:$X$31, $A$1, FALSE)</f>
        <v>6359</v>
      </c>
      <c r="V18" s="1">
        <f>VLOOKUP($B18, '[1]Imp of long'!$B$2:$X$31, $A$1, FALSE)</f>
        <v>959</v>
      </c>
      <c r="W18" s="1">
        <f>VLOOKUP($B18, '[1]Pro of hr flat'!$B$2:$X$31, $A$1, FALSE)*parameters!$B$8</f>
        <v>3692.8634423897583</v>
      </c>
      <c r="X18" s="1">
        <f>VLOOKUP($B18, '[1]Exp of flat'!$B$2:$X$31, $A$1, FALSE)</f>
        <v>2068</v>
      </c>
      <c r="Y18" s="1">
        <f>VLOOKUP($B18, '[1]Imp of flat'!$B$2:$X$31, $A$1, FALSE)</f>
        <v>5265</v>
      </c>
      <c r="Z18" s="1">
        <f>VLOOKUP($B18, '[1]Indirect exp'!$B$2:$X$31, $A$1, FALSE)</f>
        <v>8612</v>
      </c>
      <c r="AA18" s="1">
        <f>VLOOKUP($B18, '[1]Indirect imp'!$B$2:$X$31, $A$1, FALSE)</f>
        <v>5562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38892</v>
      </c>
      <c r="D19" s="1">
        <f>VLOOKUP($B19, '[1]Pro of iron ore'!$B$2:$X$31, $A$1, FALSE)*(1-VLOOKUP($B19, '[1]Foundry share'!$B$2:$X$31, $A$1, FALSE))</f>
        <v>25000</v>
      </c>
      <c r="E19" s="47">
        <f>VLOOKUP($B19, '[1]Iron content'!$B$2:$X$31, $A$1, FALSE)</f>
        <v>0.64280571839967093</v>
      </c>
      <c r="F19" s="1">
        <f>VLOOKUP($B19, '[1]Exp of usable iron ore'!$B$2:$X$31, $A$1, FALSE)*parameters!$B$12</f>
        <v>22406.15</v>
      </c>
      <c r="G19" s="1">
        <f>VLOOKUP($B19, '[1]Pro of pig iron'!$B$2:$X$31, $A$1, FALSE)*(1-VLOOKUP($B19, '[1]Foundry share'!$B$2:$X$31, $A$1, FALSE))</f>
        <v>7654</v>
      </c>
      <c r="H19" s="1">
        <f>VLOOKUP($B19, '[1]Exp of pig iron'!$B$2:$X$31, $A$1, FALSE)</f>
        <v>148</v>
      </c>
      <c r="I19" s="1">
        <f>VLOOKUP($B19, '[1]Imp of pig iron'!$B$2:$X$31, $A$1, FALSE)</f>
        <v>38</v>
      </c>
      <c r="J19" s="1">
        <f>VLOOKUP($B19, '[1]Pro of DRI'!$B$2:$X$31, $A$1, FALSE)*(1-VLOOKUP($B19, '[1]Foundry share'!$B$2:$X$31, $A$1, FALSE))</f>
        <v>842</v>
      </c>
      <c r="K19" s="1">
        <f>VLOOKUP($B19, '[1]Exp of DRI'!$B$2:$X$31, $A$1, FALSE)</f>
        <v>13</v>
      </c>
      <c r="L19" s="1">
        <f>VLOOKUP($B19, '[1]Imp of DRI'!$B$2:$X$31, $A$1, FALSE)</f>
        <v>160</v>
      </c>
      <c r="M19" s="1">
        <f>VLOOKUP($B19, '[1]Exp of scrap'!$B$2:$X$31, $A$1, FALSE)</f>
        <v>4248</v>
      </c>
      <c r="N19" s="1">
        <f>VLOOKUP($B19, '[1]Imp of scrap'!$B$2:$X$31, $A$1, FALSE)</f>
        <v>2343</v>
      </c>
      <c r="O19" s="1">
        <f>VLOOKUP($B19, '[1]Pro of BOF steel'!$B$2:$X$31, $A$1, FALSE)</f>
        <v>7810</v>
      </c>
      <c r="P19" s="1">
        <f>VLOOKUP($B19, '[1]Pro of OHF steel'!$B$2:$X$31, $A$1, FALSE)</f>
        <v>0</v>
      </c>
      <c r="Q19" s="1">
        <f>VLOOKUP($B19, '[1]Pro of EAF steel'!$B$2:$X$31, $A$1, FALSE)</f>
        <v>5697</v>
      </c>
      <c r="R19" s="1">
        <f>VLOOKUP($B19, '[1]Exp of ingots and semis'!$B$2:$X$31, $A$1, FALSE)</f>
        <v>664</v>
      </c>
      <c r="S19" s="1">
        <f>VLOOKUP($B19, '[1]Imp of ingots and semis'!$B$2:$X$31, $A$1, FALSE)</f>
        <v>470</v>
      </c>
      <c r="T19" s="1">
        <f>VLOOKUP($B19, '[1]Pro of hr long'!$B$2:$X$31, $A$1, FALSE)+VLOOKUP($B19, '[1]Pro of seamless tubes'!$B$2:$X$31, $A$1, FALSE)</f>
        <v>3142</v>
      </c>
      <c r="U19" s="1">
        <f>VLOOKUP($B19, '[1]Exp of long'!$B$2:$X$31, $A$1, FALSE)</f>
        <v>1401</v>
      </c>
      <c r="V19" s="1">
        <f>VLOOKUP($B19, '[1]Imp of long'!$B$2:$X$31, $A$1, FALSE)</f>
        <v>3074</v>
      </c>
      <c r="W19" s="1">
        <f>VLOOKUP($B19, '[1]Pro of hr flat'!$B$2:$X$31, $A$1, FALSE)*parameters!$B$8</f>
        <v>8647.7709815078233</v>
      </c>
      <c r="X19" s="1">
        <f>VLOOKUP($B19, '[1]Exp of flat'!$B$2:$X$31, $A$1, FALSE)</f>
        <v>2957</v>
      </c>
      <c r="Y19" s="1">
        <f>VLOOKUP($B19, '[1]Imp of flat'!$B$2:$X$31, $A$1, FALSE)</f>
        <v>3853</v>
      </c>
      <c r="Z19" s="1">
        <f>VLOOKUP($B19, '[1]Indirect exp'!$B$2:$X$31, $A$1, FALSE)</f>
        <v>5839</v>
      </c>
      <c r="AA19" s="1">
        <f>VLOOKUP($B19, '[1]Indirect imp'!$B$2:$X$31, $A$1, FALSE)</f>
        <v>12854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4800</v>
      </c>
      <c r="D20" s="1">
        <f>VLOOKUP($B20, '[1]Pro of iron ore'!$B$2:$X$31, $A$1, FALSE)*(1-VLOOKUP($B20, '[1]Foundry share'!$B$2:$X$31, $A$1, FALSE))</f>
        <v>2950</v>
      </c>
      <c r="E20" s="47">
        <f>VLOOKUP($B20, '[1]Iron content'!$B$2:$X$31, $A$1, FALSE)</f>
        <v>0.61458333333333337</v>
      </c>
      <c r="F20" s="1">
        <f>VLOOKUP($B20, '[1]Exp of usable iron ore'!$B$2:$X$31, $A$1, FALSE)*parameters!$B$12</f>
        <v>7504.9000000000005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2</v>
      </c>
      <c r="I20" s="1">
        <f>VLOOKUP($B20, '[1]Imp of pig iron'!$B$2:$X$31, $A$1, FALSE)</f>
        <v>183</v>
      </c>
      <c r="J20" s="1">
        <f>VLOOKUP($B20, '[1]Pro of DRI'!$B$2:$X$31, $A$1, FALSE)*(1-VLOOKUP($B20, '[1]Foundry share'!$B$2:$X$31, $A$1, FALSE))</f>
        <v>524</v>
      </c>
      <c r="K20" s="1">
        <f>VLOOKUP($B20, '[1]Exp of DRI'!$B$2:$X$31, $A$1, FALSE)</f>
        <v>42</v>
      </c>
      <c r="L20" s="1">
        <f>VLOOKUP($B20, '[1]Imp of DRI'!$B$2:$X$31, $A$1, FALSE)</f>
        <v>350</v>
      </c>
      <c r="M20" s="1">
        <f>VLOOKUP($B20, '[1]Exp of scrap'!$B$2:$X$31, $A$1, FALSE)</f>
        <v>41</v>
      </c>
      <c r="N20" s="1">
        <f>VLOOKUP($B20, '[1]Imp of scrap'!$B$2:$X$31, $A$1, FALSE)</f>
        <v>1944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2254</v>
      </c>
      <c r="R20" s="1">
        <f>VLOOKUP($B20, '[1]Exp of ingots and semis'!$B$2:$X$31, $A$1, FALSE)</f>
        <v>4</v>
      </c>
      <c r="S20" s="1">
        <f>VLOOKUP($B20, '[1]Imp of ingots and semis'!$B$2:$X$31, $A$1, FALSE)</f>
        <v>3818</v>
      </c>
      <c r="T20" s="1">
        <f>VLOOKUP($B20, '[1]Pro of hr long'!$B$2:$X$31, $A$1, FALSE)+VLOOKUP($B20, '[1]Pro of seamless tubes'!$B$2:$X$31, $A$1, FALSE)</f>
        <v>2716</v>
      </c>
      <c r="U20" s="1">
        <f>VLOOKUP($B20, '[1]Exp of long'!$B$2:$X$31, $A$1, FALSE)</f>
        <v>115</v>
      </c>
      <c r="V20" s="1">
        <f>VLOOKUP($B20, '[1]Imp of long'!$B$2:$X$31, $A$1, FALSE)</f>
        <v>1824</v>
      </c>
      <c r="W20" s="1">
        <f>VLOOKUP($B20, '[1]Pro of hr flat'!$B$2:$X$31, $A$1, FALSE)*parameters!$B$8</f>
        <v>2624.1578947368421</v>
      </c>
      <c r="X20" s="1">
        <f>VLOOKUP($B20, '[1]Exp of flat'!$B$2:$X$31, $A$1, FALSE)</f>
        <v>255</v>
      </c>
      <c r="Y20" s="1">
        <f>VLOOKUP($B20, '[1]Imp of flat'!$B$2:$X$31, $A$1, FALSE)</f>
        <v>5117</v>
      </c>
      <c r="Z20" s="1">
        <f>VLOOKUP($B20, '[1]Indirect exp'!$B$2:$X$31, $A$1, FALSE)</f>
        <v>1629</v>
      </c>
      <c r="AA20" s="1">
        <f>VLOOKUP($B20, '[1]Indirect imp'!$B$2:$X$31, $A$1, FALSE)</f>
        <v>5367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3952</v>
      </c>
      <c r="H21" s="1">
        <f>VLOOKUP($B21, '[1]Exp of pig iron'!$B$2:$X$31, $A$1, FALSE)</f>
        <v>0</v>
      </c>
      <c r="I21" s="1">
        <f>VLOOKUP($B21, '[1]Imp of pig iron'!$B$2:$X$31, $A$1, FALSE)</f>
        <v>193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1833</v>
      </c>
      <c r="N21" s="1">
        <f>VLOOKUP($B21, '[1]Imp of scrap'!$B$2:$X$31, $A$1, FALSE)</f>
        <v>385</v>
      </c>
      <c r="O21" s="1">
        <f>VLOOKUP($B21, '[1]Pro of BOF steel'!$B$2:$X$31, $A$1, FALSE)</f>
        <v>4234</v>
      </c>
      <c r="P21" s="1">
        <f>VLOOKUP($B21, '[1]Pro of OHF steel'!$B$2:$X$31, $A$1, FALSE)</f>
        <v>0</v>
      </c>
      <c r="Q21" s="1">
        <f>VLOOKUP($B21, '[1]Pro of EAF steel'!$B$2:$X$31, $A$1, FALSE)</f>
        <v>4132</v>
      </c>
      <c r="R21" s="1">
        <f>VLOOKUP($B21, '[1]Exp of ingots and semis'!$B$2:$X$31, $A$1, FALSE)</f>
        <v>599</v>
      </c>
      <c r="S21" s="1">
        <f>VLOOKUP($B21, '[1]Imp of ingots and semis'!$B$2:$X$31, $A$1, FALSE)</f>
        <v>575</v>
      </c>
      <c r="T21" s="1">
        <f>VLOOKUP($B21, '[1]Pro of hr long'!$B$2:$X$31, $A$1, FALSE)+VLOOKUP($B21, '[1]Pro of seamless tubes'!$B$2:$X$31, $A$1, FALSE)</f>
        <v>4859</v>
      </c>
      <c r="U21" s="1">
        <f>VLOOKUP($B21, '[1]Exp of long'!$B$2:$X$31, $A$1, FALSE)</f>
        <v>2990</v>
      </c>
      <c r="V21" s="1">
        <f>VLOOKUP($B21, '[1]Imp of long'!$B$2:$X$31, $A$1, FALSE)</f>
        <v>1493</v>
      </c>
      <c r="W21" s="1">
        <f>VLOOKUP($B21, '[1]Pro of hr flat'!$B$2:$X$31, $A$1, FALSE)*parameters!$B$8</f>
        <v>2845.6714082503554</v>
      </c>
      <c r="X21" s="1">
        <f>VLOOKUP($B21, '[1]Exp of flat'!$B$2:$X$31, $A$1, FALSE)</f>
        <v>1333</v>
      </c>
      <c r="Y21" s="1">
        <f>VLOOKUP($B21, '[1]Imp of flat'!$B$2:$X$31, $A$1, FALSE)</f>
        <v>5115</v>
      </c>
      <c r="Z21" s="1">
        <f>VLOOKUP($B21, '[1]Indirect exp'!$B$2:$X$31, $A$1, FALSE)</f>
        <v>8210</v>
      </c>
      <c r="AA21" s="1">
        <f>VLOOKUP($B21, '[1]Indirect imp'!$B$2:$X$31, $A$1, FALSE)</f>
        <v>5804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3930</v>
      </c>
      <c r="D22" s="1">
        <f>VLOOKUP($B22, '[1]Pro of iron ore'!$B$2:$X$31, $A$1, FALSE)*(1-VLOOKUP($B22, '[1]Foundry share'!$B$2:$X$31, $A$1, FALSE))</f>
        <v>2320</v>
      </c>
      <c r="E22" s="47">
        <f>VLOOKUP($B22, '[1]Iron content'!$B$2:$X$31, $A$1, FALSE)</f>
        <v>0.59033078880407119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550</v>
      </c>
      <c r="H22" s="1">
        <f>VLOOKUP($B22, '[1]Exp of pig iron'!$B$2:$X$31, $A$1, FALSE)</f>
        <v>0</v>
      </c>
      <c r="I22" s="1">
        <f>VLOOKUP($B22, '[1]Imp of pig iron'!$B$2:$X$31, $A$1, FALSE)</f>
        <v>1</v>
      </c>
      <c r="J22" s="1">
        <f>VLOOKUP($B22, '[1]Pro of DRI'!$B$2:$X$31, $A$1, FALSE)*(1-VLOOKUP($B22, '[1]Foundry share'!$B$2:$X$31, $A$1, FALSE))</f>
        <v>3068</v>
      </c>
      <c r="K22" s="1">
        <f>VLOOKUP($B22, '[1]Exp of DRI'!$B$2:$X$31, $A$1, FALSE)</f>
        <v>0</v>
      </c>
      <c r="L22" s="1">
        <f>VLOOKUP($B22, '[1]Imp of DRI'!$B$2:$X$31, $A$1, FALSE)</f>
        <v>187</v>
      </c>
      <c r="M22" s="1">
        <f>VLOOKUP($B22, '[1]Exp of scrap'!$B$2:$X$31, $A$1, FALSE)</f>
        <v>46</v>
      </c>
      <c r="N22" s="1">
        <f>VLOOKUP($B22, '[1]Imp of scrap'!$B$2:$X$31, $A$1, FALSE)</f>
        <v>2021</v>
      </c>
      <c r="O22" s="1">
        <f>VLOOKUP($B22, '[1]Pro of BOF steel'!$B$2:$X$31, $A$1, FALSE)</f>
        <v>530</v>
      </c>
      <c r="P22" s="1">
        <f>VLOOKUP($B22, '[1]Pro of OHF steel'!$B$2:$X$31, $A$1, FALSE)</f>
        <v>0</v>
      </c>
      <c r="Q22" s="1">
        <f>VLOOKUP($B22, '[1]Pro of EAF steel'!$B$2:$X$31, $A$1, FALSE)</f>
        <v>6100</v>
      </c>
      <c r="R22" s="1">
        <f>VLOOKUP($B22, '[1]Exp of ingots and semis'!$B$2:$X$31, $A$1, FALSE)</f>
        <v>23</v>
      </c>
      <c r="S22" s="1">
        <f>VLOOKUP($B22, '[1]Imp of ingots and semis'!$B$2:$X$31, $A$1, FALSE)</f>
        <v>1613</v>
      </c>
      <c r="T22" s="1">
        <f>VLOOKUP($B22, '[1]Pro of hr long'!$B$2:$X$31, $A$1, FALSE)+VLOOKUP($B22, '[1]Pro of seamless tubes'!$B$2:$X$31, $A$1, FALSE)</f>
        <v>6229</v>
      </c>
      <c r="U22" s="1">
        <f>VLOOKUP($B22, '[1]Exp of long'!$B$2:$X$31, $A$1, FALSE)</f>
        <v>347</v>
      </c>
      <c r="V22" s="1">
        <f>VLOOKUP($B22, '[1]Imp of long'!$B$2:$X$31, $A$1, FALSE)</f>
        <v>784</v>
      </c>
      <c r="W22" s="1">
        <f>VLOOKUP($B22, '[1]Pro of hr flat'!$B$2:$X$31, $A$1, FALSE)*parameters!$B$8</f>
        <v>1006.5263157894736</v>
      </c>
      <c r="X22" s="1">
        <f>VLOOKUP($B22, '[1]Exp of flat'!$B$2:$X$31, $A$1, FALSE)</f>
        <v>474</v>
      </c>
      <c r="Y22" s="1">
        <f>VLOOKUP($B22, '[1]Imp of flat'!$B$2:$X$31, $A$1, FALSE)</f>
        <v>901</v>
      </c>
      <c r="Z22" s="1">
        <f>VLOOKUP($B22, '[1]Indirect exp'!$B$2:$X$31, $A$1, FALSE)</f>
        <v>135</v>
      </c>
      <c r="AA22" s="1">
        <f>VLOOKUP($B22, '[1]Indirect imp'!$B$2:$X$31, $A$1, FALSE)</f>
        <v>966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27</v>
      </c>
      <c r="J23" s="1">
        <f>VLOOKUP($B23, '[1]Pro of DRI'!$B$2:$X$31, $A$1, FALSE)*(1-VLOOKUP($B23, '[1]Foundry share'!$B$2:$X$31, $A$1, FALSE))</f>
        <v>3915.7613491053917</v>
      </c>
      <c r="K23" s="1">
        <f>VLOOKUP($B23, '[1]Exp of DRI'!$B$2:$X$31, $A$1, FALSE)</f>
        <v>39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5203</v>
      </c>
      <c r="R23" s="1">
        <f>VLOOKUP($B23, '[1]Exp of ingots and semis'!$B$2:$X$31, $A$1, FALSE)</f>
        <v>102</v>
      </c>
      <c r="S23" s="1">
        <f>VLOOKUP($B23, '[1]Imp of ingots and semis'!$B$2:$X$31, $A$1, FALSE)</f>
        <v>2488</v>
      </c>
      <c r="T23" s="1">
        <f>VLOOKUP($B23, '[1]Pro of hr long'!$B$2:$X$31, $A$1, FALSE)+VLOOKUP($B23, '[1]Pro of seamless tubes'!$B$2:$X$31, $A$1, FALSE)</f>
        <v>2700</v>
      </c>
      <c r="U23" s="1">
        <f>VLOOKUP($B23, '[1]Exp of long'!$B$2:$X$31, $A$1, FALSE)</f>
        <v>3</v>
      </c>
      <c r="V23" s="1">
        <f>VLOOKUP($B23, '[1]Imp of long'!$B$2:$X$31, $A$1, FALSE)</f>
        <v>2147</v>
      </c>
      <c r="W23" s="1">
        <f>VLOOKUP($B23, '[1]Pro of hr flat'!$B$2:$X$31, $A$1, FALSE)*parameters!$B$8</f>
        <v>1845.9459459459458</v>
      </c>
      <c r="X23" s="1">
        <f>VLOOKUP($B23, '[1]Exp of flat'!$B$2:$X$31, $A$1, FALSE)</f>
        <v>75</v>
      </c>
      <c r="Y23" s="1">
        <f>VLOOKUP($B23, '[1]Imp of flat'!$B$2:$X$31, $A$1, FALSE)</f>
        <v>2557</v>
      </c>
      <c r="Z23" s="1">
        <f>VLOOKUP($B23, '[1]Indirect exp'!$B$2:$X$31, $A$1, FALSE)</f>
        <v>194</v>
      </c>
      <c r="AA23" s="1">
        <f>VLOOKUP($B23, '[1]Indirect imp'!$B$2:$X$31, $A$1, FALSE)</f>
        <v>3833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2142</v>
      </c>
      <c r="D24" s="1">
        <f>VLOOKUP($B24, '[1]Pro of iron ore'!$B$2:$X$31, $A$1, FALSE)*(1-VLOOKUP($B24, '[1]Foundry share'!$B$2:$X$31, $A$1, FALSE))</f>
        <v>686</v>
      </c>
      <c r="E24" s="47">
        <f>VLOOKUP($B24, '[1]Iron content'!$B$2:$X$31, $A$1, FALSE)</f>
        <v>0.3202614379084967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5751</v>
      </c>
      <c r="H24" s="1">
        <f>VLOOKUP($B24, '[1]Exp of pig iron'!$B$2:$X$31, $A$1, FALSE)</f>
        <v>0</v>
      </c>
      <c r="I24" s="1">
        <f>VLOOKUP($B24, '[1]Imp of pig iron'!$B$2:$X$31, $A$1, FALSE)</f>
        <v>19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69</v>
      </c>
      <c r="M24" s="1">
        <f>VLOOKUP($B24, '[1]Exp of scrap'!$B$2:$X$31, $A$1, FALSE)</f>
        <v>978</v>
      </c>
      <c r="N24" s="1">
        <f>VLOOKUP($B24, '[1]Imp of scrap'!$B$2:$X$31, $A$1, FALSE)</f>
        <v>1060</v>
      </c>
      <c r="O24" s="1">
        <f>VLOOKUP($B24, '[1]Pro of BOF steel'!$B$2:$X$31, $A$1, FALSE)</f>
        <v>6746</v>
      </c>
      <c r="P24" s="1">
        <f>VLOOKUP($B24, '[1]Pro of OHF steel'!$B$2:$X$31, $A$1, FALSE)</f>
        <v>0</v>
      </c>
      <c r="Q24" s="1">
        <f>VLOOKUP($B24, '[1]Pro of EAF steel'!$B$2:$X$31, $A$1, FALSE)</f>
        <v>674</v>
      </c>
      <c r="R24" s="1">
        <f>VLOOKUP($B24, '[1]Exp of ingots and semis'!$B$2:$X$31, $A$1, FALSE)</f>
        <v>234</v>
      </c>
      <c r="S24" s="1">
        <f>VLOOKUP($B24, '[1]Imp of ingots and semis'!$B$2:$X$31, $A$1, FALSE)</f>
        <v>182</v>
      </c>
      <c r="T24" s="1">
        <f>VLOOKUP($B24, '[1]Pro of hr long'!$B$2:$X$31, $A$1, FALSE)+VLOOKUP($B24, '[1]Pro of seamless tubes'!$B$2:$X$31, $A$1, FALSE)</f>
        <v>1874</v>
      </c>
      <c r="U24" s="1">
        <f>VLOOKUP($B24, '[1]Exp of long'!$B$2:$X$31, $A$1, FALSE)</f>
        <v>935</v>
      </c>
      <c r="V24" s="1">
        <f>VLOOKUP($B24, '[1]Imp of long'!$B$2:$X$31, $A$1, FALSE)</f>
        <v>1248</v>
      </c>
      <c r="W24" s="1">
        <f>VLOOKUP($B24, '[1]Pro of hr flat'!$B$2:$X$31, $A$1, FALSE)*parameters!$B$8</f>
        <v>4883.01280227596</v>
      </c>
      <c r="X24" s="1">
        <f>VLOOKUP($B24, '[1]Exp of flat'!$B$2:$X$31, $A$1, FALSE)</f>
        <v>4383</v>
      </c>
      <c r="Y24" s="1">
        <f>VLOOKUP($B24, '[1]Imp of flat'!$B$2:$X$31, $A$1, FALSE)</f>
        <v>1840</v>
      </c>
      <c r="Z24" s="1">
        <f>VLOOKUP($B24, '[1]Indirect exp'!$B$2:$X$31, $A$1, FALSE)</f>
        <v>3588</v>
      </c>
      <c r="AA24" s="1">
        <f>VLOOKUP($B24, '[1]Indirect imp'!$B$2:$X$31, $A$1, FALSE)</f>
        <v>3687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24.7</v>
      </c>
      <c r="G25" s="1">
        <f>VLOOKUP($B25, '[1]Pro of pig iron'!$B$2:$X$31, $A$1, FALSE)*(1-VLOOKUP($B25, '[1]Foundry share'!$B$2:$X$31, $A$1, FALSE))</f>
        <v>4073</v>
      </c>
      <c r="H25" s="1">
        <f>VLOOKUP($B25, '[1]Exp of pig iron'!$B$2:$X$31, $A$1, FALSE)</f>
        <v>236</v>
      </c>
      <c r="I25" s="1">
        <f>VLOOKUP($B25, '[1]Imp of pig iron'!$B$2:$X$31, $A$1, FALSE)</f>
        <v>286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0</v>
      </c>
      <c r="L25" s="1">
        <f>VLOOKUP($B25, '[1]Imp of DRI'!$B$2:$X$31, $A$1, FALSE)</f>
        <v>18</v>
      </c>
      <c r="M25" s="1">
        <f>VLOOKUP($B25, '[1]Exp of scrap'!$B$2:$X$31, $A$1, FALSE)</f>
        <v>3476</v>
      </c>
      <c r="N25" s="1">
        <f>VLOOKUP($B25, '[1]Imp of scrap'!$B$2:$X$31, $A$1, FALSE)</f>
        <v>4054</v>
      </c>
      <c r="O25" s="1">
        <f>VLOOKUP($B25, '[1]Pro of BOF steel'!$B$2:$X$31, $A$1, FALSE)</f>
        <v>4647</v>
      </c>
      <c r="P25" s="1">
        <f>VLOOKUP($B25, '[1]Pro of OHF steel'!$B$2:$X$31, $A$1, FALSE)</f>
        <v>0</v>
      </c>
      <c r="Q25" s="1">
        <f>VLOOKUP($B25, '[1]Pro of EAF steel'!$B$2:$X$31, $A$1, FALSE)</f>
        <v>2654</v>
      </c>
      <c r="R25" s="1">
        <f>VLOOKUP($B25, '[1]Exp of ingots and semis'!$B$2:$X$31, $A$1, FALSE)</f>
        <v>321</v>
      </c>
      <c r="S25" s="1">
        <f>VLOOKUP($B25, '[1]Imp of ingots and semis'!$B$2:$X$31, $A$1, FALSE)</f>
        <v>2448</v>
      </c>
      <c r="T25" s="1">
        <f>VLOOKUP($B25, '[1]Pro of hr long'!$B$2:$X$31, $A$1, FALSE)+VLOOKUP($B25, '[1]Pro of seamless tubes'!$B$2:$X$31, $A$1, FALSE)</f>
        <v>872</v>
      </c>
      <c r="U25" s="1">
        <f>VLOOKUP($B25, '[1]Exp of long'!$B$2:$X$31, $A$1, FALSE)</f>
        <v>1484</v>
      </c>
      <c r="V25" s="1">
        <f>VLOOKUP($B25, '[1]Imp of long'!$B$2:$X$31, $A$1, FALSE)</f>
        <v>1579</v>
      </c>
      <c r="W25" s="1">
        <f>VLOOKUP($B25, '[1]Pro of hr flat'!$B$2:$X$31, $A$1, FALSE)*parameters!$B$8</f>
        <v>7815.152204836415</v>
      </c>
      <c r="X25" s="1">
        <f>VLOOKUP($B25, '[1]Exp of flat'!$B$2:$X$31, $A$1, FALSE)</f>
        <v>12260</v>
      </c>
      <c r="Y25" s="1">
        <f>VLOOKUP($B25, '[1]Imp of flat'!$B$2:$X$31, $A$1, FALSE)</f>
        <v>5921</v>
      </c>
      <c r="Z25" s="1">
        <f>VLOOKUP($B25, '[1]Indirect exp'!$B$2:$X$31, $A$1, FALSE)</f>
        <v>7272</v>
      </c>
      <c r="AA25" s="1">
        <f>VLOOKUP($B25, '[1]Indirect imp'!$B$2:$X$31, $A$1, FALSE)</f>
        <v>7493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7183</v>
      </c>
      <c r="H26" s="1">
        <f>VLOOKUP($B26, '[1]Exp of pig iron'!$B$2:$X$31, $A$1, FALSE)</f>
        <v>4</v>
      </c>
      <c r="I26" s="1">
        <f>VLOOKUP($B26, '[1]Imp of pig iron'!$B$2:$X$31, $A$1, FALSE)</f>
        <v>59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194</v>
      </c>
      <c r="M26" s="1">
        <f>VLOOKUP($B26, '[1]Exp of scrap'!$B$2:$X$31, $A$1, FALSE)</f>
        <v>7299</v>
      </c>
      <c r="N26" s="1">
        <f>VLOOKUP($B26, '[1]Imp of scrap'!$B$2:$X$31, $A$1, FALSE)</f>
        <v>286</v>
      </c>
      <c r="O26" s="1">
        <f>VLOOKUP($B26, '[1]Pro of BOF steel'!$B$2:$X$31, $A$1, FALSE)</f>
        <v>7525</v>
      </c>
      <c r="P26" s="1">
        <f>VLOOKUP($B26, '[1]Pro of OHF steel'!$B$2:$X$31, $A$1, FALSE)</f>
        <v>0</v>
      </c>
      <c r="Q26" s="1">
        <f>VLOOKUP($B26, '[1]Pro of EAF steel'!$B$2:$X$31, $A$1, FALSE)</f>
        <v>2054</v>
      </c>
      <c r="R26" s="1">
        <f>VLOOKUP($B26, '[1]Exp of ingots and semis'!$B$2:$X$31, $A$1, FALSE)</f>
        <v>2078</v>
      </c>
      <c r="S26" s="1">
        <f>VLOOKUP($B26, '[1]Imp of ingots and semis'!$B$2:$X$31, $A$1, FALSE)</f>
        <v>828</v>
      </c>
      <c r="T26" s="1">
        <f>VLOOKUP($B26, '[1]Pro of hr long'!$B$2:$X$31, $A$1, FALSE)+VLOOKUP($B26, '[1]Pro of seamless tubes'!$B$2:$X$31, $A$1, FALSE)</f>
        <v>3000</v>
      </c>
      <c r="U26" s="1">
        <f>VLOOKUP($B26, '[1]Exp of long'!$B$2:$X$31, $A$1, FALSE)</f>
        <v>1832</v>
      </c>
      <c r="V26" s="1">
        <f>VLOOKUP($B26, '[1]Imp of long'!$B$2:$X$31, $A$1, FALSE)</f>
        <v>1772</v>
      </c>
      <c r="W26" s="1">
        <f>VLOOKUP($B26, '[1]Pro of hr flat'!$B$2:$X$31, $A$1, FALSE)*parameters!$B$8</f>
        <v>3938.6657183499287</v>
      </c>
      <c r="X26" s="1">
        <f>VLOOKUP($B26, '[1]Exp of flat'!$B$2:$X$31, $A$1, FALSE)</f>
        <v>1728</v>
      </c>
      <c r="Y26" s="1">
        <f>VLOOKUP($B26, '[1]Imp of flat'!$B$2:$X$31, $A$1, FALSE)</f>
        <v>3536</v>
      </c>
      <c r="Z26" s="1">
        <f>VLOOKUP($B26, '[1]Indirect exp'!$B$2:$X$31, $A$1, FALSE)</f>
        <v>5997</v>
      </c>
      <c r="AA26" s="1">
        <f>VLOOKUP($B26, '[1]Indirect imp'!$B$2:$X$31, $A$1, FALSE)</f>
        <v>9687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13605.15</v>
      </c>
      <c r="G27" s="1">
        <f>VLOOKUP($B27, '[1]Pro of pig iron'!$B$2:$X$31, $A$1, FALSE)*(1-VLOOKUP($B27, '[1]Foundry share'!$B$2:$X$31, $A$1, FALSE))</f>
        <v>5448.3632877541449</v>
      </c>
      <c r="H27" s="1">
        <f>VLOOKUP($B27, '[1]Exp of pig iron'!$B$2:$X$31, $A$1, FALSE)</f>
        <v>269</v>
      </c>
      <c r="I27" s="1">
        <f>VLOOKUP($B27, '[1]Imp of pig iron'!$B$2:$X$31, $A$1, FALSE)</f>
        <v>320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0</v>
      </c>
      <c r="L27" s="1">
        <f>VLOOKUP($B27, '[1]Imp of DRI'!$B$2:$X$31, $A$1, FALSE)</f>
        <v>414</v>
      </c>
      <c r="M27" s="1">
        <f>VLOOKUP($B27, '[1]Exp of scrap'!$B$2:$X$31, $A$1, FALSE)</f>
        <v>4798</v>
      </c>
      <c r="N27" s="1">
        <f>VLOOKUP($B27, '[1]Imp of scrap'!$B$2:$X$31, $A$1, FALSE)</f>
        <v>1872</v>
      </c>
      <c r="O27" s="1">
        <f>VLOOKUP($B27, '[1]Pro of BOF steel'!$B$2:$X$31, $A$1, FALSE)</f>
        <v>6739</v>
      </c>
      <c r="P27" s="1">
        <f>VLOOKUP($B27, '[1]Pro of OHF steel'!$B$2:$X$31, $A$1, FALSE)</f>
        <v>0</v>
      </c>
      <c r="Q27" s="1">
        <f>VLOOKUP($B27, '[1]Pro of EAF steel'!$B$2:$X$31, $A$1, FALSE)</f>
        <v>141</v>
      </c>
      <c r="R27" s="1">
        <f>VLOOKUP($B27, '[1]Exp of ingots and semis'!$B$2:$X$31, $A$1, FALSE)</f>
        <v>1174</v>
      </c>
      <c r="S27" s="1">
        <f>VLOOKUP($B27, '[1]Imp of ingots and semis'!$B$2:$X$31, $A$1, FALSE)</f>
        <v>1045</v>
      </c>
      <c r="T27" s="1">
        <f>VLOOKUP($B27, '[1]Pro of hr long'!$B$2:$X$31, $A$1, FALSE)+VLOOKUP($B27, '[1]Pro of seamless tubes'!$B$2:$X$31, $A$1, FALSE)</f>
        <v>165</v>
      </c>
      <c r="U27" s="1">
        <f>VLOOKUP($B27, '[1]Exp of long'!$B$2:$X$31, $A$1, FALSE)</f>
        <v>862</v>
      </c>
      <c r="V27" s="1">
        <f>VLOOKUP($B27, '[1]Imp of long'!$B$2:$X$31, $A$1, FALSE)</f>
        <v>2594</v>
      </c>
      <c r="W27" s="1">
        <f>VLOOKUP($B27, '[1]Pro of hr flat'!$B$2:$X$31, $A$1, FALSE)*parameters!$B$8</f>
        <v>6075.105263157895</v>
      </c>
      <c r="X27" s="1">
        <f>VLOOKUP($B27, '[1]Exp of flat'!$B$2:$X$31, $A$1, FALSE)</f>
        <v>7155</v>
      </c>
      <c r="Y27" s="1">
        <f>VLOOKUP($B27, '[1]Imp of flat'!$B$2:$X$31, $A$1, FALSE)</f>
        <v>3153</v>
      </c>
      <c r="Z27" s="1">
        <f>VLOOKUP($B27, '[1]Indirect exp'!$B$2:$X$31, $A$1, FALSE)</f>
        <v>6882</v>
      </c>
      <c r="AA27" s="1">
        <f>VLOOKUP($B27, '[1]Indirect imp'!$B$2:$X$31, $A$1, FALSE)</f>
        <v>6263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555500</v>
      </c>
      <c r="D28" s="1">
        <f>VLOOKUP($B28, '[1]Pro of iron ore'!$B$2:$X$31, $A$1, FALSE)*(1-VLOOKUP($B28, '[1]Foundry share'!$B$2:$X$31, $A$1, FALSE))</f>
        <v>336000</v>
      </c>
      <c r="E28" s="47">
        <f>VLOOKUP($B28, '[1]Iron content'!$B$2:$X$31, $A$1, FALSE)</f>
        <v>0.60486048604860487</v>
      </c>
      <c r="F28" s="1">
        <f>VLOOKUP($B28, '[1]Exp of usable iron ore'!$B$2:$X$31, $A$1, FALSE)*parameters!$B$12</f>
        <v>340636.4</v>
      </c>
      <c r="G28" s="1">
        <f>VLOOKUP($B28, '[1]Pro of pig iron'!$B$2:$X$31, $A$1, FALSE)*(1-VLOOKUP($B28, '[1]Foundry share'!$B$2:$X$31, $A$1, FALSE))</f>
        <v>3710</v>
      </c>
      <c r="H28" s="1">
        <f>VLOOKUP($B28, '[1]Exp of pig iron'!$B$2:$X$31, $A$1, FALSE)</f>
        <v>0</v>
      </c>
      <c r="I28" s="1">
        <f>VLOOKUP($B28, '[1]Imp of pig iron'!$B$2:$X$31, $A$1, FALSE)</f>
        <v>7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0</v>
      </c>
      <c r="L28" s="1">
        <f>VLOOKUP($B28, '[1]Imp of DRI'!$B$2:$X$31, $A$1, FALSE)</f>
        <v>1</v>
      </c>
      <c r="M28" s="1">
        <f>VLOOKUP($B28, '[1]Exp of scrap'!$B$2:$X$31, $A$1, FALSE)</f>
        <v>2245</v>
      </c>
      <c r="N28" s="1">
        <f>VLOOKUP($B28, '[1]Imp of scrap'!$B$2:$X$31, $A$1, FALSE)</f>
        <v>5</v>
      </c>
      <c r="O28" s="1">
        <f>VLOOKUP($B28, '[1]Pro of BOF steel'!$B$2:$X$31, $A$1, FALSE)</f>
        <v>3777</v>
      </c>
      <c r="P28" s="1">
        <f>VLOOKUP($B28, '[1]Pro of OHF steel'!$B$2:$X$31, $A$1, FALSE)</f>
        <v>0</v>
      </c>
      <c r="Q28" s="1">
        <f>VLOOKUP($B28, '[1]Pro of EAF steel'!$B$2:$X$31, $A$1, FALSE)</f>
        <v>1116</v>
      </c>
      <c r="R28" s="1">
        <f>VLOOKUP($B28, '[1]Exp of ingots and semis'!$B$2:$X$31, $A$1, FALSE)</f>
        <v>12</v>
      </c>
      <c r="S28" s="1">
        <f>VLOOKUP($B28, '[1]Imp of ingots and semis'!$B$2:$X$31, $A$1, FALSE)</f>
        <v>5</v>
      </c>
      <c r="T28" s="1">
        <f>VLOOKUP($B28, '[1]Pro of hr long'!$B$2:$X$31, $A$1, FALSE)+VLOOKUP($B28, '[1]Pro of seamless tubes'!$B$2:$X$31, $A$1, FALSE)</f>
        <v>2017</v>
      </c>
      <c r="U28" s="1">
        <f>VLOOKUP($B28, '[1]Exp of long'!$B$2:$X$31, $A$1, FALSE)</f>
        <v>103</v>
      </c>
      <c r="V28" s="1">
        <f>VLOOKUP($B28, '[1]Imp of long'!$B$2:$X$31, $A$1, FALSE)</f>
        <v>848</v>
      </c>
      <c r="W28" s="1">
        <f>VLOOKUP($B28, '[1]Pro of hr flat'!$B$2:$X$31, $A$1, FALSE)*parameters!$B$8</f>
        <v>3268.2958748221904</v>
      </c>
      <c r="X28" s="1">
        <f>VLOOKUP($B28, '[1]Exp of flat'!$B$2:$X$31, $A$1, FALSE)</f>
        <v>443</v>
      </c>
      <c r="Y28" s="1">
        <f>VLOOKUP($B28, '[1]Imp of flat'!$B$2:$X$31, $A$1, FALSE)</f>
        <v>980</v>
      </c>
      <c r="Z28" s="1">
        <f>VLOOKUP($B28, '[1]Indirect exp'!$B$2:$X$31, $A$1, FALSE)</f>
        <v>835</v>
      </c>
      <c r="AA28" s="1">
        <f>VLOOKUP($B28, '[1]Indirect imp'!$B$2:$X$31, $A$1, FALSE)</f>
        <v>6223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67100</v>
      </c>
      <c r="D29" s="1">
        <f>VLOOKUP($B29, '[1]Pro of iron ore'!$B$2:$X$31, $A$1, FALSE)*(1-VLOOKUP($B29, '[1]Foundry share'!$B$2:$X$31, $A$1, FALSE))</f>
        <v>42900</v>
      </c>
      <c r="E29" s="47">
        <f>VLOOKUP($B29, '[1]Iron content'!$B$2:$X$31, $A$1, FALSE)</f>
        <v>0.63934426229508201</v>
      </c>
      <c r="F29" s="1">
        <f>VLOOKUP($B29, '[1]Exp of usable iron ore'!$B$2:$X$31, $A$1, FALSE)*parameters!$B$12</f>
        <v>35101.300000000003</v>
      </c>
      <c r="G29" s="1">
        <f>VLOOKUP($B29, '[1]Pro of pig iron'!$B$2:$X$31, $A$1, FALSE)*(1-VLOOKUP($B29, '[1]Foundry share'!$B$2:$X$31, $A$1, FALSE))</f>
        <v>4599</v>
      </c>
      <c r="H29" s="1">
        <f>VLOOKUP($B29, '[1]Exp of pig iron'!$B$2:$X$31, $A$1, FALSE)</f>
        <v>614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1493</v>
      </c>
      <c r="K29" s="1">
        <f>VLOOKUP($B29, '[1]Exp of DRI'!$B$2:$X$31, $A$1, FALSE)</f>
        <v>1</v>
      </c>
      <c r="L29" s="1">
        <f>VLOOKUP($B29, '[1]Imp of DRI'!$B$2:$X$31, $A$1, FALSE)</f>
        <v>1</v>
      </c>
      <c r="M29" s="1">
        <f>VLOOKUP($B29, '[1]Exp of scrap'!$B$2:$X$31, $A$1, FALSE)</f>
        <v>1632</v>
      </c>
      <c r="N29" s="1">
        <f>VLOOKUP($B29, '[1]Imp of scrap'!$B$2:$X$31, $A$1, FALSE)</f>
        <v>11</v>
      </c>
      <c r="O29" s="1">
        <f>VLOOKUP($B29, '[1]Pro of BOF steel'!$B$2:$X$31, $A$1, FALSE)</f>
        <v>3904</v>
      </c>
      <c r="P29" s="1">
        <f>VLOOKUP($B29, '[1]Pro of OHF steel'!$B$2:$X$31, $A$1, FALSE)</f>
        <v>0</v>
      </c>
      <c r="Q29" s="1">
        <f>VLOOKUP($B29, '[1]Pro of EAF steel'!$B$2:$X$31, $A$1, FALSE)</f>
        <v>3034</v>
      </c>
      <c r="R29" s="1">
        <f>VLOOKUP($B29, '[1]Exp of ingots and semis'!$B$2:$X$31, $A$1, FALSE)</f>
        <v>111</v>
      </c>
      <c r="S29" s="1">
        <f>VLOOKUP($B29, '[1]Imp of ingots and semis'!$B$2:$X$31, $A$1, FALSE)</f>
        <v>10</v>
      </c>
      <c r="T29" s="1">
        <f>VLOOKUP($B29, '[1]Pro of hr long'!$B$2:$X$31, $A$1, FALSE)+VLOOKUP($B29, '[1]Pro of seamless tubes'!$B$2:$X$31, $A$1, FALSE)</f>
        <v>2200</v>
      </c>
      <c r="U29" s="1">
        <f>VLOOKUP($B29, '[1]Exp of long'!$B$2:$X$31, $A$1, FALSE)</f>
        <v>476</v>
      </c>
      <c r="V29" s="1">
        <f>VLOOKUP($B29, '[1]Imp of long'!$B$2:$X$31, $A$1, FALSE)</f>
        <v>281</v>
      </c>
      <c r="W29" s="1">
        <f>VLOOKUP($B29, '[1]Pro of hr flat'!$B$2:$X$31, $A$1, FALSE)*parameters!$B$8</f>
        <v>3108.9615931721196</v>
      </c>
      <c r="X29" s="1">
        <f>VLOOKUP($B29, '[1]Exp of flat'!$B$2:$X$31, $A$1, FALSE)</f>
        <v>1477</v>
      </c>
      <c r="Y29" s="1">
        <f>VLOOKUP($B29, '[1]Imp of flat'!$B$2:$X$31, $A$1, FALSE)</f>
        <v>646</v>
      </c>
      <c r="Z29" s="1">
        <f>VLOOKUP($B29, '[1]Indirect exp'!$B$2:$X$31, $A$1, FALSE)</f>
        <v>1436</v>
      </c>
      <c r="AA29" s="1">
        <f>VLOOKUP($B29, '[1]Indirect imp'!$B$2:$X$31, $A$1, FALSE)</f>
        <v>2059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12144</v>
      </c>
      <c r="D30" s="1">
        <f>VLOOKUP($B30, '[1]Pro of iron ore'!$B$2:$X$31, $A$1, FALSE)*(1-VLOOKUP($B30, '[1]Foundry share'!$B$2:$X$31, $A$1, FALSE))</f>
        <v>7590</v>
      </c>
      <c r="E30" s="47">
        <f>VLOOKUP($B30, '[1]Iron content'!$B$2:$X$31, $A$1, FALSE)</f>
        <v>0.625</v>
      </c>
      <c r="F30" s="1">
        <f>VLOOKUP($B30, '[1]Exp of usable iron ore'!$B$2:$X$31, $A$1, FALSE)*parameters!$B$12</f>
        <v>5805.1500000000005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58</v>
      </c>
      <c r="J30" s="1">
        <f>VLOOKUP($B30, '[1]Pro of DRI'!$B$2:$X$31, $A$1, FALSE)*(1-VLOOKUP($B30, '[1]Foundry share'!$B$2:$X$31, $A$1, FALSE))</f>
        <v>2329</v>
      </c>
      <c r="K30" s="1">
        <f>VLOOKUP($B30, '[1]Exp of DRI'!$B$2:$X$31, $A$1, FALSE)</f>
        <v>861</v>
      </c>
      <c r="L30" s="1">
        <f>VLOOKUP($B30, '[1]Imp of DRI'!$B$2:$X$31, $A$1, FALSE)</f>
        <v>14</v>
      </c>
      <c r="M30" s="1">
        <f>VLOOKUP($B30, '[1]Exp of scrap'!$B$2:$X$31, $A$1, FALSE)</f>
        <v>80</v>
      </c>
      <c r="N30" s="1">
        <f>VLOOKUP($B30, '[1]Imp of scrap'!$B$2:$X$31, $A$1, FALSE)</f>
        <v>1816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5612</v>
      </c>
      <c r="R30" s="1">
        <f>VLOOKUP($B30, '[1]Exp of ingots and semis'!$B$2:$X$31, $A$1, FALSE)</f>
        <v>602</v>
      </c>
      <c r="S30" s="1">
        <f>VLOOKUP($B30, '[1]Imp of ingots and semis'!$B$2:$X$31, $A$1, FALSE)</f>
        <v>251</v>
      </c>
      <c r="T30" s="1">
        <f>VLOOKUP($B30, '[1]Pro of hr long'!$B$2:$X$31, $A$1, FALSE)+VLOOKUP($B30, '[1]Pro of seamless tubes'!$B$2:$X$31, $A$1, FALSE)</f>
        <v>3769</v>
      </c>
      <c r="U30" s="1">
        <f>VLOOKUP($B30, '[1]Exp of long'!$B$2:$X$31, $A$1, FALSE)</f>
        <v>493</v>
      </c>
      <c r="V30" s="1">
        <f>VLOOKUP($B30, '[1]Imp of long'!$B$2:$X$31, $A$1, FALSE)</f>
        <v>1612</v>
      </c>
      <c r="W30" s="1">
        <f>VLOOKUP($B30, '[1]Pro of hr flat'!$B$2:$X$31, $A$1, FALSE)*parameters!$B$8</f>
        <v>1151.2873399715504</v>
      </c>
      <c r="X30" s="1">
        <f>VLOOKUP($B30, '[1]Exp of flat'!$B$2:$X$31, $A$1, FALSE)</f>
        <v>391</v>
      </c>
      <c r="Y30" s="1">
        <f>VLOOKUP($B30, '[1]Imp of flat'!$B$2:$X$31, $A$1, FALSE)</f>
        <v>3187</v>
      </c>
      <c r="Z30" s="1">
        <f>VLOOKUP($B30, '[1]Indirect exp'!$B$2:$X$31, $A$1, FALSE)</f>
        <v>1809</v>
      </c>
      <c r="AA30" s="1">
        <f>VLOOKUP($B30, '[1]Indirect imp'!$B$2:$X$31, $A$1, FALSE)</f>
        <v>2437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256</v>
      </c>
      <c r="D31" s="1">
        <f>VLOOKUP($B31, '[1]Pro of iron ore'!$B$2:$X$31, $A$1, FALSE)*(1-VLOOKUP($B31, '[1]Foundry share'!$B$2:$X$31, $A$1, FALSE))</f>
        <v>155</v>
      </c>
      <c r="E31" s="47">
        <f>VLOOKUP($B31, '[1]Iron content'!$B$2:$X$31, $A$1, FALSE)</f>
        <v>0.60546875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</v>
      </c>
      <c r="I31" s="1">
        <f>VLOOKUP($B31, '[1]Imp of pig iron'!$B$2:$X$31, $A$1, FALSE)</f>
        <v>204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481</v>
      </c>
      <c r="N31" s="1">
        <f>VLOOKUP($B31, '[1]Imp of scrap'!$B$2:$X$31, $A$1, FALSE)</f>
        <v>1701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3641</v>
      </c>
      <c r="R31" s="1">
        <f>VLOOKUP($B31, '[1]Exp of ingots and semis'!$B$2:$X$31, $A$1, FALSE)</f>
        <v>113</v>
      </c>
      <c r="S31" s="1">
        <f>VLOOKUP($B31, '[1]Imp of ingots and semis'!$B$2:$X$31, $A$1, FALSE)</f>
        <v>3991</v>
      </c>
      <c r="T31" s="1">
        <f>VLOOKUP($B31, '[1]Pro of hr long'!$B$2:$X$31, $A$1, FALSE)+VLOOKUP($B31, '[1]Pro of seamless tubes'!$B$2:$X$31, $A$1, FALSE)</f>
        <v>3763</v>
      </c>
      <c r="U31" s="1">
        <f>VLOOKUP($B31, '[1]Exp of long'!$B$2:$X$31, $A$1, FALSE)</f>
        <v>832</v>
      </c>
      <c r="V31" s="1">
        <f>VLOOKUP($B31, '[1]Imp of long'!$B$2:$X$31, $A$1, FALSE)</f>
        <v>2109</v>
      </c>
      <c r="W31" s="1">
        <f>VLOOKUP($B31, '[1]Pro of hr flat'!$B$2:$X$31, $A$1, FALSE)*parameters!$B$8</f>
        <v>2873.8463726884779</v>
      </c>
      <c r="X31" s="1">
        <f>VLOOKUP($B31, '[1]Exp of flat'!$B$2:$X$31, $A$1, FALSE)</f>
        <v>249</v>
      </c>
      <c r="Y31" s="1">
        <f>VLOOKUP($B31, '[1]Imp of flat'!$B$2:$X$31, $A$1, FALSE)</f>
        <v>8428</v>
      </c>
      <c r="Z31" s="1">
        <f>VLOOKUP($B31, '[1]Indirect exp'!$B$2:$X$31, $A$1, FALSE)</f>
        <v>4751</v>
      </c>
      <c r="AA31" s="1">
        <f>VLOOKUP($B31, '[1]Indirect imp'!$B$2:$X$31, $A$1, FALSE)</f>
        <v>3826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25927</v>
      </c>
      <c r="D32" s="1">
        <f>VLOOKUP($B32, '[1]Pro of iron ore'!$B$2:$X$31, $A$1, FALSE)*(1-VLOOKUP($B32, '[1]Foundry share'!$B$2:$X$31, $A$1, FALSE))</f>
        <v>15700</v>
      </c>
      <c r="E32" s="47">
        <f>VLOOKUP($B32, '[1]Iron content'!$B$2:$X$31, $A$1, FALSE)</f>
        <v>0.60554634165156018</v>
      </c>
      <c r="F32" s="1">
        <f>VLOOKUP($B32, '[1]Exp of usable iron ore'!$B$2:$X$31, $A$1, FALSE)*parameters!$B$12</f>
        <v>14855.75</v>
      </c>
      <c r="G32" s="1">
        <f>VLOOKUP($B32, '[1]Pro of pig iron'!$B$2:$X$31, $A$1, FALSE)*(1-VLOOKUP($B32, '[1]Foundry share'!$B$2:$X$31, $A$1, FALSE))</f>
        <v>2805</v>
      </c>
      <c r="H32" s="1">
        <f>VLOOKUP($B32, '[1]Exp of pig iron'!$B$2:$X$31, $A$1, FALSE)</f>
        <v>88</v>
      </c>
      <c r="I32" s="1">
        <f>VLOOKUP($B32, '[1]Imp of pig iron'!$B$2:$X$31, $A$1, FALSE)</f>
        <v>55</v>
      </c>
      <c r="J32" s="1">
        <f>VLOOKUP($B32, '[1]Pro of DRI'!$B$2:$X$31, $A$1, FALSE)*(1-VLOOKUP($B32, '[1]Foundry share'!$B$2:$X$31, $A$1, FALSE))</f>
        <v>105</v>
      </c>
      <c r="K32" s="1">
        <f>VLOOKUP($B32, '[1]Exp of DRI'!$B$2:$X$31, $A$1, FALSE)</f>
        <v>2</v>
      </c>
      <c r="L32" s="1">
        <f>VLOOKUP($B32, '[1]Imp of DRI'!$B$2:$X$31, $A$1, FALSE)</f>
        <v>33</v>
      </c>
      <c r="M32" s="1">
        <f>VLOOKUP($B32, '[1]Exp of scrap'!$B$2:$X$31, $A$1, FALSE)</f>
        <v>1525</v>
      </c>
      <c r="N32" s="1">
        <f>VLOOKUP($B32, '[1]Imp of scrap'!$B$2:$X$31, $A$1, FALSE)</f>
        <v>236</v>
      </c>
      <c r="O32" s="1">
        <f>VLOOKUP($B32, '[1]Pro of BOF steel'!$B$2:$X$31, $A$1, FALSE)</f>
        <v>2883</v>
      </c>
      <c r="P32" s="1">
        <f>VLOOKUP($B32, '[1]Pro of OHF steel'!$B$2:$X$31, $A$1, FALSE)</f>
        <v>0</v>
      </c>
      <c r="Q32" s="1">
        <f>VLOOKUP($B32, '[1]Pro of EAF steel'!$B$2:$X$31, $A$1, FALSE)</f>
        <v>1443</v>
      </c>
      <c r="R32" s="1">
        <f>VLOOKUP($B32, '[1]Exp of ingots and semis'!$B$2:$X$31, $A$1, FALSE)</f>
        <v>448</v>
      </c>
      <c r="S32" s="1">
        <f>VLOOKUP($B32, '[1]Imp of ingots and semis'!$B$2:$X$31, $A$1, FALSE)</f>
        <v>131</v>
      </c>
      <c r="T32" s="1">
        <f>VLOOKUP($B32, '[1]Pro of hr long'!$B$2:$X$31, $A$1, FALSE)+VLOOKUP($B32, '[1]Pro of seamless tubes'!$B$2:$X$31, $A$1, FALSE)</f>
        <v>750</v>
      </c>
      <c r="U32" s="1">
        <f>VLOOKUP($B32, '[1]Exp of long'!$B$2:$X$31, $A$1, FALSE)</f>
        <v>569</v>
      </c>
      <c r="V32" s="1">
        <f>VLOOKUP($B32, '[1]Imp of long'!$B$2:$X$31, $A$1, FALSE)</f>
        <v>812</v>
      </c>
      <c r="W32" s="1">
        <f>VLOOKUP($B32, '[1]Pro of hr flat'!$B$2:$X$31, $A$1, FALSE)*parameters!$B$8</f>
        <v>2594.0398293029871</v>
      </c>
      <c r="X32" s="1">
        <f>VLOOKUP($B32, '[1]Exp of flat'!$B$2:$X$31, $A$1, FALSE)</f>
        <v>2294</v>
      </c>
      <c r="Y32" s="1">
        <f>VLOOKUP($B32, '[1]Imp of flat'!$B$2:$X$31, $A$1, FALSE)</f>
        <v>2065</v>
      </c>
      <c r="Z32" s="1">
        <f>VLOOKUP($B32, '[1]Indirect exp'!$B$2:$X$31, $A$1, FALSE)</f>
        <v>2746</v>
      </c>
      <c r="AA32" s="1">
        <f>VLOOKUP($B32, '[1]Indirect imp'!$B$2:$X$31, $A$1, FALSE)</f>
        <v>3113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613689.45982573868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613689.45982573868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-362343.59832666826</v>
      </c>
      <c r="Q2" s="17" cm="1">
        <f t="array" aca="1" ref="Q2" ca="1">INDIRECT("'data'!$D$" &amp; $A$1)</f>
        <v>251345.86149907045</v>
      </c>
      <c r="R2" s="17">
        <f ca="1">SUM(L2:P2)</f>
        <v>251345.86149907042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591612.05223880603</v>
      </c>
      <c r="G3" s="14">
        <f ca="1">Q3-O3-P3-F3</f>
        <v>18474.818990030559</v>
      </c>
      <c r="H3" s="14"/>
      <c r="I3" s="14"/>
      <c r="J3" s="14"/>
      <c r="K3" s="13"/>
      <c r="L3" s="16">
        <f t="shared" ca="1" si="0"/>
        <v>610086.87122883659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285.39</v>
      </c>
      <c r="P3" s="13" cm="1">
        <f t="array" aca="1" ref="P3" ca="1">-INDIRECT("'data'!$I$" &amp; $A$1)*parameters!$B$13</f>
        <v>-549.04499999999996</v>
      </c>
      <c r="Q3" s="16" cm="1">
        <f t="array" aca="1" ref="Q3" ca="1">INDIRECT("'data'!$G$" &amp; $A$1)*parameters!$B$13</f>
        <v>609823.21622883657</v>
      </c>
      <c r="R3" s="16">
        <f t="shared" ref="R3:R10" ca="1" si="2">SUM(L3:P3)</f>
        <v>609823.21622883657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882.28000000000009</v>
      </c>
      <c r="H4" s="14"/>
      <c r="I4" s="14"/>
      <c r="J4" s="14"/>
      <c r="K4" s="13"/>
      <c r="L4" s="16">
        <f t="shared" ca="1" si="0"/>
        <v>882.28000000000009</v>
      </c>
      <c r="M4" s="16"/>
      <c r="N4" s="16">
        <f t="shared" ca="1" si="1"/>
        <v>0</v>
      </c>
      <c r="O4" s="11" cm="1">
        <f t="array" aca="1" ref="O4" ca="1">INDIRECT("'data'!$K$" &amp; $A$1)*parameters!$B$14</f>
        <v>103.04</v>
      </c>
      <c r="P4" s="13" cm="1">
        <f t="array" aca="1" ref="P4" ca="1">-INDIRECT("'data'!$L$" &amp; $A$1)*parameters!$B$14</f>
        <v>-985.32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Q6/parameters!$B$5*15%</f>
        <v>104402.12686567164</v>
      </c>
      <c r="G5" s="14">
        <f ca="1">Q7/parameters!$B$7-(G3+G4)</f>
        <v>46996.171647378011</v>
      </c>
      <c r="H5" s="14"/>
      <c r="I5" s="14"/>
      <c r="J5" s="14"/>
      <c r="K5" s="13"/>
      <c r="L5" s="16">
        <f t="shared" ca="1" si="0"/>
        <v>151398.29851304967</v>
      </c>
      <c r="M5" s="16"/>
      <c r="N5" s="16"/>
      <c r="O5" s="11" cm="1">
        <f t="array" aca="1" ref="O5" ca="1">INDIRECT("'data'!$M$" &amp; $A$1)*parameters!$B$15</f>
        <v>0.98</v>
      </c>
      <c r="P5" s="13" cm="1">
        <f t="array" aca="1" ref="P5" ca="1">-INDIRECT("'data'!$N$" &amp; $A$1)*parameters!$B$15</f>
        <v>-4874.5199999999995</v>
      </c>
      <c r="Q5" s="16">
        <f ca="1">SUM(L5:P5)</f>
        <v>146524.75851304969</v>
      </c>
      <c r="R5" s="16">
        <f t="shared" ca="1" si="2"/>
        <v>146524.75851304969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652861.29999999993</v>
      </c>
      <c r="I6" s="14"/>
      <c r="J6" s="14"/>
      <c r="K6" s="13"/>
      <c r="L6" s="16">
        <f t="shared" ca="1" si="0"/>
        <v>652861.29999999993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652861.29999999993</v>
      </c>
      <c r="R6" s="16">
        <f t="shared" ca="1" si="2"/>
        <v>652861.29999999993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63500.08</v>
      </c>
      <c r="I7" s="14"/>
      <c r="J7" s="14"/>
      <c r="K7" s="13"/>
      <c r="L7" s="16">
        <f t="shared" ca="1" si="0"/>
        <v>63500.08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63500.08</v>
      </c>
      <c r="R7" s="16">
        <f t="shared" ca="1" si="2"/>
        <v>63500.08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482482</v>
      </c>
      <c r="J8" s="14">
        <f ca="1">Q10/J18</f>
        <v>277421.38691322901</v>
      </c>
      <c r="K8" s="13"/>
      <c r="L8" s="16">
        <f t="shared" ca="1" si="0"/>
        <v>759903.38691322901</v>
      </c>
      <c r="M8" s="16"/>
      <c r="N8" s="16">
        <f t="shared" ca="1" si="3"/>
        <v>-43151.966913229204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-393.96</v>
      </c>
      <c r="Q8" s="16">
        <f ca="1">SUM(Q6:Q7)</f>
        <v>716361.37999999989</v>
      </c>
      <c r="R8" s="16">
        <f t="shared" ca="1" si="2"/>
        <v>716361.37999999989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457119.04</v>
      </c>
      <c r="L9" s="16">
        <f t="shared" ca="1" si="0"/>
        <v>457119.04</v>
      </c>
      <c r="M9" s="16"/>
      <c r="N9" s="16">
        <f t="shared" ca="1" si="3"/>
        <v>0</v>
      </c>
      <c r="O9" s="11" cm="1">
        <f t="array" aca="1" ref="O9" ca="1">INDIRECT("'data'!$U$" &amp; $A$1)*parameters!$B$15</f>
        <v>17213.7</v>
      </c>
      <c r="P9" s="13" cm="1">
        <f t="array" aca="1" ref="P9" ca="1">-INDIRECT("'data'!$V$" &amp; $A$1)*parameters!$B$15</f>
        <v>-1500.3799999999999</v>
      </c>
      <c r="Q9" s="16" cm="1">
        <f t="array" aca="1" ref="Q9" ca="1">INDIRECT("'data'!$T$" &amp; $A$1)*parameters!$B$15</f>
        <v>472832.36</v>
      </c>
      <c r="R9" s="16">
        <f t="shared" ca="1" si="2"/>
        <v>472832.36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256878.9591749644</v>
      </c>
      <c r="L10" s="16">
        <f t="shared" ca="1" si="0"/>
        <v>256878.9591749644</v>
      </c>
      <c r="M10" s="16"/>
      <c r="N10" s="16">
        <f t="shared" ca="1" si="3"/>
        <v>0</v>
      </c>
      <c r="O10" s="11" cm="1">
        <f t="array" aca="1" ref="O10" ca="1">INDIRECT("'data'!$X$" &amp; $A$1)*parameters!$B$15</f>
        <v>26426.68</v>
      </c>
      <c r="P10" s="13" cm="1">
        <f t="array" aca="1" ref="P10" ca="1">-INDIRECT("'data'!$Y$" &amp; $A$1)*parameters!$B$15</f>
        <v>-11432.68</v>
      </c>
      <c r="Q10" s="16" cm="1">
        <f t="array" aca="1" ref="Q10" ca="1">INDIRECT("'data'!$W$" &amp; $A$1)*parameters!$B$15</f>
        <v>271872.9591749644</v>
      </c>
      <c r="R10" s="16">
        <f t="shared" ca="1" si="2"/>
        <v>271872.9591749644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595106.48249046935</v>
      </c>
      <c r="N11" s="19"/>
      <c r="O11" s="21" cm="1">
        <f t="array" aca="1" ref="O11" ca="1">INDIRECT("'data'!$Z$" &amp; $A$1)*parameters!$B$15</f>
        <v>68042.38</v>
      </c>
      <c r="P11" s="27" cm="1">
        <f t="array" aca="1" ref="P11" ca="1">-INDIRECT("'data'!$AA$" &amp; $A$1)*parameters!$B$15</f>
        <v>-12541.06</v>
      </c>
      <c r="Q11" s="16">
        <f ca="1">K9*parameters!$B$10+K10*parameters!$B$11</f>
        <v>650607.8024904693</v>
      </c>
      <c r="R11" s="16">
        <f t="shared" ref="R11:R17" ca="1" si="4">SUM(L11:P11)</f>
        <v>650607.8024904693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-3866.2435969021171</v>
      </c>
      <c r="D12" s="9">
        <f ca="1">-(D17-Q4)</f>
        <v>0</v>
      </c>
      <c r="E12" s="9">
        <f ca="1">-(E17-Q5)</f>
        <v>-18109.801613972435</v>
      </c>
      <c r="F12" s="9">
        <f ca="1">-(F17-Q6)</f>
        <v>-43152.879104477703</v>
      </c>
      <c r="G12" s="9">
        <f ca="1">-(G17-Q7)</f>
        <v>-2853.1906374085665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-67982.114952760821</v>
      </c>
      <c r="M12" s="17"/>
      <c r="N12" s="17"/>
      <c r="O12" s="10"/>
      <c r="P12" s="12"/>
      <c r="Q12" s="9">
        <f t="shared" ref="Q12:Q17" ca="1" si="6">SUM(L12:P12)</f>
        <v>-67982.114952760821</v>
      </c>
      <c r="R12" s="17">
        <f t="shared" ca="1" si="4"/>
        <v>-67982.114952760821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-9649.640000000014</v>
      </c>
      <c r="J13" s="14">
        <f ca="1">-(J17-Q10)</f>
        <v>-5548.4277382646105</v>
      </c>
      <c r="K13" s="13">
        <f ca="1">-(K17-Q11)</f>
        <v>-63390.19668449508</v>
      </c>
      <c r="L13" s="14">
        <f t="shared" ca="1" si="5"/>
        <v>-78588.264422759705</v>
      </c>
      <c r="M13" s="16">
        <f ca="1">-E15</f>
        <v>-86046.295704262418</v>
      </c>
      <c r="N13" s="16"/>
      <c r="O13" s="11"/>
      <c r="P13" s="13"/>
      <c r="Q13" s="14">
        <f t="shared" ca="1" si="6"/>
        <v>-164634.56012702212</v>
      </c>
      <c r="R13" s="16">
        <f t="shared" ca="1" si="4"/>
        <v>-164634.56012702212</v>
      </c>
    </row>
    <row r="14" spans="1:20">
      <c r="A14" s="18" t="s">
        <v>78</v>
      </c>
      <c r="B14" s="11"/>
      <c r="C14" s="14"/>
      <c r="D14" s="14"/>
      <c r="E14" s="14">
        <f ca="1">-(I13+J13)-K13</f>
        <v>78588.264422759705</v>
      </c>
      <c r="F14" s="14"/>
      <c r="G14" s="14"/>
      <c r="H14" s="14"/>
      <c r="I14" s="14"/>
      <c r="J14" s="14"/>
      <c r="K14" s="13"/>
      <c r="L14" s="14">
        <f t="shared" ca="1" si="5"/>
        <v>78588.264422759705</v>
      </c>
      <c r="M14" s="16"/>
      <c r="N14" s="16"/>
      <c r="O14" s="11"/>
      <c r="P14" s="13"/>
      <c r="Q14" s="14">
        <f t="shared" ca="1" si="6"/>
        <v>78588.264422759705</v>
      </c>
      <c r="R14" s="16">
        <f t="shared" ca="1" si="4"/>
        <v>78588.264422759705</v>
      </c>
    </row>
    <row r="15" spans="1:20">
      <c r="A15" s="18" t="s">
        <v>79</v>
      </c>
      <c r="B15" s="11"/>
      <c r="C15" s="14"/>
      <c r="D15" s="14"/>
      <c r="E15" s="14">
        <f ca="1">E17-E14</f>
        <v>86046.295704262418</v>
      </c>
      <c r="F15" s="14"/>
      <c r="G15" s="14"/>
      <c r="H15" s="14"/>
      <c r="I15" s="14"/>
      <c r="J15" s="14"/>
      <c r="K15" s="13"/>
      <c r="L15" s="14">
        <f t="shared" ca="1" si="5"/>
        <v>86046.295704262418</v>
      </c>
      <c r="M15" s="16"/>
      <c r="N15" s="16"/>
      <c r="O15" s="11"/>
      <c r="P15" s="13"/>
      <c r="Q15" s="14">
        <f t="shared" ca="1" si="6"/>
        <v>86046.295704262418</v>
      </c>
      <c r="R15" s="16">
        <f t="shared" ca="1" si="4"/>
        <v>86046.295704262418</v>
      </c>
    </row>
    <row r="16" spans="1:20">
      <c r="A16" s="30" t="s">
        <v>89</v>
      </c>
      <c r="B16" s="21">
        <f ca="1">Q2</f>
        <v>251345.86149907045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251345.86149907045</v>
      </c>
      <c r="M16" s="19"/>
      <c r="N16" s="19"/>
      <c r="O16" s="21"/>
      <c r="P16" s="27"/>
      <c r="Q16" s="22">
        <f t="shared" ca="1" si="6"/>
        <v>251345.86149907045</v>
      </c>
      <c r="R16" s="19">
        <f t="shared" ca="1" si="4"/>
        <v>251345.86149907045</v>
      </c>
    </row>
    <row r="17" spans="1:18">
      <c r="A17" s="29" t="s">
        <v>88</v>
      </c>
      <c r="B17" s="9">
        <f ca="1">B16</f>
        <v>251345.86149907045</v>
      </c>
      <c r="C17" s="9">
        <f ca="1">SUM(C$2:C$11)</f>
        <v>613689.45982573868</v>
      </c>
      <c r="D17" s="9">
        <f ca="1">SUM(D$2:D$11)</f>
        <v>0</v>
      </c>
      <c r="E17" s="9">
        <f ca="1">$Q$5/parameters!$B$4</f>
        <v>164634.56012702212</v>
      </c>
      <c r="F17" s="9">
        <f t="shared" ref="F17:K17" ca="1" si="7">SUM(F$2:F$11)</f>
        <v>696014.17910447763</v>
      </c>
      <c r="G17" s="9">
        <f t="shared" ca="1" si="7"/>
        <v>66353.270637408568</v>
      </c>
      <c r="H17" s="9">
        <f t="shared" ca="1" si="7"/>
        <v>716361.37999999989</v>
      </c>
      <c r="I17" s="9">
        <f t="shared" ca="1" si="7"/>
        <v>482482</v>
      </c>
      <c r="J17" s="9">
        <f t="shared" ca="1" si="7"/>
        <v>277421.38691322901</v>
      </c>
      <c r="K17" s="9">
        <f t="shared" ca="1" si="7"/>
        <v>713997.99917496438</v>
      </c>
      <c r="L17" s="17">
        <f t="shared" ca="1" si="5"/>
        <v>3982300.0972819105</v>
      </c>
      <c r="M17" s="17"/>
      <c r="N17" s="17"/>
      <c r="O17" s="9"/>
      <c r="P17" s="14"/>
      <c r="Q17" s="11">
        <f t="shared" ca="1" si="6"/>
        <v>3982300.0972819105</v>
      </c>
      <c r="R17" s="17">
        <f t="shared" ca="1" si="4"/>
        <v>3982300.0972819105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0.91121796313470993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39599.307836218402</v>
      </c>
      <c r="D2" s="9">
        <f ca="1">Q4/parameters!$B$3</f>
        <v>18829.576989713023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58428.884825931425</v>
      </c>
      <c r="M2" s="17"/>
      <c r="N2" s="17">
        <f ca="1">Q2-(L2+O2+P2)</f>
        <v>0</v>
      </c>
      <c r="O2" s="11" cm="1">
        <f t="array" aca="1" ref="O2" ca="1">INDIRECT("'data'!$F$" &amp; $A$1)</f>
        <v>18480.8</v>
      </c>
      <c r="P2" s="13">
        <f ca="1">IF(-(L2-Q2+O2)&lt;0, -(L2-Q2+O2), 0)</f>
        <v>-4019.8842144690971</v>
      </c>
      <c r="Q2" s="17" cm="1">
        <f t="array" aca="1" ref="Q2" ca="1">INDIRECT("'data'!$D$" &amp; $A$1)</f>
        <v>72889.800611462328</v>
      </c>
      <c r="R2" s="17">
        <f ca="1">SUM(L2:P2)</f>
        <v>72889.800611462328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20823.641791044778</v>
      </c>
      <c r="G3" s="14">
        <f ca="1">Q3-O3-P3-F3</f>
        <v>18165.200405805444</v>
      </c>
      <c r="H3" s="14"/>
      <c r="I3" s="14"/>
      <c r="J3" s="14"/>
      <c r="K3" s="13"/>
      <c r="L3" s="16">
        <f t="shared" ca="1" si="0"/>
        <v>38988.842196850223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372.33</v>
      </c>
      <c r="P3" s="13" cm="1">
        <f t="array" aca="1" ref="P3" ca="1">-INDIRECT("'data'!$I$" &amp; $A$1)*parameters!$B$13</f>
        <v>-11.34</v>
      </c>
      <c r="Q3" s="16" cm="1">
        <f t="array" aca="1" ref="Q3" ca="1">INDIRECT("'data'!$G$" &amp; $A$1)*parameters!$B$13</f>
        <v>39349.832196850228</v>
      </c>
      <c r="R3" s="16">
        <f t="shared" ref="R3:R10" ca="1" si="2">SUM(L3:P3)</f>
        <v>39349.832196850228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19578.510654677833</v>
      </c>
      <c r="H4" s="14"/>
      <c r="I4" s="14"/>
      <c r="J4" s="14"/>
      <c r="K4" s="13"/>
      <c r="L4" s="16">
        <f t="shared" ca="1" si="0"/>
        <v>19578.510654677833</v>
      </c>
      <c r="M4" s="16"/>
      <c r="N4" s="16">
        <f t="shared" ca="1" si="1"/>
        <v>0</v>
      </c>
      <c r="O4" s="11" cm="1">
        <f t="array" aca="1" ref="O4" ca="1">INDIRECT("'data'!$K$" &amp; $A$1)*parameters!$B$14</f>
        <v>115.92</v>
      </c>
      <c r="P4" s="13" cm="1">
        <f t="array" aca="1" ref="P4" ca="1">-INDIRECT("'data'!$L$" &amp; $A$1)*parameters!$B$14</f>
        <v>-983.48</v>
      </c>
      <c r="Q4" s="16" cm="1">
        <f t="array" aca="1" ref="Q4" ca="1">INDIRECT("'data'!$J$" &amp; $A$1)*parameters!$B$14</f>
        <v>18710.950654677832</v>
      </c>
      <c r="R4" s="16">
        <f t="shared" ca="1" si="2"/>
        <v>18710.950654677832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5205.9104477611945</v>
      </c>
      <c r="G5" s="14">
        <f ca="1">Q7/parameters!$B$7-(G3+G4)</f>
        <v>15864.439409736158</v>
      </c>
      <c r="H5" s="14"/>
      <c r="I5" s="14"/>
      <c r="J5" s="14"/>
      <c r="K5" s="13"/>
      <c r="L5" s="16">
        <f t="shared" ca="1" si="0"/>
        <v>21070.349857497353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-7992.88</v>
      </c>
      <c r="Q5" s="16">
        <f ca="1">SUM(L5:P5)</f>
        <v>13077.469857497352</v>
      </c>
      <c r="R5" s="16">
        <f t="shared" ca="1" si="2"/>
        <v>13077.469857497352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24415.72</v>
      </c>
      <c r="I6" s="14"/>
      <c r="J6" s="14"/>
      <c r="K6" s="13"/>
      <c r="L6" s="16">
        <f t="shared" ca="1" si="0"/>
        <v>24415.72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24415.72</v>
      </c>
      <c r="R6" s="16">
        <f t="shared" ca="1" si="2"/>
        <v>24415.72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51303</v>
      </c>
      <c r="I7" s="14"/>
      <c r="J7" s="14"/>
      <c r="K7" s="13"/>
      <c r="L7" s="16">
        <f t="shared" ca="1" si="0"/>
        <v>51303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51303</v>
      </c>
      <c r="R7" s="16">
        <f t="shared" ca="1" si="2"/>
        <v>51303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36233.537513523603</v>
      </c>
      <c r="J8" s="14">
        <f ca="1">Q10/J18</f>
        <v>39702.742486476389</v>
      </c>
      <c r="K8" s="13"/>
      <c r="L8" s="16">
        <f t="shared" ca="1" si="0"/>
        <v>75936.28</v>
      </c>
      <c r="M8" s="16"/>
      <c r="N8" s="16">
        <f t="shared" ca="1" si="3"/>
        <v>0</v>
      </c>
      <c r="O8" s="11" cm="1">
        <f t="array" aca="1" ref="O8" ca="1">INDIRECT("'data'!$R$" &amp; $A$1)*parameters!$B$15</f>
        <v>588.98</v>
      </c>
      <c r="P8" s="13" cm="1">
        <f t="array" aca="1" ref="P8" ca="1">-INDIRECT("'data'!$S$" &amp; $A$1)*parameters!$B$15</f>
        <v>-806.54</v>
      </c>
      <c r="Q8" s="16">
        <f ca="1">SUM(Q6:Q7)</f>
        <v>75718.720000000001</v>
      </c>
      <c r="R8" s="16">
        <f t="shared" ca="1" si="2"/>
        <v>75718.720000000001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34726.299999999996</v>
      </c>
      <c r="L9" s="16">
        <f t="shared" ca="1" si="0"/>
        <v>34726.299999999996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692.86</v>
      </c>
      <c r="P9" s="13" cm="1">
        <f t="array" aca="1" ref="P9" ca="1">-INDIRECT("'data'!$V$" &amp; $A$1)*parameters!$B$15</f>
        <v>-943.74</v>
      </c>
      <c r="Q9" s="16" cm="1">
        <f t="array" aca="1" ref="Q9" ca="1">INDIRECT("'data'!$T$" &amp; $A$1)*parameters!$B$15</f>
        <v>34475.42</v>
      </c>
      <c r="R9" s="16">
        <f t="shared" ca="1" si="2"/>
        <v>34475.42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40150.83280227596</v>
      </c>
      <c r="L10" s="16">
        <f t="shared" ca="1" si="0"/>
        <v>40150.83280227596</v>
      </c>
      <c r="M10" s="16"/>
      <c r="N10" s="16">
        <f t="shared" ca="1" si="3"/>
        <v>0</v>
      </c>
      <c r="O10" s="11" cm="1">
        <f t="array" aca="1" ref="O10" ca="1">INDIRECT("'data'!$X$" &amp; $A$1)*parameters!$B$15</f>
        <v>4356.1000000000004</v>
      </c>
      <c r="P10" s="13" cm="1">
        <f t="array" aca="1" ref="P10" ca="1">-INDIRECT("'data'!$Y$" &amp; $A$1)*parameters!$B$15</f>
        <v>-6730.64</v>
      </c>
      <c r="Q10" s="16" cm="1">
        <f t="array" aca="1" ref="Q10" ca="1">INDIRECT("'data'!$W$" &amp; $A$1)*parameters!$B$15</f>
        <v>37776.292802275959</v>
      </c>
      <c r="R10" s="16">
        <f t="shared" ca="1" si="2"/>
        <v>37776.292802275959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67088.158209957328</v>
      </c>
      <c r="N11" s="19"/>
      <c r="O11" s="21" cm="1">
        <f t="array" aca="1" ref="O11" ca="1">INDIRECT("'data'!$Z$" &amp; $A$1)*parameters!$B$15</f>
        <v>4598.16</v>
      </c>
      <c r="P11" s="27" cm="1">
        <f t="array" aca="1" ref="P11" ca="1">-INDIRECT("'data'!$AA$" &amp; $A$1)*parameters!$B$15</f>
        <v>-4513.88</v>
      </c>
      <c r="Q11" s="16">
        <f ca="1">K9*parameters!$B$10+K10*parameters!$B$11</f>
        <v>67172.438209957327</v>
      </c>
      <c r="R11" s="16">
        <f t="shared" ref="R11:R17" ca="1" si="4">SUM(L11:P11)</f>
        <v>67172.438209957327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-249.4756393681746</v>
      </c>
      <c r="D12" s="9">
        <f ca="1">-(D17-Q4)</f>
        <v>-118.626335035191</v>
      </c>
      <c r="E12" s="9">
        <f ca="1">-(E17-Q5)</f>
        <v>-1616.3164992412458</v>
      </c>
      <c r="F12" s="9">
        <f ca="1">-(F17-Q6)</f>
        <v>-1613.8322388059714</v>
      </c>
      <c r="G12" s="9">
        <f ca="1">-(G17-Q7)</f>
        <v>-2305.1504702194361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-5903.4011826700189</v>
      </c>
      <c r="M12" s="17"/>
      <c r="N12" s="17"/>
      <c r="O12" s="10"/>
      <c r="P12" s="12"/>
      <c r="Q12" s="9">
        <f t="shared" ref="Q12:Q17" ca="1" si="6">SUM(L12:P12)</f>
        <v>-5903.4011826700189</v>
      </c>
      <c r="R12" s="17">
        <f t="shared" ca="1" si="4"/>
        <v>-5903.4011826700189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-1758.1175135236044</v>
      </c>
      <c r="J13" s="14">
        <f ca="1">-(J17-Q10)</f>
        <v>-1926.4496842004301</v>
      </c>
      <c r="K13" s="13">
        <f ca="1">-(K17-Q11)</f>
        <v>-7704.6945923186286</v>
      </c>
      <c r="L13" s="14">
        <f t="shared" ca="1" si="5"/>
        <v>-11389.261790042663</v>
      </c>
      <c r="M13" s="16">
        <f ca="1">-E15</f>
        <v>-3304.5245666959345</v>
      </c>
      <c r="N13" s="16"/>
      <c r="O13" s="11"/>
      <c r="P13" s="13"/>
      <c r="Q13" s="14">
        <f t="shared" ca="1" si="6"/>
        <v>-14693.786356738598</v>
      </c>
      <c r="R13" s="16">
        <f t="shared" ca="1" si="4"/>
        <v>-14693.786356738598</v>
      </c>
    </row>
    <row r="14" spans="1:20">
      <c r="A14" s="18" t="s">
        <v>78</v>
      </c>
      <c r="B14" s="11"/>
      <c r="C14" s="14"/>
      <c r="D14" s="14"/>
      <c r="E14" s="14">
        <f ca="1">-(I13+J13)-K13</f>
        <v>11389.261790042663</v>
      </c>
      <c r="F14" s="14"/>
      <c r="G14" s="14"/>
      <c r="H14" s="14"/>
      <c r="I14" s="14"/>
      <c r="J14" s="14"/>
      <c r="K14" s="13"/>
      <c r="L14" s="14">
        <f t="shared" ca="1" si="5"/>
        <v>11389.261790042663</v>
      </c>
      <c r="M14" s="16"/>
      <c r="N14" s="16"/>
      <c r="O14" s="11"/>
      <c r="P14" s="13"/>
      <c r="Q14" s="14">
        <f t="shared" ca="1" si="6"/>
        <v>11389.261790042663</v>
      </c>
      <c r="R14" s="16">
        <f t="shared" ca="1" si="4"/>
        <v>11389.261790042663</v>
      </c>
    </row>
    <row r="15" spans="1:20">
      <c r="A15" s="18" t="s">
        <v>79</v>
      </c>
      <c r="B15" s="11"/>
      <c r="C15" s="14"/>
      <c r="D15" s="14"/>
      <c r="E15" s="14">
        <f ca="1">E17-E14</f>
        <v>3304.5245666959345</v>
      </c>
      <c r="F15" s="14"/>
      <c r="G15" s="14"/>
      <c r="H15" s="14"/>
      <c r="I15" s="14"/>
      <c r="J15" s="14"/>
      <c r="K15" s="13"/>
      <c r="L15" s="14">
        <f t="shared" ca="1" si="5"/>
        <v>3304.5245666959345</v>
      </c>
      <c r="M15" s="16"/>
      <c r="N15" s="16"/>
      <c r="O15" s="11"/>
      <c r="P15" s="13"/>
      <c r="Q15" s="14">
        <f t="shared" ca="1" si="6"/>
        <v>3304.5245666959345</v>
      </c>
      <c r="R15" s="16">
        <f t="shared" ca="1" si="4"/>
        <v>3304.5245666959345</v>
      </c>
    </row>
    <row r="16" spans="1:20">
      <c r="A16" s="30" t="s">
        <v>89</v>
      </c>
      <c r="B16" s="21">
        <f ca="1">Q2</f>
        <v>72889.800611462328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72889.800611462328</v>
      </c>
      <c r="M16" s="19"/>
      <c r="N16" s="19"/>
      <c r="O16" s="21"/>
      <c r="P16" s="27"/>
      <c r="Q16" s="22">
        <f t="shared" ca="1" si="6"/>
        <v>72889.800611462328</v>
      </c>
      <c r="R16" s="19">
        <f t="shared" ca="1" si="4"/>
        <v>72889.800611462328</v>
      </c>
    </row>
    <row r="17" spans="1:18">
      <c r="A17" s="29" t="s">
        <v>88</v>
      </c>
      <c r="B17" s="9">
        <f ca="1">B16</f>
        <v>72889.800611462328</v>
      </c>
      <c r="C17" s="9">
        <f ca="1">SUM(C$2:C$11)</f>
        <v>39599.307836218402</v>
      </c>
      <c r="D17" s="9">
        <f ca="1">SUM(D$2:D$11)</f>
        <v>18829.576989713023</v>
      </c>
      <c r="E17" s="9">
        <f ca="1">$Q$5/parameters!$B$4</f>
        <v>14693.786356738598</v>
      </c>
      <c r="F17" s="9">
        <f t="shared" ref="F17:K17" ca="1" si="7">SUM(F$2:F$11)</f>
        <v>26029.552238805973</v>
      </c>
      <c r="G17" s="9">
        <f t="shared" ca="1" si="7"/>
        <v>53608.150470219436</v>
      </c>
      <c r="H17" s="9">
        <f t="shared" ca="1" si="7"/>
        <v>75718.720000000001</v>
      </c>
      <c r="I17" s="9">
        <f t="shared" ca="1" si="7"/>
        <v>36233.537513523603</v>
      </c>
      <c r="J17" s="9">
        <f t="shared" ca="1" si="7"/>
        <v>39702.742486476389</v>
      </c>
      <c r="K17" s="9">
        <f t="shared" ca="1" si="7"/>
        <v>74877.132802275955</v>
      </c>
      <c r="L17" s="17">
        <f t="shared" ca="1" si="5"/>
        <v>452182.30730543367</v>
      </c>
      <c r="M17" s="17"/>
      <c r="N17" s="17"/>
      <c r="O17" s="9"/>
      <c r="P17" s="14"/>
      <c r="Q17" s="11">
        <f t="shared" ca="1" si="6"/>
        <v>452182.30730543367</v>
      </c>
      <c r="R17" s="17">
        <f t="shared" ca="1" si="4"/>
        <v>452182.30730543367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0.95147817093852849</v>
      </c>
      <c r="J18" s="39">
        <f ca="1">I18</f>
        <v>0.95147817093852849</v>
      </c>
      <c r="K18" s="40">
        <f ca="1">1-(-K13)/K17</f>
        <v>0.89710216852635094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77415.44228640433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77415.44228640433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-77415.44228640433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76533.225373134337</v>
      </c>
      <c r="G3" s="14">
        <f ca="1">Q3-O3-P3-F3</f>
        <v>121.39462686565821</v>
      </c>
      <c r="H3" s="14"/>
      <c r="I3" s="14"/>
      <c r="J3" s="14"/>
      <c r="K3" s="13"/>
      <c r="L3" s="16">
        <f t="shared" ca="1" si="0"/>
        <v>76654.62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379.89</v>
      </c>
      <c r="P3" s="13" cm="1">
        <f t="array" aca="1" ref="P3" ca="1">-INDIRECT("'data'!$I$" &amp; $A$1)*parameters!$B$13</f>
        <v>-106.785</v>
      </c>
      <c r="Q3" s="16" cm="1">
        <f t="array" aca="1" ref="Q3" ca="1">INDIRECT("'data'!$G$" &amp; $A$1)*parameters!$B$13</f>
        <v>76927.724999999991</v>
      </c>
      <c r="R3" s="16">
        <f t="shared" ref="R3:R10" ca="1" si="2">SUM(L3:P3)</f>
        <v>76927.724999999991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76.36</v>
      </c>
      <c r="H4" s="14"/>
      <c r="I4" s="14"/>
      <c r="J4" s="14"/>
      <c r="K4" s="13"/>
      <c r="L4" s="16">
        <f t="shared" ca="1" si="0"/>
        <v>76.36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-77.28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Q6/parameters!$B$5*11%</f>
        <v>9459.1626865671642</v>
      </c>
      <c r="G5" s="14">
        <f ca="1">Q7/parameters!$B$7-(G3+G4)</f>
        <v>25326.278810960885</v>
      </c>
      <c r="H5" s="14"/>
      <c r="I5" s="14"/>
      <c r="J5" s="14"/>
      <c r="K5" s="13"/>
      <c r="L5" s="16">
        <f t="shared" ca="1" si="0"/>
        <v>34785.441497528052</v>
      </c>
      <c r="M5" s="16"/>
      <c r="N5" s="16"/>
      <c r="O5" s="11" cm="1">
        <f t="array" aca="1" ref="O5" ca="1">INDIRECT("'data'!$M$" &amp; $A$1)*parameters!$B$15</f>
        <v>8422.119999999999</v>
      </c>
      <c r="P5" s="13" cm="1">
        <f t="array" aca="1" ref="P5" ca="1">-INDIRECT("'data'!$N$" &amp; $A$1)*parameters!$B$15</f>
        <v>-220.5</v>
      </c>
      <c r="Q5" s="16">
        <f ca="1">SUM(L5:P5)</f>
        <v>42987.061497528048</v>
      </c>
      <c r="R5" s="16">
        <f t="shared" ca="1" si="2"/>
        <v>42987.061497528048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80660.86</v>
      </c>
      <c r="I6" s="14"/>
      <c r="J6" s="14"/>
      <c r="K6" s="13"/>
      <c r="L6" s="16">
        <f t="shared" ca="1" si="0"/>
        <v>80660.86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80660.86</v>
      </c>
      <c r="R6" s="16">
        <f t="shared" ca="1" si="2"/>
        <v>80660.86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24426.5</v>
      </c>
      <c r="I7" s="14"/>
      <c r="J7" s="14"/>
      <c r="K7" s="13"/>
      <c r="L7" s="16">
        <f t="shared" ca="1" si="0"/>
        <v>24426.5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24426.5</v>
      </c>
      <c r="R7" s="16">
        <f t="shared" ca="1" si="2"/>
        <v>24426.5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33430.591065418361</v>
      </c>
      <c r="J8" s="14">
        <f ca="1">Q10/J18</f>
        <v>66529.408934581646</v>
      </c>
      <c r="K8" s="13"/>
      <c r="L8" s="16">
        <f t="shared" ca="1" si="0"/>
        <v>99960</v>
      </c>
      <c r="M8" s="16"/>
      <c r="N8" s="16">
        <f t="shared" ca="1" si="3"/>
        <v>0</v>
      </c>
      <c r="O8" s="11" cm="1">
        <f t="array" aca="1" ref="O8" ca="1">INDIRECT("'data'!$R$" &amp; $A$1)*parameters!$B$15</f>
        <v>5408.62</v>
      </c>
      <c r="P8" s="13" cm="1">
        <f t="array" aca="1" ref="P8" ca="1">-INDIRECT("'data'!$S$" &amp; $A$1)*parameters!$B$15</f>
        <v>-281.26</v>
      </c>
      <c r="Q8" s="16">
        <f ca="1">SUM(Q6:Q7)</f>
        <v>105087.36</v>
      </c>
      <c r="R8" s="16">
        <f t="shared" ca="1" si="2"/>
        <v>105087.36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26789.279999999999</v>
      </c>
      <c r="L9" s="16">
        <f t="shared" ca="1" si="0"/>
        <v>26789.279999999999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4674.6000000000004</v>
      </c>
      <c r="P9" s="13" cm="1">
        <f t="array" aca="1" ref="P9" ca="1">-INDIRECT("'data'!$V$" &amp; $A$1)*parameters!$B$15</f>
        <v>-959.42</v>
      </c>
      <c r="Q9" s="16" cm="1">
        <f t="array" aca="1" ref="Q9" ca="1">INDIRECT("'data'!$T$" &amp; $A$1)*parameters!$B$15</f>
        <v>30504.46</v>
      </c>
      <c r="R9" s="16">
        <f t="shared" ca="1" si="2"/>
        <v>30504.46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37150.906429587478</v>
      </c>
      <c r="L10" s="16">
        <f t="shared" ca="1" si="0"/>
        <v>37150.906429587478</v>
      </c>
      <c r="M10" s="16"/>
      <c r="N10" s="16">
        <f t="shared" ca="1" si="3"/>
        <v>0</v>
      </c>
      <c r="O10" s="11" cm="1">
        <f t="array" aca="1" ref="O10" ca="1">INDIRECT("'data'!$X$" &amp; $A$1)*parameters!$B$15</f>
        <v>27573.279999999999</v>
      </c>
      <c r="P10" s="13" cm="1">
        <f t="array" aca="1" ref="P10" ca="1">-INDIRECT("'data'!$Y$" &amp; $A$1)*parameters!$B$15</f>
        <v>-4018</v>
      </c>
      <c r="Q10" s="16" cm="1">
        <f t="array" aca="1" ref="Q10" ca="1">INDIRECT("'data'!$W$" &amp; $A$1)*parameters!$B$15</f>
        <v>60706.186429587477</v>
      </c>
      <c r="R10" s="16">
        <f t="shared" ca="1" si="2"/>
        <v>60706.186429587477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37612.062729445228</v>
      </c>
      <c r="N11" s="19"/>
      <c r="O11" s="21" cm="1">
        <f t="array" aca="1" ref="O11" ca="1">INDIRECT("'data'!$Z$" &amp; $A$1)*parameters!$B$15</f>
        <v>26432.560000000001</v>
      </c>
      <c r="P11" s="27" cm="1">
        <f t="array" aca="1" ref="P11" ca="1">-INDIRECT("'data'!$AA$" &amp; $A$1)*parameters!$B$15</f>
        <v>-6912.92</v>
      </c>
      <c r="Q11" s="16">
        <f ca="1">K9*parameters!$B$10+K10*parameters!$B$11</f>
        <v>57131.702729445227</v>
      </c>
      <c r="R11" s="16">
        <f t="shared" ref="R11:R17" ca="1" si="4">SUM(L11:P11)</f>
        <v>57131.702729445227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-487.71728640433867</v>
      </c>
      <c r="D12" s="9">
        <f ca="1">-(D17-Q4)</f>
        <v>0</v>
      </c>
      <c r="E12" s="9">
        <f ca="1">-(E17-Q5)</f>
        <v>-5313.0076008180695</v>
      </c>
      <c r="F12" s="9">
        <f ca="1">-(F17-Q6)</f>
        <v>-5331.528059701508</v>
      </c>
      <c r="G12" s="9">
        <f ca="1">-(G17-Q7)</f>
        <v>-1097.5334378265434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-12229.78638475046</v>
      </c>
      <c r="M12" s="17"/>
      <c r="N12" s="17"/>
      <c r="O12" s="10"/>
      <c r="P12" s="12"/>
      <c r="Q12" s="9">
        <f t="shared" ref="Q12:Q17" ca="1" si="6">SUM(L12:P12)</f>
        <v>-12229.78638475046</v>
      </c>
      <c r="R12" s="17">
        <f t="shared" ca="1" si="4"/>
        <v>-12229.78638475046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-2926.1310654183617</v>
      </c>
      <c r="J13" s="14">
        <f ca="1">-(J17-Q10)</f>
        <v>-5823.2225049941699</v>
      </c>
      <c r="K13" s="13">
        <f ca="1">-(K17-Q11)</f>
        <v>-6808.4837001422493</v>
      </c>
      <c r="L13" s="14">
        <f t="shared" ca="1" si="5"/>
        <v>-15557.837270554781</v>
      </c>
      <c r="M13" s="16">
        <f ca="1">-E15</f>
        <v>-32742.231827791336</v>
      </c>
      <c r="N13" s="16"/>
      <c r="O13" s="11"/>
      <c r="P13" s="13"/>
      <c r="Q13" s="14">
        <f t="shared" ca="1" si="6"/>
        <v>-48300.069098346117</v>
      </c>
      <c r="R13" s="16">
        <f t="shared" ca="1" si="4"/>
        <v>-48300.069098346117</v>
      </c>
    </row>
    <row r="14" spans="1:20">
      <c r="A14" s="18" t="s">
        <v>78</v>
      </c>
      <c r="B14" s="11"/>
      <c r="C14" s="14"/>
      <c r="D14" s="14"/>
      <c r="E14" s="14">
        <f ca="1">-(I13+J13)-K13</f>
        <v>15557.837270554781</v>
      </c>
      <c r="F14" s="14"/>
      <c r="G14" s="14"/>
      <c r="H14" s="14"/>
      <c r="I14" s="14"/>
      <c r="J14" s="14"/>
      <c r="K14" s="13"/>
      <c r="L14" s="14">
        <f t="shared" ca="1" si="5"/>
        <v>15557.837270554781</v>
      </c>
      <c r="M14" s="16"/>
      <c r="N14" s="16"/>
      <c r="O14" s="11"/>
      <c r="P14" s="13"/>
      <c r="Q14" s="14">
        <f t="shared" ca="1" si="6"/>
        <v>15557.837270554781</v>
      </c>
      <c r="R14" s="16">
        <f t="shared" ca="1" si="4"/>
        <v>15557.837270554781</v>
      </c>
    </row>
    <row r="15" spans="1:20">
      <c r="A15" s="18" t="s">
        <v>79</v>
      </c>
      <c r="B15" s="11"/>
      <c r="C15" s="14"/>
      <c r="D15" s="14"/>
      <c r="E15" s="14">
        <f ca="1">E17-E14</f>
        <v>32742.231827791336</v>
      </c>
      <c r="F15" s="14"/>
      <c r="G15" s="14"/>
      <c r="H15" s="14"/>
      <c r="I15" s="14"/>
      <c r="J15" s="14"/>
      <c r="K15" s="13"/>
      <c r="L15" s="14">
        <f t="shared" ca="1" si="5"/>
        <v>32742.231827791336</v>
      </c>
      <c r="M15" s="16"/>
      <c r="N15" s="16"/>
      <c r="O15" s="11"/>
      <c r="P15" s="13"/>
      <c r="Q15" s="14">
        <f t="shared" ca="1" si="6"/>
        <v>32742.231827791336</v>
      </c>
      <c r="R15" s="16">
        <f t="shared" ca="1" si="4"/>
        <v>32742.231827791336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77415.44228640433</v>
      </c>
      <c r="D17" s="9">
        <f ca="1">SUM(D$2:D$11)</f>
        <v>0</v>
      </c>
      <c r="E17" s="9">
        <f ca="1">$Q$5/parameters!$B$4</f>
        <v>48300.069098346117</v>
      </c>
      <c r="F17" s="9">
        <f t="shared" ref="F17:K17" ca="1" si="7">SUM(F$2:F$11)</f>
        <v>85992.388059701509</v>
      </c>
      <c r="G17" s="9">
        <f t="shared" ca="1" si="7"/>
        <v>25524.033437826543</v>
      </c>
      <c r="H17" s="9">
        <f t="shared" ca="1" si="7"/>
        <v>105087.36</v>
      </c>
      <c r="I17" s="9">
        <f t="shared" ca="1" si="7"/>
        <v>33430.591065418361</v>
      </c>
      <c r="J17" s="9">
        <f t="shared" ca="1" si="7"/>
        <v>66529.408934581646</v>
      </c>
      <c r="K17" s="9">
        <f t="shared" ca="1" si="7"/>
        <v>63940.186429587477</v>
      </c>
      <c r="L17" s="17">
        <f t="shared" ca="1" si="5"/>
        <v>506219.47931186605</v>
      </c>
      <c r="M17" s="17"/>
      <c r="N17" s="17"/>
      <c r="O17" s="9"/>
      <c r="P17" s="14"/>
      <c r="Q17" s="11">
        <f t="shared" ca="1" si="6"/>
        <v>506219.47931186605</v>
      </c>
      <c r="R17" s="17">
        <f t="shared" ca="1" si="4"/>
        <v>506219.47931186605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0.91247145287702558</v>
      </c>
      <c r="J18" s="39">
        <f ca="1">I18</f>
        <v>0.91247145287702558</v>
      </c>
      <c r="K18" s="40">
        <f ca="1">1-(-K13)/K17</f>
        <v>0.89351792541862662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30490.681292140485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30490.681292140485</v>
      </c>
      <c r="M2" s="17"/>
      <c r="N2" s="17">
        <f ca="1">Q2-(L2+O2+P2)</f>
        <v>0</v>
      </c>
      <c r="O2" s="11" cm="1">
        <f t="array" aca="1" ref="O2" ca="1">INDIRECT("'data'!$F$" &amp; $A$1)</f>
        <v>7266.35</v>
      </c>
      <c r="P2" s="13">
        <f ca="1">IF(-(L2-Q2+O2)&lt;0, -(L2-Q2+O2), 0)</f>
        <v>-4357.0312921404857</v>
      </c>
      <c r="Q2" s="17" cm="1">
        <f t="array" aca="1" ref="Q2" ca="1">INDIRECT("'data'!$D$" &amp; $A$1)</f>
        <v>33400</v>
      </c>
      <c r="R2" s="17">
        <f ca="1">SUM(L2:P2)</f>
        <v>33400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31082.528358208958</v>
      </c>
      <c r="G3" s="14">
        <f ca="1">Q3-O3-P3-F3</f>
        <v>3135.9216417910393</v>
      </c>
      <c r="H3" s="14"/>
      <c r="I3" s="14"/>
      <c r="J3" s="14"/>
      <c r="K3" s="13"/>
      <c r="L3" s="16">
        <f t="shared" ca="1" si="0"/>
        <v>34218.449999999997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115.28999999999999</v>
      </c>
      <c r="P3" s="13" cm="1">
        <f t="array" aca="1" ref="P3" ca="1">-INDIRECT("'data'!$I$" &amp; $A$1)*parameters!$B$13</f>
        <v>-4035.1499999999996</v>
      </c>
      <c r="Q3" s="16" cm="1">
        <f t="array" aca="1" ref="Q3" ca="1">INDIRECT("'data'!$G$" &amp; $A$1)*parameters!$B$13</f>
        <v>30298.59</v>
      </c>
      <c r="R3" s="16">
        <f t="shared" ref="R3:R10" ca="1" si="2">SUM(L3:P3)</f>
        <v>30298.589999999997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2533.6799999999998</v>
      </c>
      <c r="H4" s="14"/>
      <c r="I4" s="14"/>
      <c r="J4" s="14"/>
      <c r="K4" s="13"/>
      <c r="L4" s="16">
        <f t="shared" ca="1" si="0"/>
        <v>2533.6799999999998</v>
      </c>
      <c r="M4" s="16"/>
      <c r="N4" s="16">
        <f t="shared" ca="1" si="1"/>
        <v>0</v>
      </c>
      <c r="O4" s="11" cm="1">
        <f t="array" aca="1" ref="O4" ca="1">INDIRECT("'data'!$K$" &amp; $A$1)*parameters!$B$14</f>
        <v>7.36</v>
      </c>
      <c r="P4" s="13" cm="1">
        <f t="array" aca="1" ref="P4" ca="1">-INDIRECT("'data'!$L$" &amp; $A$1)*parameters!$B$14</f>
        <v>-2541.04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Q6/parameters!$B$5*18%</f>
        <v>6822.9940298507463</v>
      </c>
      <c r="G5" s="14">
        <f ca="1">Q7/parameters!$B$7-(G3+G4)</f>
        <v>48004.086968449294</v>
      </c>
      <c r="H5" s="14"/>
      <c r="I5" s="14"/>
      <c r="J5" s="14"/>
      <c r="K5" s="13"/>
      <c r="L5" s="16">
        <f t="shared" ca="1" si="0"/>
        <v>54827.080998300036</v>
      </c>
      <c r="M5" s="16"/>
      <c r="N5" s="16"/>
      <c r="O5" s="11" cm="1">
        <f t="array" aca="1" ref="O5" ca="1">INDIRECT("'data'!$M$" &amp; $A$1)*parameters!$B$15</f>
        <v>20969.060000000001</v>
      </c>
      <c r="P5" s="13" cm="1">
        <f t="array" aca="1" ref="P5" ca="1">-INDIRECT("'data'!$N$" &amp; $A$1)*parameters!$B$15</f>
        <v>-3636.7799999999997</v>
      </c>
      <c r="Q5" s="16">
        <f ca="1">SUM(L5:P5)</f>
        <v>72159.360998300035</v>
      </c>
      <c r="R5" s="16">
        <f t="shared" ca="1" si="2"/>
        <v>72159.360998300035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35555.379999999997</v>
      </c>
      <c r="I6" s="14"/>
      <c r="J6" s="14"/>
      <c r="K6" s="13"/>
      <c r="L6" s="16">
        <f t="shared" ca="1" si="0"/>
        <v>35555.379999999997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35555.379999999997</v>
      </c>
      <c r="R6" s="16">
        <f t="shared" ca="1" si="2"/>
        <v>35555.379999999997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51365.72</v>
      </c>
      <c r="I7" s="14"/>
      <c r="J7" s="14"/>
      <c r="K7" s="13"/>
      <c r="L7" s="16">
        <f t="shared" ca="1" si="0"/>
        <v>51365.72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51365.72</v>
      </c>
      <c r="R7" s="16">
        <f t="shared" ca="1" si="2"/>
        <v>51365.72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27363.98100537635</v>
      </c>
      <c r="J8" s="14">
        <f ca="1">Q10/J18</f>
        <v>65541.978994623656</v>
      </c>
      <c r="K8" s="13"/>
      <c r="L8" s="16">
        <f t="shared" ca="1" si="0"/>
        <v>92905.96</v>
      </c>
      <c r="M8" s="16"/>
      <c r="N8" s="16">
        <f t="shared" ca="1" si="3"/>
        <v>0</v>
      </c>
      <c r="O8" s="11" cm="1">
        <f t="array" aca="1" ref="O8" ca="1">INDIRECT("'data'!$R$" &amp; $A$1)*parameters!$B$15</f>
        <v>791.84</v>
      </c>
      <c r="P8" s="13" cm="1">
        <f t="array" aca="1" ref="P8" ca="1">-INDIRECT("'data'!$S$" &amp; $A$1)*parameters!$B$15</f>
        <v>-6776.7</v>
      </c>
      <c r="Q8" s="16">
        <f ca="1">SUM(Q6:Q7)</f>
        <v>86921.1</v>
      </c>
      <c r="R8" s="16">
        <f t="shared" ca="1" si="2"/>
        <v>86921.1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26281.64</v>
      </c>
      <c r="L9" s="16">
        <f t="shared" ca="1" si="0"/>
        <v>26281.64</v>
      </c>
      <c r="M9" s="16"/>
      <c r="N9" s="16">
        <f t="shared" ca="1" si="3"/>
        <v>0</v>
      </c>
      <c r="O9" s="11" cm="1">
        <f t="array" aca="1" ref="O9" ca="1">INDIRECT("'data'!$U$" &amp; $A$1)*parameters!$B$15</f>
        <v>3556.42</v>
      </c>
      <c r="P9" s="13" cm="1">
        <f t="array" aca="1" ref="P9" ca="1">-INDIRECT("'data'!$V$" &amp; $A$1)*parameters!$B$15</f>
        <v>-4879.42</v>
      </c>
      <c r="Q9" s="16" cm="1">
        <f t="array" aca="1" ref="Q9" ca="1">INDIRECT("'data'!$T$" &amp; $A$1)*parameters!$B$15</f>
        <v>24958.639999999999</v>
      </c>
      <c r="R9" s="16">
        <f t="shared" ca="1" si="2"/>
        <v>24958.639999999999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63156.826287339965</v>
      </c>
      <c r="L10" s="16">
        <f t="shared" ca="1" si="0"/>
        <v>63156.826287339965</v>
      </c>
      <c r="M10" s="16"/>
      <c r="N10" s="16">
        <f t="shared" ca="1" si="3"/>
        <v>0</v>
      </c>
      <c r="O10" s="11" cm="1">
        <f t="array" aca="1" ref="O10" ca="1">INDIRECT("'data'!$X$" &amp; $A$1)*parameters!$B$15</f>
        <v>6599.32</v>
      </c>
      <c r="P10" s="13" cm="1">
        <f t="array" aca="1" ref="P10" ca="1">-INDIRECT("'data'!$Y$" &amp; $A$1)*parameters!$B$15</f>
        <v>-9975.42</v>
      </c>
      <c r="Q10" s="16" cm="1">
        <f t="array" aca="1" ref="Q10" ca="1">INDIRECT("'data'!$W$" &amp; $A$1)*parameters!$B$15</f>
        <v>59780.726287339967</v>
      </c>
      <c r="R10" s="16">
        <f t="shared" ca="1" si="2"/>
        <v>59780.726287339974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94977.932207112375</v>
      </c>
      <c r="N11" s="19"/>
      <c r="O11" s="21" cm="1">
        <f t="array" aca="1" ref="O11" ca="1">INDIRECT("'data'!$Z$" &amp; $A$1)*parameters!$B$15</f>
        <v>21572.739999999998</v>
      </c>
      <c r="P11" s="27" cm="1">
        <f t="array" aca="1" ref="P11" ca="1">-INDIRECT("'data'!$AA$" &amp; $A$1)*parameters!$B$15</f>
        <v>-37531.06</v>
      </c>
      <c r="Q11" s="16">
        <f ca="1">K9*parameters!$B$10+K10*parameters!$B$11</f>
        <v>79019.612207112368</v>
      </c>
      <c r="R11" s="16">
        <f t="shared" ref="R11:R17" ca="1" si="4">SUM(L11:P11)</f>
        <v>79019.612207112368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-192.09129214048517</v>
      </c>
      <c r="D12" s="9">
        <f ca="1">-(D17-Q4)</f>
        <v>0</v>
      </c>
      <c r="E12" s="9">
        <f ca="1">-(E17-Q5)</f>
        <v>-8918.5727076550538</v>
      </c>
      <c r="F12" s="9">
        <f ca="1">-(F17-Q6)</f>
        <v>-2350.1423880597067</v>
      </c>
      <c r="G12" s="9">
        <f ca="1">-(G17-Q7)</f>
        <v>-2307.9686102403357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-13768.774998095581</v>
      </c>
      <c r="M12" s="17"/>
      <c r="N12" s="17"/>
      <c r="O12" s="10"/>
      <c r="P12" s="12"/>
      <c r="Q12" s="9">
        <f t="shared" ref="Q12:Q17" ca="1" si="6">SUM(L12:P12)</f>
        <v>-13768.774998095581</v>
      </c>
      <c r="R12" s="17">
        <f t="shared" ca="1" si="4"/>
        <v>-13768.774998095581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-2405.3410053763509</v>
      </c>
      <c r="J13" s="14">
        <f ca="1">-(J17-Q10)</f>
        <v>-5761.2527072836892</v>
      </c>
      <c r="K13" s="13">
        <f ca="1">-(K17-Q11)</f>
        <v>-10418.854080227597</v>
      </c>
      <c r="L13" s="14">
        <f t="shared" ca="1" si="5"/>
        <v>-18585.447792887637</v>
      </c>
      <c r="M13" s="16">
        <f ca="1">-E15</f>
        <v>-62492.485913067452</v>
      </c>
      <c r="N13" s="16"/>
      <c r="O13" s="11"/>
      <c r="P13" s="13"/>
      <c r="Q13" s="14">
        <f t="shared" ca="1" si="6"/>
        <v>-81077.933705955089</v>
      </c>
      <c r="R13" s="16">
        <f t="shared" ca="1" si="4"/>
        <v>-81077.933705955089</v>
      </c>
    </row>
    <row r="14" spans="1:20">
      <c r="A14" s="18" t="s">
        <v>78</v>
      </c>
      <c r="B14" s="11"/>
      <c r="C14" s="14"/>
      <c r="D14" s="14"/>
      <c r="E14" s="14">
        <f ca="1">-(I13+J13)-K13</f>
        <v>18585.447792887637</v>
      </c>
      <c r="F14" s="14"/>
      <c r="G14" s="14"/>
      <c r="H14" s="14"/>
      <c r="I14" s="14"/>
      <c r="J14" s="14"/>
      <c r="K14" s="13"/>
      <c r="L14" s="14">
        <f t="shared" ca="1" si="5"/>
        <v>18585.447792887637</v>
      </c>
      <c r="M14" s="16"/>
      <c r="N14" s="16"/>
      <c r="O14" s="11"/>
      <c r="P14" s="13"/>
      <c r="Q14" s="14">
        <f t="shared" ca="1" si="6"/>
        <v>18585.447792887637</v>
      </c>
      <c r="R14" s="16">
        <f t="shared" ca="1" si="4"/>
        <v>18585.447792887637</v>
      </c>
    </row>
    <row r="15" spans="1:20">
      <c r="A15" s="18" t="s">
        <v>79</v>
      </c>
      <c r="B15" s="11"/>
      <c r="C15" s="14"/>
      <c r="D15" s="14"/>
      <c r="E15" s="14">
        <f ca="1">E17-E14</f>
        <v>62492.485913067452</v>
      </c>
      <c r="F15" s="14"/>
      <c r="G15" s="14"/>
      <c r="H15" s="14"/>
      <c r="I15" s="14"/>
      <c r="J15" s="14"/>
      <c r="K15" s="13"/>
      <c r="L15" s="14">
        <f t="shared" ca="1" si="5"/>
        <v>62492.485913067452</v>
      </c>
      <c r="M15" s="16"/>
      <c r="N15" s="16"/>
      <c r="O15" s="11"/>
      <c r="P15" s="13"/>
      <c r="Q15" s="14">
        <f t="shared" ca="1" si="6"/>
        <v>62492.485913067452</v>
      </c>
      <c r="R15" s="16">
        <f t="shared" ca="1" si="4"/>
        <v>62492.485913067452</v>
      </c>
    </row>
    <row r="16" spans="1:20">
      <c r="A16" s="30" t="s">
        <v>89</v>
      </c>
      <c r="B16" s="21">
        <f ca="1">Q2</f>
        <v>33400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33400</v>
      </c>
      <c r="M16" s="19"/>
      <c r="N16" s="19"/>
      <c r="O16" s="21"/>
      <c r="P16" s="27"/>
      <c r="Q16" s="22">
        <f t="shared" ca="1" si="6"/>
        <v>33400</v>
      </c>
      <c r="R16" s="19">
        <f t="shared" ca="1" si="4"/>
        <v>33400</v>
      </c>
    </row>
    <row r="17" spans="1:18">
      <c r="A17" s="29" t="s">
        <v>88</v>
      </c>
      <c r="B17" s="9">
        <f ca="1">B16</f>
        <v>33400</v>
      </c>
      <c r="C17" s="9">
        <f ca="1">SUM(C$2:C$11)</f>
        <v>30490.681292140485</v>
      </c>
      <c r="D17" s="9">
        <f ca="1">SUM(D$2:D$11)</f>
        <v>0</v>
      </c>
      <c r="E17" s="9">
        <f ca="1">$Q$5/parameters!$B$4</f>
        <v>81077.933705955089</v>
      </c>
      <c r="F17" s="9">
        <f t="shared" ref="F17:K17" ca="1" si="7">SUM(F$2:F$11)</f>
        <v>37905.522388059704</v>
      </c>
      <c r="G17" s="9">
        <f t="shared" ca="1" si="7"/>
        <v>53673.688610240337</v>
      </c>
      <c r="H17" s="9">
        <f t="shared" ca="1" si="7"/>
        <v>86921.1</v>
      </c>
      <c r="I17" s="9">
        <f t="shared" ca="1" si="7"/>
        <v>27363.98100537635</v>
      </c>
      <c r="J17" s="9">
        <f t="shared" ca="1" si="7"/>
        <v>65541.978994623656</v>
      </c>
      <c r="K17" s="9">
        <f t="shared" ca="1" si="7"/>
        <v>89438.466287339965</v>
      </c>
      <c r="L17" s="17">
        <f t="shared" ca="1" si="5"/>
        <v>505813.35228373558</v>
      </c>
      <c r="M17" s="17"/>
      <c r="N17" s="17"/>
      <c r="O17" s="9"/>
      <c r="P17" s="14"/>
      <c r="Q17" s="11">
        <f t="shared" ca="1" si="6"/>
        <v>505813.35228373558</v>
      </c>
      <c r="R17" s="17">
        <f t="shared" ca="1" si="4"/>
        <v>505813.35228373558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0.9120982796726923</v>
      </c>
      <c r="J18" s="39">
        <f ca="1">I18</f>
        <v>0.9120982796726923</v>
      </c>
      <c r="K18" s="40">
        <f ca="1">1-(-K13)/K17</f>
        <v>0.88350813120212923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48052.636610647074</v>
      </c>
      <c r="D2" s="9">
        <f ca="1">Q4/parameters!$B$3</f>
        <v>4744.8928247962158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52797.529435443292</v>
      </c>
      <c r="M2" s="17"/>
      <c r="N2" s="17">
        <f ca="1">Q2-(L2+O2+P2)</f>
        <v>0</v>
      </c>
      <c r="O2" s="11" cm="1">
        <f t="array" aca="1" ref="O2" ca="1">INDIRECT("'data'!$F$" &amp; $A$1)</f>
        <v>16551.600000000002</v>
      </c>
      <c r="P2" s="13">
        <f ca="1">IF(-(L2-Q2+O2)&lt;0, -(L2-Q2+O2), 0)</f>
        <v>-6449.1294354432939</v>
      </c>
      <c r="Q2" s="17" cm="1">
        <f t="array" aca="1" ref="Q2" ca="1">INDIRECT("'data'!$D$" &amp; $A$1)</f>
        <v>62900</v>
      </c>
      <c r="R2" s="17">
        <f ca="1">SUM(L2:P2)</f>
        <v>62900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41297.910447761198</v>
      </c>
      <c r="G3" s="14">
        <f ca="1">Q3-O3-P3-F3</f>
        <v>2675.7745522387995</v>
      </c>
      <c r="H3" s="14"/>
      <c r="I3" s="14"/>
      <c r="J3" s="14"/>
      <c r="K3" s="13"/>
      <c r="L3" s="16">
        <f t="shared" ca="1" si="0"/>
        <v>43973.684999999998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3776.22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47749.904999999999</v>
      </c>
      <c r="R3" s="16">
        <f t="shared" ref="R3:R10" ca="1" si="2">SUM(L3:P3)</f>
        <v>47749.904999999999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2753.56</v>
      </c>
      <c r="H4" s="14"/>
      <c r="I4" s="14"/>
      <c r="J4" s="14"/>
      <c r="K4" s="13"/>
      <c r="L4" s="16">
        <f t="shared" ca="1" si="0"/>
        <v>2753.56</v>
      </c>
      <c r="M4" s="16"/>
      <c r="N4" s="16">
        <f t="shared" ca="1" si="1"/>
        <v>0</v>
      </c>
      <c r="O4" s="11" cm="1">
        <f t="array" aca="1" ref="O4" ca="1">INDIRECT("'data'!$K$" &amp; $A$1)*parameters!$B$14</f>
        <v>1961.44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4715</v>
      </c>
      <c r="R4" s="16">
        <f t="shared" ca="1" si="2"/>
        <v>4715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10324.4776119403</v>
      </c>
      <c r="G5" s="14">
        <f ca="1">Q7/parameters!$B$7-(G3+G4)</f>
        <v>15870.560954553259</v>
      </c>
      <c r="H5" s="14"/>
      <c r="I5" s="14"/>
      <c r="J5" s="14"/>
      <c r="K5" s="13"/>
      <c r="L5" s="16">
        <f t="shared" ca="1" si="0"/>
        <v>26195.03856649356</v>
      </c>
      <c r="M5" s="16"/>
      <c r="N5" s="16"/>
      <c r="O5" s="11" cm="1">
        <f t="array" aca="1" ref="O5" ca="1">INDIRECT("'data'!$M$" &amp; $A$1)*parameters!$B$15</f>
        <v>4262.0199999999995</v>
      </c>
      <c r="P5" s="13" cm="1">
        <f t="array" aca="1" ref="P5" ca="1">-INDIRECT("'data'!$N$" &amp; $A$1)*parameters!$B$15</f>
        <v>-3.92</v>
      </c>
      <c r="Q5" s="16">
        <f ca="1">SUM(L5:P5)</f>
        <v>30453.138566493562</v>
      </c>
      <c r="R5" s="16">
        <f t="shared" ca="1" si="2"/>
        <v>30453.138566493562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48421.799999999996</v>
      </c>
      <c r="I6" s="14"/>
      <c r="J6" s="14"/>
      <c r="K6" s="13"/>
      <c r="L6" s="16">
        <f t="shared" ca="1" si="0"/>
        <v>48421.799999999996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48421.799999999996</v>
      </c>
      <c r="R6" s="16">
        <f t="shared" ca="1" si="2"/>
        <v>48421.799999999996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20384</v>
      </c>
      <c r="I7" s="14"/>
      <c r="J7" s="14"/>
      <c r="K7" s="13"/>
      <c r="L7" s="16">
        <f t="shared" ca="1" si="0"/>
        <v>20384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20384</v>
      </c>
      <c r="R7" s="16">
        <f t="shared" ca="1" si="2"/>
        <v>20384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24046.962832893147</v>
      </c>
      <c r="J8" s="14">
        <f ca="1">Q10/J18</f>
        <v>29580.597167106844</v>
      </c>
      <c r="K8" s="13"/>
      <c r="L8" s="16">
        <f t="shared" ca="1" si="0"/>
        <v>53627.55999999999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15196.86</v>
      </c>
      <c r="P8" s="13" cm="1">
        <f t="array" aca="1" ref="P8" ca="1">-INDIRECT("'data'!$S$" &amp; $A$1)*parameters!$B$15</f>
        <v>-18.62</v>
      </c>
      <c r="Q8" s="16">
        <f ca="1">SUM(Q6:Q7)</f>
        <v>68805.799999999988</v>
      </c>
      <c r="R8" s="16">
        <f t="shared" ca="1" si="2"/>
        <v>68805.799999999988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20287.96</v>
      </c>
      <c r="L9" s="16">
        <f t="shared" ca="1" si="0"/>
        <v>20287.96</v>
      </c>
      <c r="M9" s="16"/>
      <c r="N9" s="16">
        <f t="shared" ca="1" si="3"/>
        <v>0</v>
      </c>
      <c r="O9" s="11" cm="1">
        <f t="array" aca="1" ref="O9" ca="1">INDIRECT("'data'!$U$" &amp; $A$1)*parameters!$B$15</f>
        <v>2446.08</v>
      </c>
      <c r="P9" s="13" cm="1">
        <f t="array" aca="1" ref="P9" ca="1">-INDIRECT("'data'!$V$" &amp; $A$1)*parameters!$B$15</f>
        <v>-2558.7799999999997</v>
      </c>
      <c r="Q9" s="16" cm="1">
        <f t="array" aca="1" ref="Q9" ca="1">INDIRECT("'data'!$T$" &amp; $A$1)*parameters!$B$15</f>
        <v>20175.259999999998</v>
      </c>
      <c r="R9" s="16">
        <f t="shared" ca="1" si="2"/>
        <v>20175.260000000002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20665.686571834995</v>
      </c>
      <c r="L10" s="16">
        <f t="shared" ca="1" si="0"/>
        <v>20665.686571834995</v>
      </c>
      <c r="M10" s="16"/>
      <c r="N10" s="16">
        <f t="shared" ca="1" si="3"/>
        <v>0</v>
      </c>
      <c r="O10" s="11" cm="1">
        <f t="array" aca="1" ref="O10" ca="1">INDIRECT("'data'!$X$" &amp; $A$1)*parameters!$B$15</f>
        <v>7515.62</v>
      </c>
      <c r="P10" s="13" cm="1">
        <f t="array" aca="1" ref="P10" ca="1">-INDIRECT("'data'!$Y$" &amp; $A$1)*parameters!$B$15</f>
        <v>-3363.36</v>
      </c>
      <c r="Q10" s="16" cm="1">
        <f t="array" aca="1" ref="Q10" ca="1">INDIRECT("'data'!$W$" &amp; $A$1)*parameters!$B$15</f>
        <v>24817.946571834993</v>
      </c>
      <c r="R10" s="16">
        <f t="shared" ca="1" si="2"/>
        <v>24817.946571834993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46240.392851778095</v>
      </c>
      <c r="N11" s="19"/>
      <c r="O11" s="21" cm="1">
        <f t="array" aca="1" ref="O11" ca="1">INDIRECT("'data'!$Z$" &amp; $A$1)*parameters!$B$15</f>
        <v>1997.24</v>
      </c>
      <c r="P11" s="27" cm="1">
        <f t="array" aca="1" ref="P11" ca="1">-INDIRECT("'data'!$AA$" &amp; $A$1)*parameters!$B$15</f>
        <v>-11394.46</v>
      </c>
      <c r="Q11" s="16">
        <f ca="1">K9*parameters!$B$10+K10*parameters!$B$11</f>
        <v>36843.172851778094</v>
      </c>
      <c r="R11" s="16">
        <f t="shared" ref="R11:R17" ca="1" si="4">SUM(L11:P11)</f>
        <v>36843.172851778094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-302.73161064707529</v>
      </c>
      <c r="D12" s="9">
        <f ca="1">-(D17-Q4)</f>
        <v>-29.892824796215791</v>
      </c>
      <c r="E12" s="9">
        <f ca="1">-(E17-Q5)</f>
        <v>-3763.8710587800997</v>
      </c>
      <c r="F12" s="9">
        <f ca="1">-(F17-Q6)</f>
        <v>-3200.5880597014984</v>
      </c>
      <c r="G12" s="9">
        <f ca="1">-(G17-Q7)</f>
        <v>-915.89550679205786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-8212.9790607169471</v>
      </c>
      <c r="M12" s="17"/>
      <c r="N12" s="17"/>
      <c r="O12" s="10"/>
      <c r="P12" s="12"/>
      <c r="Q12" s="9">
        <f t="shared" ref="Q12:Q17" ca="1" si="6">SUM(L12:P12)</f>
        <v>-8212.9790607169471</v>
      </c>
      <c r="R12" s="17">
        <f t="shared" ca="1" si="4"/>
        <v>-8212.9790607169471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-3871.7028328931483</v>
      </c>
      <c r="J13" s="14">
        <f ca="1">-(J17-Q10)</f>
        <v>-4762.6505952718508</v>
      </c>
      <c r="K13" s="13">
        <f ca="1">-(K17-Q11)</f>
        <v>-4110.4737200568998</v>
      </c>
      <c r="L13" s="14">
        <f t="shared" ca="1" si="5"/>
        <v>-12744.827148221899</v>
      </c>
      <c r="M13" s="16">
        <f ca="1">-E15</f>
        <v>-21472.182477051763</v>
      </c>
      <c r="N13" s="16"/>
      <c r="O13" s="11"/>
      <c r="P13" s="13"/>
      <c r="Q13" s="14">
        <f t="shared" ca="1" si="6"/>
        <v>-34217.009625273662</v>
      </c>
      <c r="R13" s="16">
        <f t="shared" ca="1" si="4"/>
        <v>-34217.009625273662</v>
      </c>
    </row>
    <row r="14" spans="1:20">
      <c r="A14" s="18" t="s">
        <v>78</v>
      </c>
      <c r="B14" s="11"/>
      <c r="C14" s="14"/>
      <c r="D14" s="14"/>
      <c r="E14" s="14">
        <f ca="1">-(I13+J13)-K13</f>
        <v>12744.827148221899</v>
      </c>
      <c r="F14" s="14"/>
      <c r="G14" s="14"/>
      <c r="H14" s="14"/>
      <c r="I14" s="14"/>
      <c r="J14" s="14"/>
      <c r="K14" s="13"/>
      <c r="L14" s="14">
        <f t="shared" ca="1" si="5"/>
        <v>12744.827148221899</v>
      </c>
      <c r="M14" s="16"/>
      <c r="N14" s="16"/>
      <c r="O14" s="11"/>
      <c r="P14" s="13"/>
      <c r="Q14" s="14">
        <f t="shared" ca="1" si="6"/>
        <v>12744.827148221899</v>
      </c>
      <c r="R14" s="16">
        <f t="shared" ca="1" si="4"/>
        <v>12744.827148221899</v>
      </c>
    </row>
    <row r="15" spans="1:20">
      <c r="A15" s="18" t="s">
        <v>79</v>
      </c>
      <c r="B15" s="11"/>
      <c r="C15" s="14"/>
      <c r="D15" s="14"/>
      <c r="E15" s="14">
        <f ca="1">E17-E14</f>
        <v>21472.182477051763</v>
      </c>
      <c r="F15" s="14"/>
      <c r="G15" s="14"/>
      <c r="H15" s="14"/>
      <c r="I15" s="14"/>
      <c r="J15" s="14"/>
      <c r="K15" s="13"/>
      <c r="L15" s="14">
        <f t="shared" ca="1" si="5"/>
        <v>21472.182477051763</v>
      </c>
      <c r="M15" s="16"/>
      <c r="N15" s="16"/>
      <c r="O15" s="11"/>
      <c r="P15" s="13"/>
      <c r="Q15" s="14">
        <f t="shared" ca="1" si="6"/>
        <v>21472.182477051763</v>
      </c>
      <c r="R15" s="16">
        <f t="shared" ca="1" si="4"/>
        <v>21472.182477051763</v>
      </c>
    </row>
    <row r="16" spans="1:20">
      <c r="A16" s="30" t="s">
        <v>89</v>
      </c>
      <c r="B16" s="21">
        <f ca="1">Q2</f>
        <v>62900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62900</v>
      </c>
      <c r="M16" s="19"/>
      <c r="N16" s="19"/>
      <c r="O16" s="21"/>
      <c r="P16" s="27"/>
      <c r="Q16" s="22">
        <f t="shared" ca="1" si="6"/>
        <v>62900</v>
      </c>
      <c r="R16" s="19">
        <f t="shared" ca="1" si="4"/>
        <v>62900</v>
      </c>
    </row>
    <row r="17" spans="1:18">
      <c r="A17" s="29" t="s">
        <v>88</v>
      </c>
      <c r="B17" s="9">
        <f ca="1">B16</f>
        <v>62900</v>
      </c>
      <c r="C17" s="9">
        <f ca="1">SUM(C$2:C$11)</f>
        <v>48052.636610647074</v>
      </c>
      <c r="D17" s="9">
        <f ca="1">SUM(D$2:D$11)</f>
        <v>4744.8928247962158</v>
      </c>
      <c r="E17" s="9">
        <f ca="1">$Q$5/parameters!$B$4</f>
        <v>34217.009625273662</v>
      </c>
      <c r="F17" s="9">
        <f t="shared" ref="F17:K17" ca="1" si="7">SUM(F$2:F$11)</f>
        <v>51622.388059701494</v>
      </c>
      <c r="G17" s="9">
        <f t="shared" ca="1" si="7"/>
        <v>21299.895506792058</v>
      </c>
      <c r="H17" s="9">
        <f t="shared" ca="1" si="7"/>
        <v>68805.799999999988</v>
      </c>
      <c r="I17" s="9">
        <f t="shared" ca="1" si="7"/>
        <v>24046.962832893147</v>
      </c>
      <c r="J17" s="9">
        <f t="shared" ca="1" si="7"/>
        <v>29580.597167106844</v>
      </c>
      <c r="K17" s="9">
        <f t="shared" ca="1" si="7"/>
        <v>40953.646571834994</v>
      </c>
      <c r="L17" s="17">
        <f t="shared" ca="1" si="5"/>
        <v>386223.82919904549</v>
      </c>
      <c r="M17" s="17"/>
      <c r="N17" s="17"/>
      <c r="O17" s="9"/>
      <c r="P17" s="14"/>
      <c r="Q17" s="11">
        <f t="shared" ca="1" si="6"/>
        <v>386223.82919904549</v>
      </c>
      <c r="R17" s="17">
        <f t="shared" ca="1" si="4"/>
        <v>386223.82919904549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0.83899410250690132</v>
      </c>
      <c r="J18" s="39">
        <f ca="1">I18</f>
        <v>0.83899410250690132</v>
      </c>
      <c r="K18" s="40">
        <f ca="1">1-(-K13)/K17</f>
        <v>0.89963106916872715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39688.668612257214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39688.668612257214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-39688.668612257214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36039.761194029859</v>
      </c>
      <c r="G3" s="14">
        <f ca="1">Q3-O3-P3-F3</f>
        <v>4147.3088059701331</v>
      </c>
      <c r="H3" s="14"/>
      <c r="I3" s="14"/>
      <c r="J3" s="14"/>
      <c r="K3" s="13"/>
      <c r="L3" s="16">
        <f t="shared" ca="1" si="0"/>
        <v>40187.069999999992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38.744999999999997</v>
      </c>
      <c r="P3" s="13" cm="1">
        <f t="array" aca="1" ref="P3" ca="1">-INDIRECT("'data'!$I$" &amp; $A$1)*parameters!$B$13</f>
        <v>-787.18499999999995</v>
      </c>
      <c r="Q3" s="16" cm="1">
        <f t="array" aca="1" ref="Q3" ca="1">INDIRECT("'data'!$G$" &amp; $A$1)*parameters!$B$13</f>
        <v>39438.629999999997</v>
      </c>
      <c r="R3" s="16">
        <f t="shared" ref="R3:R10" ca="1" si="2">SUM(L3:P3)</f>
        <v>39438.629999999997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339.48</v>
      </c>
      <c r="H4" s="14"/>
      <c r="I4" s="14"/>
      <c r="J4" s="14"/>
      <c r="K4" s="13"/>
      <c r="L4" s="16">
        <f t="shared" ca="1" si="0"/>
        <v>339.48</v>
      </c>
      <c r="M4" s="16"/>
      <c r="N4" s="16">
        <f t="shared" ca="1" si="1"/>
        <v>0</v>
      </c>
      <c r="O4" s="11" cm="1">
        <f t="array" aca="1" ref="O4" ca="1">INDIRECT("'data'!$K$" &amp; $A$1)*parameters!$B$14</f>
        <v>64.400000000000006</v>
      </c>
      <c r="P4" s="13" cm="1">
        <f t="array" aca="1" ref="P4" ca="1">-INDIRECT("'data'!$L$" &amp; $A$1)*parameters!$B$14</f>
        <v>-403.88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9009.9402985074648</v>
      </c>
      <c r="G5" s="14">
        <f ca="1">Q7/parameters!$B$7-(G3+G4)</f>
        <v>22091.999072817744</v>
      </c>
      <c r="H5" s="14"/>
      <c r="I5" s="14"/>
      <c r="J5" s="14"/>
      <c r="K5" s="13"/>
      <c r="L5" s="16">
        <f t="shared" ca="1" si="0"/>
        <v>31101.939371325207</v>
      </c>
      <c r="M5" s="16"/>
      <c r="N5" s="16"/>
      <c r="O5" s="11" cm="1">
        <f t="array" aca="1" ref="O5" ca="1">INDIRECT("'data'!$M$" &amp; $A$1)*parameters!$B$15</f>
        <v>231.28</v>
      </c>
      <c r="P5" s="13" cm="1">
        <f t="array" aca="1" ref="P5" ca="1">-INDIRECT("'data'!$N$" &amp; $A$1)*parameters!$B$15</f>
        <v>-9923.48</v>
      </c>
      <c r="Q5" s="16">
        <f ca="1">SUM(L5:P5)</f>
        <v>21409.739371325206</v>
      </c>
      <c r="R5" s="16">
        <f t="shared" ca="1" si="2"/>
        <v>21409.739371325206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42256.62</v>
      </c>
      <c r="I6" s="14"/>
      <c r="J6" s="14"/>
      <c r="K6" s="13"/>
      <c r="L6" s="16">
        <f t="shared" ca="1" si="0"/>
        <v>42256.62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42256.62</v>
      </c>
      <c r="R6" s="16">
        <f t="shared" ca="1" si="2"/>
        <v>42256.62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25435.899999999998</v>
      </c>
      <c r="I7" s="14"/>
      <c r="J7" s="14"/>
      <c r="K7" s="13"/>
      <c r="L7" s="16">
        <f t="shared" ca="1" si="0"/>
        <v>25435.899999999998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25435.899999999998</v>
      </c>
      <c r="R7" s="16">
        <f t="shared" ca="1" si="2"/>
        <v>25435.899999999998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20832.008932004919</v>
      </c>
      <c r="J8" s="14">
        <f ca="1">Q10/J18</f>
        <v>47620.011067995081</v>
      </c>
      <c r="K8" s="13"/>
      <c r="L8" s="16">
        <f t="shared" ca="1" si="0"/>
        <v>68452.02</v>
      </c>
      <c r="M8" s="16"/>
      <c r="N8" s="16">
        <f t="shared" ca="1" si="3"/>
        <v>0</v>
      </c>
      <c r="O8" s="11" cm="1">
        <f t="array" aca="1" ref="O8" ca="1">INDIRECT("'data'!$R$" &amp; $A$1)*parameters!$B$15</f>
        <v>1945.3</v>
      </c>
      <c r="P8" s="13" cm="1">
        <f t="array" aca="1" ref="P8" ca="1">-INDIRECT("'data'!$S$" &amp; $A$1)*parameters!$B$15</f>
        <v>-2704.7999999999997</v>
      </c>
      <c r="Q8" s="16">
        <f ca="1">SUM(Q6:Q7)</f>
        <v>67692.52</v>
      </c>
      <c r="R8" s="16">
        <f t="shared" ca="1" si="2"/>
        <v>67692.52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20600.579999999998</v>
      </c>
      <c r="L9" s="16">
        <f t="shared" ca="1" si="0"/>
        <v>20600.579999999998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3380.02</v>
      </c>
      <c r="P9" s="13" cm="1">
        <f t="array" aca="1" ref="P9" ca="1">-INDIRECT("'data'!$V$" &amp; $A$1)*parameters!$B$15</f>
        <v>-4591.3</v>
      </c>
      <c r="Q9" s="16" cm="1">
        <f t="array" aca="1" ref="Q9" ca="1">INDIRECT("'data'!$T$" &amp; $A$1)*parameters!$B$15</f>
        <v>19389.3</v>
      </c>
      <c r="R9" s="16">
        <f t="shared" ca="1" si="2"/>
        <v>19389.3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34872.954281650062</v>
      </c>
      <c r="L10" s="16">
        <f t="shared" ca="1" si="0"/>
        <v>34872.954281650062</v>
      </c>
      <c r="M10" s="16"/>
      <c r="N10" s="16">
        <f t="shared" ca="1" si="3"/>
        <v>0</v>
      </c>
      <c r="O10" s="11" cm="1">
        <f t="array" aca="1" ref="O10" ca="1">INDIRECT("'data'!$X$" &amp; $A$1)*parameters!$B$15</f>
        <v>21192.5</v>
      </c>
      <c r="P10" s="13" cm="1">
        <f t="array" aca="1" ref="P10" ca="1">-INDIRECT("'data'!$Y$" &amp; $A$1)*parameters!$B$15</f>
        <v>-11743.34</v>
      </c>
      <c r="Q10" s="16" cm="1">
        <f t="array" aca="1" ref="Q10" ca="1">INDIRECT("'data'!$W$" &amp; $A$1)*parameters!$B$15</f>
        <v>44322.114281650065</v>
      </c>
      <c r="R10" s="16">
        <f t="shared" ca="1" si="2"/>
        <v>44322.114281650065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30798.005882219048</v>
      </c>
      <c r="N11" s="19"/>
      <c r="O11" s="21" cm="1">
        <f t="array" aca="1" ref="O11" ca="1">INDIRECT("'data'!$Z$" &amp; $A$1)*parameters!$B$15</f>
        <v>24847.899999999998</v>
      </c>
      <c r="P11" s="27" cm="1">
        <f t="array" aca="1" ref="P11" ca="1">-INDIRECT("'data'!$AA$" &amp; $A$1)*parameters!$B$15</f>
        <v>-6290.62</v>
      </c>
      <c r="Q11" s="16">
        <f ca="1">K9*parameters!$B$10+K10*parameters!$B$11</f>
        <v>49355.285882219046</v>
      </c>
      <c r="R11" s="16">
        <f t="shared" ref="R11:R17" ca="1" si="4">SUM(L11:P11)</f>
        <v>49355.285882219039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-250.0386122572163</v>
      </c>
      <c r="D12" s="9">
        <f ca="1">-(D17-Q4)</f>
        <v>0</v>
      </c>
      <c r="E12" s="9">
        <f ca="1">-(E17-Q5)</f>
        <v>-2646.1475627480577</v>
      </c>
      <c r="F12" s="9">
        <f ca="1">-(F17-Q6)</f>
        <v>-2793.0814925373197</v>
      </c>
      <c r="G12" s="9">
        <f ca="1">-(G17-Q7)</f>
        <v>-1142.8878787878784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-6832.1555463304721</v>
      </c>
      <c r="M12" s="17"/>
      <c r="N12" s="17"/>
      <c r="O12" s="10"/>
      <c r="P12" s="12"/>
      <c r="Q12" s="9">
        <f t="shared" ref="Q12:Q17" ca="1" si="6">SUM(L12:P12)</f>
        <v>-6832.1555463304721</v>
      </c>
      <c r="R12" s="17">
        <f t="shared" ca="1" si="4"/>
        <v>-6832.1555463304721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-1442.7089320049199</v>
      </c>
      <c r="J13" s="14">
        <f ca="1">-(J17-Q10)</f>
        <v>-3297.8967863450162</v>
      </c>
      <c r="K13" s="13">
        <f ca="1">-(K17-Q11)</f>
        <v>-6118.2483994310169</v>
      </c>
      <c r="L13" s="14">
        <f t="shared" ca="1" si="5"/>
        <v>-10858.854117780953</v>
      </c>
      <c r="M13" s="16">
        <f ca="1">-E15</f>
        <v>-13197.032816292311</v>
      </c>
      <c r="N13" s="16"/>
      <c r="O13" s="11"/>
      <c r="P13" s="13"/>
      <c r="Q13" s="14">
        <f t="shared" ca="1" si="6"/>
        <v>-24055.886934073264</v>
      </c>
      <c r="R13" s="16">
        <f t="shared" ca="1" si="4"/>
        <v>-24055.886934073264</v>
      </c>
    </row>
    <row r="14" spans="1:20">
      <c r="A14" s="18" t="s">
        <v>78</v>
      </c>
      <c r="B14" s="11"/>
      <c r="C14" s="14"/>
      <c r="D14" s="14"/>
      <c r="E14" s="14">
        <f ca="1">-(I13+J13)-K13</f>
        <v>10858.854117780953</v>
      </c>
      <c r="F14" s="14"/>
      <c r="G14" s="14"/>
      <c r="H14" s="14"/>
      <c r="I14" s="14"/>
      <c r="J14" s="14"/>
      <c r="K14" s="13"/>
      <c r="L14" s="14">
        <f t="shared" ca="1" si="5"/>
        <v>10858.854117780953</v>
      </c>
      <c r="M14" s="16"/>
      <c r="N14" s="16"/>
      <c r="O14" s="11"/>
      <c r="P14" s="13"/>
      <c r="Q14" s="14">
        <f t="shared" ca="1" si="6"/>
        <v>10858.854117780953</v>
      </c>
      <c r="R14" s="16">
        <f t="shared" ca="1" si="4"/>
        <v>10858.854117780953</v>
      </c>
    </row>
    <row r="15" spans="1:20">
      <c r="A15" s="18" t="s">
        <v>79</v>
      </c>
      <c r="B15" s="11"/>
      <c r="C15" s="14"/>
      <c r="D15" s="14"/>
      <c r="E15" s="14">
        <f ca="1">E17-E14</f>
        <v>13197.032816292311</v>
      </c>
      <c r="F15" s="14"/>
      <c r="G15" s="14"/>
      <c r="H15" s="14"/>
      <c r="I15" s="14"/>
      <c r="J15" s="14"/>
      <c r="K15" s="13"/>
      <c r="L15" s="14">
        <f t="shared" ca="1" si="5"/>
        <v>13197.032816292311</v>
      </c>
      <c r="M15" s="16"/>
      <c r="N15" s="16"/>
      <c r="O15" s="11"/>
      <c r="P15" s="13"/>
      <c r="Q15" s="14">
        <f t="shared" ca="1" si="6"/>
        <v>13197.032816292311</v>
      </c>
      <c r="R15" s="16">
        <f t="shared" ca="1" si="4"/>
        <v>13197.032816292311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39688.668612257214</v>
      </c>
      <c r="D17" s="9">
        <f ca="1">SUM(D$2:D$11)</f>
        <v>0</v>
      </c>
      <c r="E17" s="9">
        <f ca="1">$Q$5/parameters!$B$4</f>
        <v>24055.886934073264</v>
      </c>
      <c r="F17" s="9">
        <f t="shared" ref="F17:K17" ca="1" si="7">SUM(F$2:F$11)</f>
        <v>45049.701492537322</v>
      </c>
      <c r="G17" s="9">
        <f t="shared" ca="1" si="7"/>
        <v>26578.787878787876</v>
      </c>
      <c r="H17" s="9">
        <f t="shared" ca="1" si="7"/>
        <v>67692.52</v>
      </c>
      <c r="I17" s="9">
        <f t="shared" ca="1" si="7"/>
        <v>20832.008932004919</v>
      </c>
      <c r="J17" s="9">
        <f t="shared" ca="1" si="7"/>
        <v>47620.011067995081</v>
      </c>
      <c r="K17" s="9">
        <f t="shared" ca="1" si="7"/>
        <v>55473.534281650063</v>
      </c>
      <c r="L17" s="17">
        <f t="shared" ca="1" si="5"/>
        <v>326991.11919930577</v>
      </c>
      <c r="M17" s="17"/>
      <c r="N17" s="17"/>
      <c r="O17" s="9"/>
      <c r="P17" s="14"/>
      <c r="Q17" s="11">
        <f t="shared" ca="1" si="6"/>
        <v>326991.11919930577</v>
      </c>
      <c r="R17" s="17">
        <f t="shared" ca="1" si="4"/>
        <v>326991.11919930577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0.93074556867204306</v>
      </c>
      <c r="J18" s="39">
        <f ca="1">I18</f>
        <v>0.93074556867204306</v>
      </c>
      <c r="K18" s="40">
        <f ca="1">1-(-K13)/K17</f>
        <v>0.88970869661256002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25194.611049612558</v>
      </c>
      <c r="D2" s="9">
        <f ca="1">Q4/parameters!$B$3</f>
        <v>513.83717419744391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25708.448223810003</v>
      </c>
      <c r="M2" s="17"/>
      <c r="N2" s="16">
        <v>0</v>
      </c>
      <c r="O2" s="11" cm="1">
        <f t="array" aca="1" ref="O2" ca="1">INDIRECT("'data'!$F$" &amp; $A$1)</f>
        <v>26</v>
      </c>
      <c r="P2" s="13">
        <f ca="1">IF(-(L2-Q2+O2)&lt;0, -(L2-Q2+O2), 0)</f>
        <v>-25687.248223810002</v>
      </c>
      <c r="Q2" s="17" cm="1">
        <f t="array" aca="1" ref="Q2" ca="1">INDIRECT("'data'!$D$" &amp; $A$1)</f>
        <v>47.2</v>
      </c>
      <c r="R2" s="17">
        <f ca="1">SUM(L2:P2)</f>
        <v>47.200000000000728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24131.820895522389</v>
      </c>
      <c r="G3" s="14">
        <f ca="1">Q3-O3-P3-F3</f>
        <v>1338.7641044776101</v>
      </c>
      <c r="H3" s="14"/>
      <c r="I3" s="14"/>
      <c r="J3" s="14"/>
      <c r="K3" s="13"/>
      <c r="L3" s="16">
        <f t="shared" ca="1" si="0"/>
        <v>25470.584999999999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118.125</v>
      </c>
      <c r="P3" s="13" cm="1">
        <f t="array" aca="1" ref="P3" ca="1">-INDIRECT("'data'!$I$" &amp; $A$1)*parameters!$B$13</f>
        <v>-552.82499999999993</v>
      </c>
      <c r="Q3" s="16" cm="1">
        <f t="array" aca="1" ref="Q3" ca="1">INDIRECT("'data'!$G$" &amp; $A$1)*parameters!$B$13</f>
        <v>25035.884999999998</v>
      </c>
      <c r="R3" s="16">
        <f t="shared" ref="R3:R10" ca="1" si="2">SUM(L3:P3)</f>
        <v>25035.884999999998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627.44000000000005</v>
      </c>
      <c r="H4" s="14"/>
      <c r="I4" s="14"/>
      <c r="J4" s="14"/>
      <c r="K4" s="13"/>
      <c r="L4" s="16">
        <f t="shared" ca="1" si="0"/>
        <v>627.44000000000005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-116.84</v>
      </c>
      <c r="Q4" s="16" cm="1">
        <f t="array" aca="1" ref="Q4" ca="1">INDIRECT("'data'!$J$" &amp; $A$1)*parameters!$B$14</f>
        <v>510.6</v>
      </c>
      <c r="R4" s="16">
        <f t="shared" ca="1" si="2"/>
        <v>510.6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6032.9552238805973</v>
      </c>
      <c r="G5" s="14">
        <f ca="1">Q7/parameters!$B$7-(G3+G4)</f>
        <v>12154.192969712567</v>
      </c>
      <c r="H5" s="14"/>
      <c r="I5" s="14"/>
      <c r="J5" s="14"/>
      <c r="K5" s="13"/>
      <c r="L5" s="16">
        <f t="shared" ca="1" si="0"/>
        <v>18187.148193593166</v>
      </c>
      <c r="M5" s="16"/>
      <c r="N5" s="16"/>
      <c r="O5" s="11" cm="1">
        <f t="array" aca="1" ref="O5" ca="1">INDIRECT("'data'!$M$" &amp; $A$1)*parameters!$B$15</f>
        <v>8745.52</v>
      </c>
      <c r="P5" s="13" cm="1">
        <f t="array" aca="1" ref="P5" ca="1">-INDIRECT("'data'!$N$" &amp; $A$1)*parameters!$B$15</f>
        <v>-5374.32</v>
      </c>
      <c r="Q5" s="16">
        <f ca="1">SUM(L5:P5)</f>
        <v>21558.348193593167</v>
      </c>
      <c r="R5" s="16">
        <f t="shared" ca="1" si="2"/>
        <v>21558.348193593167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28294.559999999998</v>
      </c>
      <c r="I6" s="14"/>
      <c r="J6" s="14"/>
      <c r="K6" s="13"/>
      <c r="L6" s="16">
        <f t="shared" ca="1" si="0"/>
        <v>28294.559999999998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28294.559999999998</v>
      </c>
      <c r="R6" s="16">
        <f t="shared" ca="1" si="2"/>
        <v>28294.559999999998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13513.22</v>
      </c>
      <c r="I7" s="14"/>
      <c r="J7" s="14"/>
      <c r="K7" s="13"/>
      <c r="L7" s="16">
        <f t="shared" ca="1" si="0"/>
        <v>13513.22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13513.22</v>
      </c>
      <c r="R7" s="16">
        <f t="shared" ca="1" si="2"/>
        <v>13513.22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15955.766645878995</v>
      </c>
      <c r="J8" s="14">
        <f ca="1">Q10/J18</f>
        <v>25889.253354121007</v>
      </c>
      <c r="K8" s="13"/>
      <c r="L8" s="16">
        <f t="shared" ca="1" si="0"/>
        <v>41845.020000000004</v>
      </c>
      <c r="M8" s="16"/>
      <c r="N8" s="16">
        <f t="shared" ca="1" si="3"/>
        <v>0</v>
      </c>
      <c r="O8" s="11" cm="1">
        <f t="array" aca="1" ref="O8" ca="1">INDIRECT("'data'!$R$" &amp; $A$1)*parameters!$B$15</f>
        <v>1656.2</v>
      </c>
      <c r="P8" s="13" cm="1">
        <f t="array" aca="1" ref="P8" ca="1">-INDIRECT("'data'!$S$" &amp; $A$1)*parameters!$B$15</f>
        <v>-1693.44</v>
      </c>
      <c r="Q8" s="16">
        <f ca="1">SUM(Q6:Q7)</f>
        <v>41807.78</v>
      </c>
      <c r="R8" s="16">
        <f t="shared" ca="1" si="2"/>
        <v>41807.78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12853.68</v>
      </c>
      <c r="L9" s="16">
        <f t="shared" ca="1" si="0"/>
        <v>12853.68</v>
      </c>
      <c r="M9" s="16"/>
      <c r="N9" s="16">
        <f t="shared" ca="1" si="3"/>
        <v>0</v>
      </c>
      <c r="O9" s="11" cm="1">
        <f t="array" aca="1" ref="O9" ca="1">INDIRECT("'data'!$U$" &amp; $A$1)*parameters!$B$15</f>
        <v>7175.5599999999995</v>
      </c>
      <c r="P9" s="13" cm="1">
        <f t="array" aca="1" ref="P9" ca="1">-INDIRECT("'data'!$V$" &amp; $A$1)*parameters!$B$15</f>
        <v>-6139.7</v>
      </c>
      <c r="Q9" s="16" cm="1">
        <f t="array" aca="1" ref="Q9" ca="1">INDIRECT("'data'!$T$" &amp; $A$1)*parameters!$B$15</f>
        <v>13889.539999999999</v>
      </c>
      <c r="R9" s="16">
        <f t="shared" ca="1" si="2"/>
        <v>13889.539999999997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21698.768278805117</v>
      </c>
      <c r="L10" s="16">
        <f t="shared" ca="1" si="0"/>
        <v>21698.768278805117</v>
      </c>
      <c r="M10" s="16"/>
      <c r="N10" s="16">
        <f t="shared" ca="1" si="3"/>
        <v>0</v>
      </c>
      <c r="O10" s="11" cm="1">
        <f t="array" aca="1" ref="O10" ca="1">INDIRECT("'data'!$X$" &amp; $A$1)*parameters!$B$15</f>
        <v>13114.36</v>
      </c>
      <c r="P10" s="13" cm="1">
        <f t="array" aca="1" ref="P10" ca="1">-INDIRECT("'data'!$Y$" &amp; $A$1)*parameters!$B$15</f>
        <v>-12276.46</v>
      </c>
      <c r="Q10" s="16" cm="1">
        <f t="array" aca="1" ref="Q10" ca="1">INDIRECT("'data'!$W$" &amp; $A$1)*parameters!$B$15</f>
        <v>22536.668278805118</v>
      </c>
      <c r="R10" s="16">
        <f t="shared" ca="1" si="2"/>
        <v>22536.668278805118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22041.979919772399</v>
      </c>
      <c r="N11" s="19"/>
      <c r="O11" s="21" cm="1">
        <f t="array" aca="1" ref="O11" ca="1">INDIRECT("'data'!$Z$" &amp; $A$1)*parameters!$B$15</f>
        <v>29507.8</v>
      </c>
      <c r="P11" s="27" cm="1">
        <f t="array" aca="1" ref="P11" ca="1">-INDIRECT("'data'!$AA$" &amp; $A$1)*parameters!$B$15</f>
        <v>-20806.38</v>
      </c>
      <c r="Q11" s="16">
        <f ca="1">K9*parameters!$B$10+K10*parameters!$B$11</f>
        <v>30743.399919772397</v>
      </c>
      <c r="R11" s="16">
        <f t="shared" ref="R11:R17" ca="1" si="4">SUM(L11:P11)</f>
        <v>30743.399919772393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-158.72604961256002</v>
      </c>
      <c r="D12" s="9">
        <f ca="1">-(D17-Q4)</f>
        <v>-3.2371741974438919</v>
      </c>
      <c r="E12" s="9">
        <f ca="1">-(E17-Q5)</f>
        <v>-2664.5149452755613</v>
      </c>
      <c r="F12" s="9">
        <f ca="1">-(F17-Q6)</f>
        <v>-1870.2161194029904</v>
      </c>
      <c r="G12" s="9">
        <f ca="1">-(G17-Q7)</f>
        <v>-607.17707419017825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-5303.8713626787339</v>
      </c>
      <c r="M12" s="17"/>
      <c r="N12" s="17"/>
      <c r="O12" s="10"/>
      <c r="P12" s="12"/>
      <c r="Q12" s="9">
        <f t="shared" ref="Q12:Q17" ca="1" si="6">SUM(L12:P12)</f>
        <v>-5303.8713626787339</v>
      </c>
      <c r="R12" s="17">
        <f t="shared" ca="1" si="4"/>
        <v>-5303.8713626787339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-2066.2266458789964</v>
      </c>
      <c r="J13" s="14">
        <f ca="1">-(J17-Q10)</f>
        <v>-3352.5850753158884</v>
      </c>
      <c r="K13" s="13">
        <f ca="1">-(K17-Q11)</f>
        <v>-3809.0483590327203</v>
      </c>
      <c r="L13" s="14">
        <f t="shared" ca="1" si="5"/>
        <v>-9227.8600802276051</v>
      </c>
      <c r="M13" s="16">
        <f ca="1">-E15</f>
        <v>-14995.003058641123</v>
      </c>
      <c r="N13" s="16"/>
      <c r="O13" s="11"/>
      <c r="P13" s="13"/>
      <c r="Q13" s="14">
        <f t="shared" ca="1" si="6"/>
        <v>-24222.863138868728</v>
      </c>
      <c r="R13" s="16">
        <f t="shared" ca="1" si="4"/>
        <v>-24222.863138868728</v>
      </c>
    </row>
    <row r="14" spans="1:20">
      <c r="A14" s="18" t="s">
        <v>78</v>
      </c>
      <c r="B14" s="11"/>
      <c r="C14" s="14"/>
      <c r="D14" s="14"/>
      <c r="E14" s="14">
        <f ca="1">-(I13+J13)-K13</f>
        <v>9227.8600802276051</v>
      </c>
      <c r="F14" s="14"/>
      <c r="G14" s="14"/>
      <c r="H14" s="14"/>
      <c r="I14" s="14"/>
      <c r="J14" s="14"/>
      <c r="K14" s="13"/>
      <c r="L14" s="14">
        <f t="shared" ca="1" si="5"/>
        <v>9227.8600802276051</v>
      </c>
      <c r="M14" s="16"/>
      <c r="N14" s="16"/>
      <c r="O14" s="11"/>
      <c r="P14" s="13"/>
      <c r="Q14" s="14">
        <f t="shared" ca="1" si="6"/>
        <v>9227.8600802276051</v>
      </c>
      <c r="R14" s="16">
        <f t="shared" ca="1" si="4"/>
        <v>9227.8600802276051</v>
      </c>
    </row>
    <row r="15" spans="1:20">
      <c r="A15" s="18" t="s">
        <v>79</v>
      </c>
      <c r="B15" s="11"/>
      <c r="C15" s="14"/>
      <c r="D15" s="14"/>
      <c r="E15" s="14">
        <f ca="1">E17-E14</f>
        <v>14995.003058641123</v>
      </c>
      <c r="F15" s="14"/>
      <c r="G15" s="14"/>
      <c r="H15" s="14"/>
      <c r="I15" s="14"/>
      <c r="J15" s="14"/>
      <c r="K15" s="13"/>
      <c r="L15" s="14">
        <f t="shared" ca="1" si="5"/>
        <v>14995.003058641123</v>
      </c>
      <c r="M15" s="16"/>
      <c r="N15" s="16"/>
      <c r="O15" s="11"/>
      <c r="P15" s="13"/>
      <c r="Q15" s="14">
        <f t="shared" ca="1" si="6"/>
        <v>14995.003058641123</v>
      </c>
      <c r="R15" s="16">
        <f t="shared" ca="1" si="4"/>
        <v>14995.003058641123</v>
      </c>
    </row>
    <row r="16" spans="1:20">
      <c r="A16" s="30" t="s">
        <v>89</v>
      </c>
      <c r="B16" s="21">
        <f ca="1">Q2</f>
        <v>47.2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47.2</v>
      </c>
      <c r="M16" s="19"/>
      <c r="N16" s="19"/>
      <c r="O16" s="21"/>
      <c r="P16" s="27"/>
      <c r="Q16" s="22">
        <f t="shared" ca="1" si="6"/>
        <v>47.2</v>
      </c>
      <c r="R16" s="19">
        <f t="shared" ca="1" si="4"/>
        <v>47.2</v>
      </c>
    </row>
    <row r="17" spans="1:18">
      <c r="A17" s="29" t="s">
        <v>88</v>
      </c>
      <c r="B17" s="9">
        <f ca="1">B16</f>
        <v>47.2</v>
      </c>
      <c r="C17" s="9">
        <f ca="1">SUM(C$2:C$11)</f>
        <v>25194.611049612558</v>
      </c>
      <c r="D17" s="9">
        <f ca="1">SUM(D$2:D$11)</f>
        <v>513.83717419744391</v>
      </c>
      <c r="E17" s="9">
        <f ca="1">$Q$5/parameters!$B$4</f>
        <v>24222.863138868728</v>
      </c>
      <c r="F17" s="9">
        <f t="shared" ref="F17:K17" ca="1" si="7">SUM(F$2:F$11)</f>
        <v>30164.776119402988</v>
      </c>
      <c r="G17" s="9">
        <f t="shared" ca="1" si="7"/>
        <v>14120.397074190178</v>
      </c>
      <c r="H17" s="9">
        <f t="shared" ca="1" si="7"/>
        <v>41807.78</v>
      </c>
      <c r="I17" s="9">
        <f t="shared" ca="1" si="7"/>
        <v>15955.766645878995</v>
      </c>
      <c r="J17" s="9">
        <f t="shared" ca="1" si="7"/>
        <v>25889.253354121007</v>
      </c>
      <c r="K17" s="9">
        <f t="shared" ca="1" si="7"/>
        <v>34552.448278805117</v>
      </c>
      <c r="L17" s="17">
        <f t="shared" ca="1" si="5"/>
        <v>212468.93283507702</v>
      </c>
      <c r="M17" s="17"/>
      <c r="N17" s="17"/>
      <c r="O17" s="9"/>
      <c r="P17" s="14"/>
      <c r="Q17" s="11">
        <f t="shared" ca="1" si="6"/>
        <v>212468.93283507702</v>
      </c>
      <c r="R17" s="17">
        <f t="shared" ca="1" si="4"/>
        <v>212468.93283507702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0.87050282874294516</v>
      </c>
      <c r="J18" s="39">
        <f ca="1">I18</f>
        <v>0.87050282874294516</v>
      </c>
      <c r="K18" s="40">
        <f ca="1">1-(-K13)/K17</f>
        <v>0.88976039184554001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8190.8875918285194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8190.8875918285194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-3290.8875918285194</v>
      </c>
      <c r="Q2" s="17" cm="1">
        <f t="array" aca="1" ref="Q2" ca="1">INDIRECT("'data'!$D$" &amp; $A$1)</f>
        <v>4900</v>
      </c>
      <c r="R2" s="17">
        <f ca="1">SUM(L2:P2)</f>
        <v>4900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7794.0298507462694</v>
      </c>
      <c r="G3" s="14">
        <f ca="1">Q3-O3-P3-F3</f>
        <v>1638.9601492537304</v>
      </c>
      <c r="H3" s="14"/>
      <c r="I3" s="14"/>
      <c r="J3" s="14"/>
      <c r="K3" s="13"/>
      <c r="L3" s="16">
        <f t="shared" ca="1" si="0"/>
        <v>9432.99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7.56</v>
      </c>
      <c r="P3" s="13" cm="1">
        <f t="array" aca="1" ref="P3" ca="1">-INDIRECT("'data'!$I$" &amp; $A$1)*parameters!$B$13</f>
        <v>-1301.2649999999999</v>
      </c>
      <c r="Q3" s="16" cm="1">
        <f t="array" aca="1" ref="Q3" ca="1">INDIRECT("'data'!$G$" &amp; $A$1)*parameters!$B$13</f>
        <v>8139.2849999999999</v>
      </c>
      <c r="R3" s="16">
        <f t="shared" ref="R3:R10" ca="1" si="2">SUM(L3:P3)</f>
        <v>8139.2849999999999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4.6000000000000005</v>
      </c>
      <c r="H4" s="14"/>
      <c r="I4" s="14"/>
      <c r="J4" s="14"/>
      <c r="K4" s="13"/>
      <c r="L4" s="16">
        <f t="shared" ca="1" si="0"/>
        <v>4.6000000000000005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-4.6000000000000005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1948.5074626865674</v>
      </c>
      <c r="G5" s="14">
        <f ca="1">Q7/parameters!$B$7-(G3+G4)</f>
        <v>25554.767959419205</v>
      </c>
      <c r="H5" s="14"/>
      <c r="I5" s="14"/>
      <c r="J5" s="14"/>
      <c r="K5" s="13"/>
      <c r="L5" s="16">
        <f t="shared" ca="1" si="0"/>
        <v>27503.275422105773</v>
      </c>
      <c r="M5" s="16"/>
      <c r="N5" s="16"/>
      <c r="O5" s="11" cm="1">
        <f t="array" aca="1" ref="O5" ca="1">INDIRECT("'data'!$M$" &amp; $A$1)*parameters!$B$15</f>
        <v>93.1</v>
      </c>
      <c r="P5" s="13" cm="1">
        <f t="array" aca="1" ref="P5" ca="1">-INDIRECT("'data'!$N$" &amp; $A$1)*parameters!$B$15</f>
        <v>-21966.7</v>
      </c>
      <c r="Q5" s="16">
        <f ca="1">SUM(L5:P5)</f>
        <v>5629.6754221057708</v>
      </c>
      <c r="R5" s="16">
        <f t="shared" ca="1" si="2"/>
        <v>5629.6754221057708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9138.5</v>
      </c>
      <c r="I6" s="14"/>
      <c r="J6" s="14"/>
      <c r="K6" s="13"/>
      <c r="L6" s="16">
        <f t="shared" ca="1" si="0"/>
        <v>9138.5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9138.5</v>
      </c>
      <c r="R6" s="16">
        <f t="shared" ca="1" si="2"/>
        <v>9138.5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26028.799999999999</v>
      </c>
      <c r="I7" s="14"/>
      <c r="J7" s="14"/>
      <c r="K7" s="13"/>
      <c r="L7" s="16">
        <f t="shared" ca="1" si="0"/>
        <v>26028.799999999999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26028.799999999999</v>
      </c>
      <c r="R7" s="16">
        <f t="shared" ca="1" si="2"/>
        <v>26028.799999999999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26365.03939444981</v>
      </c>
      <c r="J8" s="14">
        <f ca="1">Q10/J18</f>
        <v>9170.7406055501906</v>
      </c>
      <c r="K8" s="13"/>
      <c r="L8" s="16">
        <f t="shared" ca="1" si="0"/>
        <v>35535.78</v>
      </c>
      <c r="M8" s="16"/>
      <c r="N8" s="16">
        <f t="shared" ca="1" si="3"/>
        <v>0</v>
      </c>
      <c r="O8" s="11" cm="1">
        <f t="array" aca="1" ref="O8" ca="1">INDIRECT("'data'!$R$" &amp; $A$1)*parameters!$B$15</f>
        <v>2920.4</v>
      </c>
      <c r="P8" s="13" cm="1">
        <f t="array" aca="1" ref="P8" ca="1">-INDIRECT("'data'!$S$" &amp; $A$1)*parameters!$B$15</f>
        <v>-3288.88</v>
      </c>
      <c r="Q8" s="16">
        <f ca="1">SUM(Q6:Q7)</f>
        <v>35167.300000000003</v>
      </c>
      <c r="R8" s="16">
        <f t="shared" ca="1" si="2"/>
        <v>35167.300000000003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14478.52</v>
      </c>
      <c r="L9" s="16">
        <f t="shared" ca="1" si="0"/>
        <v>14478.52</v>
      </c>
      <c r="M9" s="16"/>
      <c r="N9" s="16">
        <f t="shared" ca="1" si="3"/>
        <v>0</v>
      </c>
      <c r="O9" s="11" cm="1">
        <f t="array" aca="1" ref="O9" ca="1">INDIRECT("'data'!$U$" &amp; $A$1)*parameters!$B$15</f>
        <v>11538.52</v>
      </c>
      <c r="P9" s="13" cm="1">
        <f t="array" aca="1" ref="P9" ca="1">-INDIRECT("'data'!$V$" &amp; $A$1)*parameters!$B$15</f>
        <v>-1274.98</v>
      </c>
      <c r="Q9" s="16" cm="1">
        <f t="array" aca="1" ref="Q9" ca="1">INDIRECT("'data'!$T$" &amp; $A$1)*parameters!$B$15</f>
        <v>24742.06</v>
      </c>
      <c r="R9" s="16">
        <f t="shared" ca="1" si="2"/>
        <v>24742.06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13097.548051209104</v>
      </c>
      <c r="L10" s="16">
        <f t="shared" ca="1" si="0"/>
        <v>13097.548051209104</v>
      </c>
      <c r="M10" s="16"/>
      <c r="N10" s="16">
        <f t="shared" ca="1" si="3"/>
        <v>0</v>
      </c>
      <c r="O10" s="11" cm="1">
        <f t="array" aca="1" ref="O10" ca="1">INDIRECT("'data'!$X$" &amp; $A$1)*parameters!$B$15</f>
        <v>1825.74</v>
      </c>
      <c r="P10" s="13" cm="1">
        <f t="array" aca="1" ref="P10" ca="1">-INDIRECT("'data'!$Y$" &amp; $A$1)*parameters!$B$15</f>
        <v>-6317.08</v>
      </c>
      <c r="Q10" s="16" cm="1">
        <f t="array" aca="1" ref="Q10" ca="1">INDIRECT("'data'!$W$" &amp; $A$1)*parameters!$B$15</f>
        <v>8606.2080512091034</v>
      </c>
      <c r="R10" s="16">
        <f t="shared" ca="1" si="2"/>
        <v>8606.2080512091034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23561.48012403983</v>
      </c>
      <c r="N11" s="19"/>
      <c r="O11" s="21" cm="1">
        <f t="array" aca="1" ref="O11" ca="1">INDIRECT("'data'!$Z$" &amp; $A$1)*parameters!$B$15</f>
        <v>5361.58</v>
      </c>
      <c r="P11" s="27" cm="1">
        <f t="array" aca="1" ref="P11" ca="1">-INDIRECT("'data'!$AA$" &amp; $A$1)*parameters!$B$15</f>
        <v>-4049.36</v>
      </c>
      <c r="Q11" s="16">
        <f ca="1">K9*parameters!$B$10+K10*parameters!$B$11</f>
        <v>24873.700124039828</v>
      </c>
      <c r="R11" s="16">
        <f t="shared" ref="R11:R17" ca="1" si="4">SUM(L11:P11)</f>
        <v>24873.700124039831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-51.602591828519508</v>
      </c>
      <c r="D12" s="9">
        <f ca="1">-(D17-Q4)</f>
        <v>0</v>
      </c>
      <c r="E12" s="9">
        <f ca="1">-(E17-Q5)</f>
        <v>-695.80258026026331</v>
      </c>
      <c r="F12" s="9">
        <f ca="1">-(F17-Q6)</f>
        <v>-604.03731343283653</v>
      </c>
      <c r="G12" s="9">
        <f ca="1">-(G17-Q7)</f>
        <v>-1169.5281086729374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-2520.9705941945567</v>
      </c>
      <c r="M12" s="17"/>
      <c r="N12" s="17"/>
      <c r="O12" s="10"/>
      <c r="P12" s="12"/>
      <c r="Q12" s="9">
        <f t="shared" ref="Q12:Q17" ca="1" si="6">SUM(L12:P12)</f>
        <v>-2520.9705941945567</v>
      </c>
      <c r="R12" s="17">
        <f t="shared" ca="1" si="4"/>
        <v>-2520.9705941945567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-1622.9793944498088</v>
      </c>
      <c r="J13" s="14">
        <f ca="1">-(J17-Q10)</f>
        <v>-564.53255434108723</v>
      </c>
      <c r="K13" s="13">
        <f ca="1">-(K17-Q11)</f>
        <v>-2702.3679271692781</v>
      </c>
      <c r="L13" s="14">
        <f t="shared" ca="1" si="5"/>
        <v>-4889.8798759601741</v>
      </c>
      <c r="M13" s="16">
        <f ca="1">-E15</f>
        <v>-1435.5981264058601</v>
      </c>
      <c r="N13" s="16"/>
      <c r="O13" s="11"/>
      <c r="P13" s="13"/>
      <c r="Q13" s="14">
        <f t="shared" ca="1" si="6"/>
        <v>-6325.4780023660342</v>
      </c>
      <c r="R13" s="16">
        <f t="shared" ca="1" si="4"/>
        <v>-6325.4780023660342</v>
      </c>
    </row>
    <row r="14" spans="1:20">
      <c r="A14" s="18" t="s">
        <v>78</v>
      </c>
      <c r="B14" s="11"/>
      <c r="C14" s="14"/>
      <c r="D14" s="14"/>
      <c r="E14" s="14">
        <f ca="1">-(I13+J13)-K13</f>
        <v>4889.8798759601741</v>
      </c>
      <c r="F14" s="14"/>
      <c r="G14" s="14"/>
      <c r="H14" s="14"/>
      <c r="I14" s="14"/>
      <c r="J14" s="14"/>
      <c r="K14" s="13"/>
      <c r="L14" s="14">
        <f t="shared" ca="1" si="5"/>
        <v>4889.8798759601741</v>
      </c>
      <c r="M14" s="16"/>
      <c r="N14" s="16"/>
      <c r="O14" s="11"/>
      <c r="P14" s="13"/>
      <c r="Q14" s="14">
        <f t="shared" ca="1" si="6"/>
        <v>4889.8798759601741</v>
      </c>
      <c r="R14" s="16">
        <f t="shared" ca="1" si="4"/>
        <v>4889.8798759601741</v>
      </c>
    </row>
    <row r="15" spans="1:20">
      <c r="A15" s="18" t="s">
        <v>79</v>
      </c>
      <c r="B15" s="11"/>
      <c r="C15" s="14"/>
      <c r="D15" s="14"/>
      <c r="E15" s="14">
        <f ca="1">E17-E14</f>
        <v>1435.5981264058601</v>
      </c>
      <c r="F15" s="14"/>
      <c r="G15" s="14"/>
      <c r="H15" s="14"/>
      <c r="I15" s="14"/>
      <c r="J15" s="14"/>
      <c r="K15" s="13"/>
      <c r="L15" s="14">
        <f t="shared" ca="1" si="5"/>
        <v>1435.5981264058601</v>
      </c>
      <c r="M15" s="16"/>
      <c r="N15" s="16"/>
      <c r="O15" s="11"/>
      <c r="P15" s="13"/>
      <c r="Q15" s="14">
        <f t="shared" ca="1" si="6"/>
        <v>1435.5981264058601</v>
      </c>
      <c r="R15" s="16">
        <f t="shared" ca="1" si="4"/>
        <v>1435.5981264058601</v>
      </c>
    </row>
    <row r="16" spans="1:20">
      <c r="A16" s="30" t="s">
        <v>89</v>
      </c>
      <c r="B16" s="21">
        <f ca="1">Q2</f>
        <v>4900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4900</v>
      </c>
      <c r="M16" s="19"/>
      <c r="N16" s="19"/>
      <c r="O16" s="21"/>
      <c r="P16" s="27"/>
      <c r="Q16" s="22">
        <f t="shared" ca="1" si="6"/>
        <v>4900</v>
      </c>
      <c r="R16" s="19">
        <f t="shared" ca="1" si="4"/>
        <v>4900</v>
      </c>
    </row>
    <row r="17" spans="1:18">
      <c r="A17" s="29" t="s">
        <v>88</v>
      </c>
      <c r="B17" s="9">
        <f ca="1">B16</f>
        <v>4900</v>
      </c>
      <c r="C17" s="9">
        <f ca="1">SUM(C$2:C$11)</f>
        <v>8190.8875918285194</v>
      </c>
      <c r="D17" s="9">
        <f ca="1">SUM(D$2:D$11)</f>
        <v>0</v>
      </c>
      <c r="E17" s="9">
        <f ca="1">$Q$5/parameters!$B$4</f>
        <v>6325.4780023660342</v>
      </c>
      <c r="F17" s="9">
        <f t="shared" ref="F17:K17" ca="1" si="7">SUM(F$2:F$11)</f>
        <v>9742.5373134328365</v>
      </c>
      <c r="G17" s="9">
        <f t="shared" ca="1" si="7"/>
        <v>27198.328108672937</v>
      </c>
      <c r="H17" s="9">
        <f t="shared" ca="1" si="7"/>
        <v>35167.300000000003</v>
      </c>
      <c r="I17" s="9">
        <f t="shared" ca="1" si="7"/>
        <v>26365.03939444981</v>
      </c>
      <c r="J17" s="9">
        <f t="shared" ca="1" si="7"/>
        <v>9170.7406055501906</v>
      </c>
      <c r="K17" s="9">
        <f t="shared" ca="1" si="7"/>
        <v>27576.068051209106</v>
      </c>
      <c r="L17" s="17">
        <f t="shared" ca="1" si="5"/>
        <v>154636.37906750944</v>
      </c>
      <c r="M17" s="17"/>
      <c r="N17" s="17"/>
      <c r="O17" s="9"/>
      <c r="P17" s="14"/>
      <c r="Q17" s="11">
        <f t="shared" ca="1" si="6"/>
        <v>154636.37906750944</v>
      </c>
      <c r="R17" s="17">
        <f t="shared" ca="1" si="4"/>
        <v>154636.37906750944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0.93844198864381489</v>
      </c>
      <c r="J18" s="39">
        <f ca="1">I18</f>
        <v>0.93844198864381489</v>
      </c>
      <c r="K18" s="40">
        <f ca="1">1-(-K13)/K17</f>
        <v>0.90200314554812722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25581.66448626346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25581.66448626346</v>
      </c>
      <c r="M2" s="17"/>
      <c r="N2" s="17">
        <f ca="1">Q2-(L2+O2+P2)</f>
        <v>20183.585513736529</v>
      </c>
      <c r="O2" s="11" cm="1">
        <f t="array" aca="1" ref="O2" ca="1">INDIRECT("'data'!$F$" &amp; $A$1)</f>
        <v>212234.75</v>
      </c>
      <c r="P2" s="13">
        <f ca="1">IF(-(L2-Q2+O2)&lt;0, -(L2-Q2+O2), 0)</f>
        <v>0</v>
      </c>
      <c r="Q2" s="17" cm="1">
        <f t="array" aca="1" ref="Q2" ca="1">INDIRECT("'data'!$D$" &amp; $A$1)</f>
        <v>258000</v>
      </c>
      <c r="R2" s="17">
        <f ca="1">SUM(L2:P2)</f>
        <v>258000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22090.746268656716</v>
      </c>
      <c r="G3" s="14">
        <f ca="1">Q3-O3-P3-F3</f>
        <v>469.2387313432846</v>
      </c>
      <c r="H3" s="14"/>
      <c r="I3" s="14"/>
      <c r="J3" s="14"/>
      <c r="K3" s="13"/>
      <c r="L3" s="16">
        <f t="shared" ca="1" si="0"/>
        <v>22559.985000000001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2860.5149999999999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25420.5</v>
      </c>
      <c r="R3" s="16">
        <f t="shared" ref="R3:R10" ca="1" si="2">SUM(L3:P3)</f>
        <v>25420.5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5522.686567164179</v>
      </c>
      <c r="G5" s="14">
        <f ca="1">Q7/parameters!$B$7-(G3+G4)</f>
        <v>7819.2879144247399</v>
      </c>
      <c r="H5" s="14"/>
      <c r="I5" s="14"/>
      <c r="J5" s="14"/>
      <c r="K5" s="13"/>
      <c r="L5" s="16">
        <f t="shared" ca="1" si="0"/>
        <v>13341.974481588919</v>
      </c>
      <c r="M5" s="16"/>
      <c r="N5" s="16"/>
      <c r="O5" s="11" cm="1">
        <f t="array" aca="1" ref="O5" ca="1">INDIRECT("'data'!$M$" &amp; $A$1)*parameters!$B$15</f>
        <v>435.12</v>
      </c>
      <c r="P5" s="13" cm="1">
        <f t="array" aca="1" ref="P5" ca="1">-INDIRECT("'data'!$N$" &amp; $A$1)*parameters!$B$15</f>
        <v>-49.98</v>
      </c>
      <c r="Q5" s="16">
        <f ca="1">SUM(L5:P5)</f>
        <v>13727.11448158892</v>
      </c>
      <c r="R5" s="16">
        <f t="shared" ca="1" si="2"/>
        <v>13727.11448158892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25901.399999999998</v>
      </c>
      <c r="I6" s="14"/>
      <c r="J6" s="14"/>
      <c r="K6" s="13"/>
      <c r="L6" s="16">
        <f t="shared" ca="1" si="0"/>
        <v>25901.399999999998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25901.399999999998</v>
      </c>
      <c r="R6" s="16">
        <f t="shared" ca="1" si="2"/>
        <v>25901.399999999998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7932.12</v>
      </c>
      <c r="I7" s="14"/>
      <c r="J7" s="14"/>
      <c r="K7" s="13"/>
      <c r="L7" s="16">
        <f t="shared" ca="1" si="0"/>
        <v>7932.12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7932.12</v>
      </c>
      <c r="R7" s="16">
        <f t="shared" ca="1" si="2"/>
        <v>7932.12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11690.783096041827</v>
      </c>
      <c r="J8" s="14">
        <f ca="1">Q10/J18</f>
        <v>15669.836903958172</v>
      </c>
      <c r="K8" s="13"/>
      <c r="L8" s="16">
        <f t="shared" ca="1" si="0"/>
        <v>27360.62</v>
      </c>
      <c r="M8" s="16"/>
      <c r="N8" s="16">
        <f t="shared" ca="1" si="3"/>
        <v>0</v>
      </c>
      <c r="O8" s="11" cm="1">
        <f t="array" aca="1" ref="O8" ca="1">INDIRECT("'data'!$R$" &amp; $A$1)*parameters!$B$15</f>
        <v>6504.26</v>
      </c>
      <c r="P8" s="13" cm="1">
        <f t="array" aca="1" ref="P8" ca="1">-INDIRECT("'data'!$S$" &amp; $A$1)*parameters!$B$15</f>
        <v>-31.36</v>
      </c>
      <c r="Q8" s="16">
        <f ca="1">SUM(Q6:Q7)</f>
        <v>33833.519999999997</v>
      </c>
      <c r="R8" s="16">
        <f t="shared" ca="1" si="2"/>
        <v>33833.519999999997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11054.399999999998</v>
      </c>
      <c r="L9" s="16">
        <f t="shared" ca="1" si="0"/>
        <v>11054.399999999998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799.68</v>
      </c>
      <c r="P9" s="13" cm="1">
        <f t="array" aca="1" ref="P9" ca="1">-INDIRECT("'data'!$V$" &amp; $A$1)*parameters!$B$15</f>
        <v>-1272.04</v>
      </c>
      <c r="Q9" s="16" cm="1">
        <f t="array" aca="1" ref="Q9" ca="1">INDIRECT("'data'!$T$" &amp; $A$1)*parameters!$B$15</f>
        <v>10582.039999999999</v>
      </c>
      <c r="R9" s="16">
        <f t="shared" ca="1" si="2"/>
        <v>10582.039999999997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14321.9040113798</v>
      </c>
      <c r="L10" s="16">
        <f t="shared" ca="1" si="0"/>
        <v>14321.9040113798</v>
      </c>
      <c r="M10" s="16"/>
      <c r="N10" s="16">
        <f t="shared" ca="1" si="3"/>
        <v>0</v>
      </c>
      <c r="O10" s="11" cm="1">
        <f t="array" aca="1" ref="O10" ca="1">INDIRECT("'data'!$X$" &amp; $A$1)*parameters!$B$15</f>
        <v>1920.8</v>
      </c>
      <c r="P10" s="13" cm="1">
        <f t="array" aca="1" ref="P10" ca="1">-INDIRECT("'data'!$Y$" &amp; $A$1)*parameters!$B$15</f>
        <v>-2058.98</v>
      </c>
      <c r="Q10" s="16" cm="1">
        <f t="array" aca="1" ref="Q10" ca="1">INDIRECT("'data'!$W$" &amp; $A$1)*parameters!$B$15</f>
        <v>14183.7240113798</v>
      </c>
      <c r="R10" s="16">
        <f t="shared" ca="1" si="2"/>
        <v>14183.7240113798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24609.173449786624</v>
      </c>
      <c r="N11" s="19"/>
      <c r="O11" s="21" cm="1">
        <f t="array" aca="1" ref="O11" ca="1">INDIRECT("'data'!$Z$" &amp; $A$1)*parameters!$B$15</f>
        <v>2755.7599999999998</v>
      </c>
      <c r="P11" s="27" cm="1">
        <f t="array" aca="1" ref="P11" ca="1">-INDIRECT("'data'!$AA$" &amp; $A$1)*parameters!$B$15</f>
        <v>-4656.96</v>
      </c>
      <c r="Q11" s="16">
        <f ca="1">K9*parameters!$B$10+K10*parameters!$B$11</f>
        <v>22707.973449786623</v>
      </c>
      <c r="R11" s="16">
        <f t="shared" ref="R11:R17" ca="1" si="4">SUM(L11:P11)</f>
        <v>22707.973449786623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-161.16448626346028</v>
      </c>
      <c r="D12" s="9">
        <f ca="1">-(D17-Q4)</f>
        <v>0</v>
      </c>
      <c r="E12" s="9">
        <f ca="1">-(E17-Q5)</f>
        <v>-1696.6096550278435</v>
      </c>
      <c r="F12" s="9">
        <f ca="1">-(F17-Q6)</f>
        <v>-1712.0328358208972</v>
      </c>
      <c r="G12" s="9">
        <f ca="1">-(G17-Q7)</f>
        <v>-356.40664576802465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-3926.2136228802256</v>
      </c>
      <c r="M12" s="17"/>
      <c r="N12" s="17"/>
      <c r="O12" s="10"/>
      <c r="P12" s="12"/>
      <c r="Q12" s="9">
        <f t="shared" ref="Q12:Q17" ca="1" si="6">SUM(L12:P12)</f>
        <v>-3926.2136228802256</v>
      </c>
      <c r="R12" s="17">
        <f t="shared" ca="1" si="4"/>
        <v>-3926.2136228802256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-1108.7430960418278</v>
      </c>
      <c r="J13" s="14">
        <f ca="1">-(J17-Q10)</f>
        <v>-1486.1128925783723</v>
      </c>
      <c r="K13" s="13">
        <f ca="1">-(K17-Q11)</f>
        <v>-2668.3305615931749</v>
      </c>
      <c r="L13" s="14">
        <f t="shared" ca="1" si="5"/>
        <v>-5263.1865502133751</v>
      </c>
      <c r="M13" s="16">
        <f ca="1">-E15</f>
        <v>-10160.537586403389</v>
      </c>
      <c r="N13" s="16"/>
      <c r="O13" s="11"/>
      <c r="P13" s="13"/>
      <c r="Q13" s="14">
        <f t="shared" ca="1" si="6"/>
        <v>-15423.724136616764</v>
      </c>
      <c r="R13" s="16">
        <f t="shared" ca="1" si="4"/>
        <v>-15423.724136616764</v>
      </c>
    </row>
    <row r="14" spans="1:20">
      <c r="A14" s="18" t="s">
        <v>78</v>
      </c>
      <c r="B14" s="11"/>
      <c r="C14" s="14"/>
      <c r="D14" s="14"/>
      <c r="E14" s="14">
        <f ca="1">-(I13+J13)-K13</f>
        <v>5263.1865502133751</v>
      </c>
      <c r="F14" s="14"/>
      <c r="G14" s="14"/>
      <c r="H14" s="14"/>
      <c r="I14" s="14"/>
      <c r="J14" s="14"/>
      <c r="K14" s="13"/>
      <c r="L14" s="14">
        <f t="shared" ca="1" si="5"/>
        <v>5263.1865502133751</v>
      </c>
      <c r="M14" s="16"/>
      <c r="N14" s="16"/>
      <c r="O14" s="11"/>
      <c r="P14" s="13"/>
      <c r="Q14" s="14">
        <f t="shared" ca="1" si="6"/>
        <v>5263.1865502133751</v>
      </c>
      <c r="R14" s="16">
        <f t="shared" ca="1" si="4"/>
        <v>5263.1865502133751</v>
      </c>
    </row>
    <row r="15" spans="1:20">
      <c r="A15" s="18" t="s">
        <v>79</v>
      </c>
      <c r="B15" s="11"/>
      <c r="C15" s="14"/>
      <c r="D15" s="14"/>
      <c r="E15" s="14">
        <f ca="1">E17-E14</f>
        <v>10160.537586403389</v>
      </c>
      <c r="F15" s="14"/>
      <c r="G15" s="14"/>
      <c r="H15" s="14"/>
      <c r="I15" s="14"/>
      <c r="J15" s="14"/>
      <c r="K15" s="13"/>
      <c r="L15" s="14">
        <f t="shared" ca="1" si="5"/>
        <v>10160.537586403389</v>
      </c>
      <c r="M15" s="16"/>
      <c r="N15" s="16"/>
      <c r="O15" s="11"/>
      <c r="P15" s="13"/>
      <c r="Q15" s="14">
        <f t="shared" ca="1" si="6"/>
        <v>10160.537586403389</v>
      </c>
      <c r="R15" s="16">
        <f t="shared" ca="1" si="4"/>
        <v>10160.537586403389</v>
      </c>
    </row>
    <row r="16" spans="1:20">
      <c r="A16" s="30" t="s">
        <v>89</v>
      </c>
      <c r="B16" s="21">
        <f ca="1">Q2</f>
        <v>258000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258000</v>
      </c>
      <c r="M16" s="19"/>
      <c r="N16" s="19"/>
      <c r="O16" s="21"/>
      <c r="P16" s="27"/>
      <c r="Q16" s="22">
        <f t="shared" ca="1" si="6"/>
        <v>258000</v>
      </c>
      <c r="R16" s="19">
        <f t="shared" ca="1" si="4"/>
        <v>258000</v>
      </c>
    </row>
    <row r="17" spans="1:18">
      <c r="A17" s="29" t="s">
        <v>88</v>
      </c>
      <c r="B17" s="9">
        <f ca="1">B16</f>
        <v>258000</v>
      </c>
      <c r="C17" s="9">
        <f ca="1">SUM(C$2:C$11)</f>
        <v>25581.66448626346</v>
      </c>
      <c r="D17" s="9">
        <f ca="1">SUM(D$2:D$11)</f>
        <v>0</v>
      </c>
      <c r="E17" s="9">
        <f ca="1">$Q$5/parameters!$B$4</f>
        <v>15423.724136616764</v>
      </c>
      <c r="F17" s="9">
        <f t="shared" ref="F17:K17" ca="1" si="7">SUM(F$2:F$11)</f>
        <v>27613.432835820895</v>
      </c>
      <c r="G17" s="9">
        <f t="shared" ca="1" si="7"/>
        <v>8288.5266457680245</v>
      </c>
      <c r="H17" s="9">
        <f t="shared" ca="1" si="7"/>
        <v>33833.519999999997</v>
      </c>
      <c r="I17" s="9">
        <f t="shared" ca="1" si="7"/>
        <v>11690.783096041827</v>
      </c>
      <c r="J17" s="9">
        <f t="shared" ca="1" si="7"/>
        <v>15669.836903958172</v>
      </c>
      <c r="K17" s="9">
        <f t="shared" ca="1" si="7"/>
        <v>25376.304011379798</v>
      </c>
      <c r="L17" s="17">
        <f t="shared" ca="1" si="5"/>
        <v>421477.79211584892</v>
      </c>
      <c r="M17" s="17"/>
      <c r="N17" s="17"/>
      <c r="O17" s="9"/>
      <c r="P17" s="14"/>
      <c r="Q17" s="11">
        <f t="shared" ca="1" si="6"/>
        <v>421477.79211584892</v>
      </c>
      <c r="R17" s="17">
        <f t="shared" ca="1" si="4"/>
        <v>421477.79211584892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0.90516092147691829</v>
      </c>
      <c r="J18" s="39">
        <f ca="1">I18</f>
        <v>0.90516092147691829</v>
      </c>
      <c r="K18" s="40">
        <f ca="1">1-(-K13)/K17</f>
        <v>0.89484951944157887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1798.1599073679247</v>
      </c>
      <c r="D2" s="9">
        <f ca="1">Q4/parameters!$B$3</f>
        <v>9461.1890088139717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11259.348916181896</v>
      </c>
      <c r="M2" s="17"/>
      <c r="N2" s="17">
        <f ca="1">Q2-(L2+O2+P2)</f>
        <v>0</v>
      </c>
      <c r="O2" s="11" cm="1">
        <f t="array" aca="1" ref="O2" ca="1">INDIRECT("'data'!$F$" &amp; $A$1)</f>
        <v>11397.1</v>
      </c>
      <c r="P2" s="13">
        <f ca="1">IF(-(L2-Q2+O2)&lt;0, -(L2-Q2+O2), 0)</f>
        <v>-7656.8881465662307</v>
      </c>
      <c r="Q2" s="17" cm="1">
        <f t="array" aca="1" ref="Q2" ca="1">INDIRECT("'data'!$D$" &amp; $A$1)</f>
        <v>14999.560769615666</v>
      </c>
      <c r="R2" s="17">
        <f ca="1">SUM(L2:P2)</f>
        <v>14999.560769615666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1780.3298507462691</v>
      </c>
      <c r="G3" s="14">
        <f ca="1">Q3-O3-P3-F3</f>
        <v>6.5016492052377544</v>
      </c>
      <c r="H3" s="14"/>
      <c r="I3" s="14"/>
      <c r="J3" s="14"/>
      <c r="K3" s="13"/>
      <c r="L3" s="16">
        <f t="shared" ca="1" si="0"/>
        <v>1786.8314999515069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1786.8314999515069</v>
      </c>
      <c r="R3" s="16">
        <f t="shared" ref="R3:R10" ca="1" si="2">SUM(L3:P3)</f>
        <v>1786.8314999515069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9401.5835180584436</v>
      </c>
      <c r="H4" s="14"/>
      <c r="I4" s="14"/>
      <c r="J4" s="14"/>
      <c r="K4" s="13"/>
      <c r="L4" s="16">
        <f t="shared" ca="1" si="0"/>
        <v>9401.5835180584436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9401.5835180584436</v>
      </c>
      <c r="R4" s="16">
        <f t="shared" ca="1" si="2"/>
        <v>9401.5835180584436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Q6/parameters!$B$5*21%</f>
        <v>473.25223880597025</v>
      </c>
      <c r="G5" s="14">
        <f ca="1">Q7/parameters!$B$7-(G3+G4)</f>
        <v>3193.6703186297345</v>
      </c>
      <c r="H5" s="14"/>
      <c r="I5" s="14"/>
      <c r="J5" s="14"/>
      <c r="K5" s="13"/>
      <c r="L5" s="16">
        <f t="shared" ca="1" si="0"/>
        <v>3666.9225574357047</v>
      </c>
      <c r="M5" s="16"/>
      <c r="N5" s="16"/>
      <c r="O5" s="11" cm="1">
        <f t="array" aca="1" ref="O5" ca="1">INDIRECT("'data'!$M$" &amp; $A$1)*parameters!$B$15</f>
        <v>20.58</v>
      </c>
      <c r="P5" s="13" cm="1">
        <f t="array" aca="1" ref="P5" ca="1">-INDIRECT("'data'!$N$" &amp; $A$1)*parameters!$B$15</f>
        <v>-4.9000000000000004</v>
      </c>
      <c r="Q5" s="16">
        <f ca="1">SUM(L5:P5)</f>
        <v>3682.6025574357045</v>
      </c>
      <c r="R5" s="16">
        <f t="shared" ca="1" si="2"/>
        <v>3682.6025574357045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2113.86</v>
      </c>
      <c r="I6" s="14"/>
      <c r="J6" s="14"/>
      <c r="K6" s="13"/>
      <c r="L6" s="16">
        <f t="shared" ca="1" si="0"/>
        <v>2113.86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2113.86</v>
      </c>
      <c r="R6" s="16">
        <f t="shared" ca="1" si="2"/>
        <v>2113.86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12059.88</v>
      </c>
      <c r="I7" s="14"/>
      <c r="J7" s="14"/>
      <c r="K7" s="13"/>
      <c r="L7" s="16">
        <f t="shared" ca="1" si="0"/>
        <v>12059.88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12059.88</v>
      </c>
      <c r="R7" s="16">
        <f t="shared" ca="1" si="2"/>
        <v>12059.88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8785</v>
      </c>
      <c r="J8" s="14">
        <f ca="1">Q10/J18</f>
        <v>8234.8620199146517</v>
      </c>
      <c r="K8" s="13"/>
      <c r="L8" s="16">
        <f t="shared" ca="1" si="0"/>
        <v>17019.862019914654</v>
      </c>
      <c r="M8" s="16"/>
      <c r="N8" s="16">
        <f t="shared" ca="1" si="3"/>
        <v>-835.16201991465277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-2011.94</v>
      </c>
      <c r="Q8" s="16">
        <f ca="1">SUM(Q6:Q7)</f>
        <v>14173.74</v>
      </c>
      <c r="R8" s="16">
        <f t="shared" ca="1" si="2"/>
        <v>14173.74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9215.92</v>
      </c>
      <c r="L9" s="16">
        <f t="shared" ca="1" si="0"/>
        <v>9215.92</v>
      </c>
      <c r="M9" s="16"/>
      <c r="N9" s="16">
        <f t="shared" ca="1" si="3"/>
        <v>0</v>
      </c>
      <c r="O9" s="11" cm="1">
        <f t="array" aca="1" ref="O9" ca="1">INDIRECT("'data'!$U$" &amp; $A$1)*parameters!$B$15</f>
        <v>30.38</v>
      </c>
      <c r="P9" s="13" cm="1">
        <f t="array" aca="1" ref="P9" ca="1">-INDIRECT("'data'!$V$" &amp; $A$1)*parameters!$B$15</f>
        <v>-637</v>
      </c>
      <c r="Q9" s="16" cm="1">
        <f t="array" aca="1" ref="Q9" ca="1">INDIRECT("'data'!$T$" &amp; $A$1)*parameters!$B$15</f>
        <v>8609.2999999999993</v>
      </c>
      <c r="R9" s="16">
        <f t="shared" ca="1" si="2"/>
        <v>8609.2999999999993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9857.6847795163576</v>
      </c>
      <c r="L10" s="16">
        <f t="shared" ca="1" si="0"/>
        <v>9857.6847795163576</v>
      </c>
      <c r="M10" s="16"/>
      <c r="N10" s="16">
        <f t="shared" ca="1" si="3"/>
        <v>0</v>
      </c>
      <c r="O10" s="11" cm="1">
        <f t="array" aca="1" ref="O10" ca="1">INDIRECT("'data'!$X$" &amp; $A$1)*parameters!$B$15</f>
        <v>220.5</v>
      </c>
      <c r="P10" s="13" cm="1">
        <f t="array" aca="1" ref="P10" ca="1">-INDIRECT("'data'!$Y$" &amp; $A$1)*parameters!$B$15</f>
        <v>-2008.02</v>
      </c>
      <c r="Q10" s="16" cm="1">
        <f t="array" aca="1" ref="Q10" ca="1">INDIRECT("'data'!$W$" &amp; $A$1)*parameters!$B$15</f>
        <v>8070.1647795163581</v>
      </c>
      <c r="R10" s="16">
        <f t="shared" ca="1" si="2"/>
        <v>8070.1647795163572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18788.933710384066</v>
      </c>
      <c r="N11" s="19"/>
      <c r="O11" s="21" cm="1">
        <f t="array" aca="1" ref="O11" ca="1">INDIRECT("'data'!$Z$" &amp; $A$1)*parameters!$B$15</f>
        <v>106.82</v>
      </c>
      <c r="P11" s="27" cm="1">
        <f t="array" aca="1" ref="P11" ca="1">-INDIRECT("'data'!$AA$" &amp; $A$1)*parameters!$B$15</f>
        <v>-1755.18</v>
      </c>
      <c r="Q11" s="16">
        <f ca="1">K9*parameters!$B$10+K10*parameters!$B$11</f>
        <v>17140.573710384066</v>
      </c>
      <c r="R11" s="16">
        <f t="shared" ref="R11:R17" ca="1" si="4">SUM(L11:P11)</f>
        <v>17140.573710384066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-11.328407416417804</v>
      </c>
      <c r="D12" s="9">
        <f ca="1">-(D17-Q4)</f>
        <v>-59.605490755528081</v>
      </c>
      <c r="E12" s="9">
        <f ca="1">-(E17-Q5)</f>
        <v>-455.15312507632279</v>
      </c>
      <c r="F12" s="9">
        <f ca="1">-(F17-Q6)</f>
        <v>-139.72208955223914</v>
      </c>
      <c r="G12" s="9">
        <f ca="1">-(G17-Q7)</f>
        <v>-541.87548589341714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-1207.684598693925</v>
      </c>
      <c r="M12" s="17"/>
      <c r="N12" s="17"/>
      <c r="O12" s="10"/>
      <c r="P12" s="12"/>
      <c r="Q12" s="9">
        <f t="shared" ref="Q12:Q17" ca="1" si="6">SUM(L12:P12)</f>
        <v>-1207.684598693925</v>
      </c>
      <c r="R12" s="17">
        <f t="shared" ca="1" si="4"/>
        <v>-1207.684598693925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-175.70000000000073</v>
      </c>
      <c r="J13" s="14">
        <f ca="1">-(J17-Q10)</f>
        <v>-164.69724039829362</v>
      </c>
      <c r="K13" s="13">
        <f ca="1">-(K17-Q11)</f>
        <v>-1933.031069132292</v>
      </c>
      <c r="L13" s="14">
        <f t="shared" ca="1" si="5"/>
        <v>-2273.4283095305864</v>
      </c>
      <c r="M13" s="16">
        <f ca="1">-E15</f>
        <v>-1864.3273729814409</v>
      </c>
      <c r="N13" s="16"/>
      <c r="O13" s="11"/>
      <c r="P13" s="13"/>
      <c r="Q13" s="14">
        <f t="shared" ca="1" si="6"/>
        <v>-4137.7556825120273</v>
      </c>
      <c r="R13" s="16">
        <f t="shared" ca="1" si="4"/>
        <v>-4137.7556825120273</v>
      </c>
    </row>
    <row r="14" spans="1:22">
      <c r="A14" s="18" t="s">
        <v>78</v>
      </c>
      <c r="B14" s="11"/>
      <c r="C14" s="14"/>
      <c r="D14" s="14"/>
      <c r="E14" s="14">
        <f ca="1">-(I13+J13)-K13</f>
        <v>2273.4283095305864</v>
      </c>
      <c r="F14" s="14"/>
      <c r="G14" s="14"/>
      <c r="H14" s="14"/>
      <c r="I14" s="14"/>
      <c r="J14" s="14"/>
      <c r="K14" s="13"/>
      <c r="L14" s="14">
        <f t="shared" ca="1" si="5"/>
        <v>2273.4283095305864</v>
      </c>
      <c r="M14" s="16"/>
      <c r="N14" s="16"/>
      <c r="O14" s="11"/>
      <c r="P14" s="13"/>
      <c r="Q14" s="14">
        <f t="shared" ca="1" si="6"/>
        <v>2273.4283095305864</v>
      </c>
      <c r="R14" s="16">
        <f t="shared" ca="1" si="4"/>
        <v>2273.4283095305864</v>
      </c>
    </row>
    <row r="15" spans="1:22">
      <c r="A15" s="18" t="s">
        <v>79</v>
      </c>
      <c r="B15" s="11"/>
      <c r="C15" s="14"/>
      <c r="D15" s="14"/>
      <c r="E15" s="14">
        <f ca="1">E17-E14</f>
        <v>1864.3273729814409</v>
      </c>
      <c r="F15" s="14"/>
      <c r="G15" s="14"/>
      <c r="H15" s="14"/>
      <c r="I15" s="14"/>
      <c r="J15" s="14"/>
      <c r="K15" s="13"/>
      <c r="L15" s="14">
        <f t="shared" ca="1" si="5"/>
        <v>1864.3273729814409</v>
      </c>
      <c r="M15" s="16"/>
      <c r="N15" s="16"/>
      <c r="O15" s="11"/>
      <c r="P15" s="13"/>
      <c r="Q15" s="14">
        <f t="shared" ca="1" si="6"/>
        <v>1864.3273729814409</v>
      </c>
      <c r="R15" s="16">
        <f t="shared" ca="1" si="4"/>
        <v>1864.3273729814409</v>
      </c>
    </row>
    <row r="16" spans="1:22">
      <c r="A16" s="30" t="s">
        <v>89</v>
      </c>
      <c r="B16" s="21">
        <f ca="1">Q2</f>
        <v>14999.560769615666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14999.560769615666</v>
      </c>
      <c r="M16" s="19"/>
      <c r="N16" s="19"/>
      <c r="O16" s="21"/>
      <c r="P16" s="27"/>
      <c r="Q16" s="22">
        <f t="shared" ca="1" si="6"/>
        <v>14999.560769615666</v>
      </c>
      <c r="R16" s="19">
        <f t="shared" ca="1" si="4"/>
        <v>14999.560769615666</v>
      </c>
    </row>
    <row r="17" spans="1:18">
      <c r="A17" s="29" t="s">
        <v>88</v>
      </c>
      <c r="B17" s="9">
        <f ca="1">B16</f>
        <v>14999.560769615666</v>
      </c>
      <c r="C17" s="9">
        <f ca="1">SUM(C$2:C$11)</f>
        <v>1798.1599073679247</v>
      </c>
      <c r="D17" s="9">
        <f ca="1">SUM(D$2:D$11)</f>
        <v>9461.1890088139717</v>
      </c>
      <c r="E17" s="9">
        <f ca="1">$Q$5/parameters!$B$4</f>
        <v>4137.7556825120273</v>
      </c>
      <c r="F17" s="9">
        <f t="shared" ref="F17:K17" ca="1" si="7">SUM(F$2:F$11)</f>
        <v>2253.5820895522393</v>
      </c>
      <c r="G17" s="9">
        <f t="shared" ca="1" si="7"/>
        <v>12601.755485893416</v>
      </c>
      <c r="H17" s="9">
        <f t="shared" ca="1" si="7"/>
        <v>14173.74</v>
      </c>
      <c r="I17" s="9">
        <f t="shared" ca="1" si="7"/>
        <v>8785</v>
      </c>
      <c r="J17" s="9">
        <f t="shared" ca="1" si="7"/>
        <v>8234.8620199146517</v>
      </c>
      <c r="K17" s="9">
        <f t="shared" ca="1" si="7"/>
        <v>19073.604779516358</v>
      </c>
      <c r="L17" s="17">
        <f t="shared" ca="1" si="5"/>
        <v>95519.209743186249</v>
      </c>
      <c r="M17" s="17"/>
      <c r="N17" s="17"/>
      <c r="O17" s="9"/>
      <c r="P17" s="14"/>
      <c r="Q17" s="11">
        <f t="shared" ca="1" si="6"/>
        <v>95519.209743186249</v>
      </c>
      <c r="R17" s="17">
        <f t="shared" ca="1" si="4"/>
        <v>95519.209743186249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0.89865413006731565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8962.1414913957942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8962.1414913957942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-8962.1414913957942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7783.1641791044776</v>
      </c>
      <c r="G3" s="14">
        <f ca="1">Q3-O3-P3-F3</f>
        <v>2119.490820895523</v>
      </c>
      <c r="H3" s="14"/>
      <c r="I3" s="14"/>
      <c r="J3" s="14"/>
      <c r="K3" s="13"/>
      <c r="L3" s="16">
        <f t="shared" ca="1" si="0"/>
        <v>9902.6550000000007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49.14</v>
      </c>
      <c r="P3" s="13" cm="1">
        <f t="array" aca="1" ref="P3" ca="1">-INDIRECT("'data'!$I$" &amp; $A$1)*parameters!$B$13</f>
        <v>-1046.115</v>
      </c>
      <c r="Q3" s="16" cm="1">
        <f t="array" aca="1" ref="Q3" ca="1">INDIRECT("'data'!$G$" &amp; $A$1)*parameters!$B$13</f>
        <v>8905.68</v>
      </c>
      <c r="R3" s="16">
        <f t="shared" ref="R3:R10" ca="1" si="2">SUM(L3:P3)</f>
        <v>8905.68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468.28000000000003</v>
      </c>
      <c r="H4" s="14"/>
      <c r="I4" s="14"/>
      <c r="J4" s="14"/>
      <c r="K4" s="13"/>
      <c r="L4" s="16">
        <f t="shared" ca="1" si="0"/>
        <v>468.28000000000003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-468.28000000000003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1945.7910447761196</v>
      </c>
      <c r="G5" s="14">
        <f ca="1">Q7/parameters!$B$7-(G3+G4)</f>
        <v>15782.365020274803</v>
      </c>
      <c r="H5" s="14"/>
      <c r="I5" s="14"/>
      <c r="J5" s="14"/>
      <c r="K5" s="13"/>
      <c r="L5" s="16">
        <f t="shared" ca="1" si="0"/>
        <v>17728.156065050924</v>
      </c>
      <c r="M5" s="16"/>
      <c r="N5" s="16"/>
      <c r="O5" s="11" cm="1">
        <f t="array" aca="1" ref="O5" ca="1">INDIRECT("'data'!$M$" &amp; $A$1)*parameters!$B$15</f>
        <v>318.5</v>
      </c>
      <c r="P5" s="13" cm="1">
        <f t="array" aca="1" ref="P5" ca="1">-INDIRECT("'data'!$N$" &amp; $A$1)*parameters!$B$15</f>
        <v>-5158.72</v>
      </c>
      <c r="Q5" s="16">
        <f ca="1">SUM(L5:P5)</f>
        <v>12887.936065050922</v>
      </c>
      <c r="R5" s="16">
        <f t="shared" ca="1" si="2"/>
        <v>12887.936065050922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9125.76</v>
      </c>
      <c r="I6" s="14"/>
      <c r="J6" s="14"/>
      <c r="K6" s="13"/>
      <c r="L6" s="16">
        <f t="shared" ca="1" si="0"/>
        <v>9125.76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9125.76</v>
      </c>
      <c r="R6" s="16">
        <f t="shared" ca="1" si="2"/>
        <v>9125.76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17580.22</v>
      </c>
      <c r="I7" s="14"/>
      <c r="J7" s="14"/>
      <c r="K7" s="13"/>
      <c r="L7" s="16">
        <f t="shared" ca="1" si="0"/>
        <v>17580.22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17580.22</v>
      </c>
      <c r="R7" s="16">
        <f t="shared" ca="1" si="2"/>
        <v>17580.22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13597.223093135251</v>
      </c>
      <c r="J8" s="14">
        <f ca="1">Q10/J18</f>
        <v>15399.01690686475</v>
      </c>
      <c r="K8" s="13"/>
      <c r="L8" s="16">
        <f t="shared" ca="1" si="0"/>
        <v>28996.240000000002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814.38</v>
      </c>
      <c r="P8" s="13" cm="1">
        <f t="array" aca="1" ref="P8" ca="1">-INDIRECT("'data'!$S$" &amp; $A$1)*parameters!$B$15</f>
        <v>-3104.64</v>
      </c>
      <c r="Q8" s="16">
        <f ca="1">SUM(Q6:Q7)</f>
        <v>26705.980000000003</v>
      </c>
      <c r="R8" s="16">
        <f t="shared" ca="1" si="2"/>
        <v>26705.980000000003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9317.84</v>
      </c>
      <c r="L9" s="16">
        <f t="shared" ca="1" si="0"/>
        <v>9317.84</v>
      </c>
      <c r="M9" s="16"/>
      <c r="N9" s="16">
        <f t="shared" ca="1" si="3"/>
        <v>0</v>
      </c>
      <c r="O9" s="11" cm="1">
        <f t="array" aca="1" ref="O9" ca="1">INDIRECT("'data'!$U$" &amp; $A$1)*parameters!$B$15</f>
        <v>4949</v>
      </c>
      <c r="P9" s="13" cm="1">
        <f t="array" aca="1" ref="P9" ca="1">-INDIRECT("'data'!$V$" &amp; $A$1)*parameters!$B$15</f>
        <v>-2081.52</v>
      </c>
      <c r="Q9" s="16" cm="1">
        <f t="array" aca="1" ref="Q9" ca="1">INDIRECT("'data'!$T$" &amp; $A$1)*parameters!$B$15</f>
        <v>12185.32</v>
      </c>
      <c r="R9" s="16">
        <f t="shared" ca="1" si="2"/>
        <v>12185.32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13218.879857752487</v>
      </c>
      <c r="L10" s="16">
        <f t="shared" ca="1" si="0"/>
        <v>13218.879857752487</v>
      </c>
      <c r="M10" s="16"/>
      <c r="N10" s="16">
        <f t="shared" ca="1" si="3"/>
        <v>0</v>
      </c>
      <c r="O10" s="11" cm="1">
        <f t="array" aca="1" ref="O10" ca="1">INDIRECT("'data'!$X$" &amp; $A$1)*parameters!$B$15</f>
        <v>8174.18</v>
      </c>
      <c r="P10" s="13" cm="1">
        <f t="array" aca="1" ref="P10" ca="1">-INDIRECT("'data'!$Y$" &amp; $A$1)*parameters!$B$15</f>
        <v>-7593.04</v>
      </c>
      <c r="Q10" s="16" cm="1">
        <f t="array" aca="1" ref="Q10" ca="1">INDIRECT("'data'!$W$" &amp; $A$1)*parameters!$B$15</f>
        <v>13800.019857752488</v>
      </c>
      <c r="R10" s="16">
        <f t="shared" ca="1" si="2"/>
        <v>13800.019857752486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14123.526277667141</v>
      </c>
      <c r="N11" s="19"/>
      <c r="O11" s="21" cm="1">
        <f t="array" aca="1" ref="O11" ca="1">INDIRECT("'data'!$Z$" &amp; $A$1)*parameters!$B$15</f>
        <v>12545.96</v>
      </c>
      <c r="P11" s="27" cm="1">
        <f t="array" aca="1" ref="P11" ca="1">-INDIRECT("'data'!$AA$" &amp; $A$1)*parameters!$B$15</f>
        <v>-6542.48</v>
      </c>
      <c r="Q11" s="16">
        <f ca="1">K9*parameters!$B$10+K10*parameters!$B$11</f>
        <v>20127.00627766714</v>
      </c>
      <c r="R11" s="16">
        <f t="shared" ref="R11:R17" ca="1" si="4">SUM(L11:P11)</f>
        <v>20127.00627766714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-56.461491395793928</v>
      </c>
      <c r="D12" s="9">
        <f ca="1">-(D17-Q4)</f>
        <v>0</v>
      </c>
      <c r="E12" s="9">
        <f ca="1">-(E17-Q5)</f>
        <v>-1592.8909743321365</v>
      </c>
      <c r="F12" s="9">
        <f ca="1">-(F17-Q6)</f>
        <v>-603.19522388059704</v>
      </c>
      <c r="G12" s="9">
        <f ca="1">-(G17-Q7)</f>
        <v>-789.91584117032471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-3042.4635307788521</v>
      </c>
      <c r="M12" s="17"/>
      <c r="N12" s="17"/>
      <c r="O12" s="10"/>
      <c r="P12" s="12"/>
      <c r="Q12" s="9">
        <f t="shared" ref="Q12:Q17" ca="1" si="6">SUM(L12:P12)</f>
        <v>-3042.4635307788521</v>
      </c>
      <c r="R12" s="17">
        <f t="shared" ca="1" si="4"/>
        <v>-3042.4635307788521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-1411.9030931352518</v>
      </c>
      <c r="J13" s="14">
        <f ca="1">-(J17-Q10)</f>
        <v>-1598.9970491122622</v>
      </c>
      <c r="K13" s="13">
        <f ca="1">-(K17-Q11)</f>
        <v>-2409.7135800853466</v>
      </c>
      <c r="L13" s="14">
        <f t="shared" ca="1" si="5"/>
        <v>-5420.6137223328606</v>
      </c>
      <c r="M13" s="16">
        <f ca="1">-E15</f>
        <v>-9060.2133170501984</v>
      </c>
      <c r="N13" s="16"/>
      <c r="O13" s="11"/>
      <c r="P13" s="13"/>
      <c r="Q13" s="14">
        <f t="shared" ca="1" si="6"/>
        <v>-14480.827039383059</v>
      </c>
      <c r="R13" s="16">
        <f t="shared" ca="1" si="4"/>
        <v>-14480.827039383059</v>
      </c>
    </row>
    <row r="14" spans="1:20">
      <c r="A14" s="18" t="s">
        <v>78</v>
      </c>
      <c r="B14" s="11"/>
      <c r="C14" s="14"/>
      <c r="D14" s="14"/>
      <c r="E14" s="14">
        <f ca="1">-(I13+J13)-K13</f>
        <v>5420.6137223328606</v>
      </c>
      <c r="F14" s="14"/>
      <c r="G14" s="14"/>
      <c r="H14" s="14"/>
      <c r="I14" s="14"/>
      <c r="J14" s="14"/>
      <c r="K14" s="13"/>
      <c r="L14" s="14">
        <f t="shared" ca="1" si="5"/>
        <v>5420.6137223328606</v>
      </c>
      <c r="M14" s="16"/>
      <c r="N14" s="16"/>
      <c r="O14" s="11"/>
      <c r="P14" s="13"/>
      <c r="Q14" s="14">
        <f t="shared" ca="1" si="6"/>
        <v>5420.6137223328606</v>
      </c>
      <c r="R14" s="16">
        <f t="shared" ca="1" si="4"/>
        <v>5420.6137223328606</v>
      </c>
    </row>
    <row r="15" spans="1:20">
      <c r="A15" s="18" t="s">
        <v>79</v>
      </c>
      <c r="B15" s="11"/>
      <c r="C15" s="14"/>
      <c r="D15" s="14"/>
      <c r="E15" s="14">
        <f ca="1">E17-E14</f>
        <v>9060.2133170501984</v>
      </c>
      <c r="F15" s="14"/>
      <c r="G15" s="14"/>
      <c r="H15" s="14"/>
      <c r="I15" s="14"/>
      <c r="J15" s="14"/>
      <c r="K15" s="13"/>
      <c r="L15" s="14">
        <f t="shared" ca="1" si="5"/>
        <v>9060.2133170501984</v>
      </c>
      <c r="M15" s="16"/>
      <c r="N15" s="16"/>
      <c r="O15" s="11"/>
      <c r="P15" s="13"/>
      <c r="Q15" s="14">
        <f t="shared" ca="1" si="6"/>
        <v>9060.2133170501984</v>
      </c>
      <c r="R15" s="16">
        <f t="shared" ca="1" si="4"/>
        <v>9060.2133170501984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8962.1414913957942</v>
      </c>
      <c r="D17" s="9">
        <f ca="1">SUM(D$2:D$11)</f>
        <v>0</v>
      </c>
      <c r="E17" s="9">
        <f ca="1">$Q$5/parameters!$B$4</f>
        <v>14480.827039383059</v>
      </c>
      <c r="F17" s="9">
        <f t="shared" ref="F17:K17" ca="1" si="7">SUM(F$2:F$11)</f>
        <v>9728.9552238805973</v>
      </c>
      <c r="G17" s="9">
        <f t="shared" ca="1" si="7"/>
        <v>18370.135841170326</v>
      </c>
      <c r="H17" s="9">
        <f t="shared" ca="1" si="7"/>
        <v>26705.980000000003</v>
      </c>
      <c r="I17" s="9">
        <f t="shared" ca="1" si="7"/>
        <v>13597.223093135251</v>
      </c>
      <c r="J17" s="9">
        <f t="shared" ca="1" si="7"/>
        <v>15399.01690686475</v>
      </c>
      <c r="K17" s="9">
        <f t="shared" ca="1" si="7"/>
        <v>22536.719857752487</v>
      </c>
      <c r="L17" s="17">
        <f t="shared" ca="1" si="5"/>
        <v>129780.99945358228</v>
      </c>
      <c r="M17" s="17"/>
      <c r="N17" s="17"/>
      <c r="O17" s="9"/>
      <c r="P17" s="14"/>
      <c r="Q17" s="11">
        <f t="shared" ca="1" si="6"/>
        <v>129780.99945358228</v>
      </c>
      <c r="R17" s="17">
        <f t="shared" ca="1" si="4"/>
        <v>129780.99945358228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0.89616239408118037</v>
      </c>
      <c r="J18" s="39">
        <f ca="1">I18</f>
        <v>0.89616239408118037</v>
      </c>
      <c r="K18" s="40">
        <f ca="1">1-(-K13)/K17</f>
        <v>0.89307611776270002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27103.250478011472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27103.250478011472</v>
      </c>
      <c r="M2" s="17"/>
      <c r="N2" s="17">
        <f ca="1">Q2-(L2+O2+P2)</f>
        <v>0</v>
      </c>
      <c r="O2" s="11" cm="1">
        <f t="array" aca="1" ref="O2" ca="1">INDIRECT("'data'!$F$" &amp; $A$1)</f>
        <v>22784.45</v>
      </c>
      <c r="P2" s="13">
        <f ca="1">IF(-(L2-Q2+O2)&lt;0, -(L2-Q2+O2), 0)</f>
        <v>-9687.700478011473</v>
      </c>
      <c r="Q2" s="17" cm="1">
        <f t="array" aca="1" ref="Q2" ca="1">INDIRECT("'data'!$D$" &amp; $A$1)</f>
        <v>40200</v>
      </c>
      <c r="R2" s="17">
        <f ca="1">SUM(L2:P2)</f>
        <v>40200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24929.956716417913</v>
      </c>
      <c r="G3" s="14">
        <f ca="1">Q3-O3-P3-F3</f>
        <v>176.80328358208862</v>
      </c>
      <c r="H3" s="14"/>
      <c r="I3" s="14"/>
      <c r="J3" s="14"/>
      <c r="K3" s="13"/>
      <c r="L3" s="16">
        <f t="shared" ca="1" si="0"/>
        <v>25106.760000000002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1857.87</v>
      </c>
      <c r="P3" s="13" cm="1">
        <f t="array" aca="1" ref="P3" ca="1">-INDIRECT("'data'!$I$" &amp; $A$1)*parameters!$B$13</f>
        <v>-32.129999999999995</v>
      </c>
      <c r="Q3" s="16" cm="1">
        <f t="array" aca="1" ref="Q3" ca="1">INDIRECT("'data'!$G$" &amp; $A$1)*parameters!$B$13</f>
        <v>26932.5</v>
      </c>
      <c r="R3" s="16">
        <f t="shared" ref="R3:R10" ca="1" si="2">SUM(L3:P3)</f>
        <v>26932.5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239.20000000000002</v>
      </c>
      <c r="H4" s="14"/>
      <c r="I4" s="14"/>
      <c r="J4" s="14"/>
      <c r="K4" s="13"/>
      <c r="L4" s="16">
        <f t="shared" ca="1" si="0"/>
        <v>239.20000000000002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-239.20000000000002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Q6/parameters!$B$5*23%</f>
        <v>7446.6104477611952</v>
      </c>
      <c r="G5" s="14">
        <f ca="1">Q7/parameters!$B$7-(G3+G4)</f>
        <v>1618.751157379249</v>
      </c>
      <c r="H5" s="14"/>
      <c r="I5" s="14"/>
      <c r="J5" s="14"/>
      <c r="K5" s="13"/>
      <c r="L5" s="16">
        <f t="shared" ca="1" si="0"/>
        <v>9065.3616051404442</v>
      </c>
      <c r="M5" s="16"/>
      <c r="N5" s="16"/>
      <c r="O5" s="11" cm="1">
        <f t="array" aca="1" ref="O5" ca="1">INDIRECT("'data'!$M$" &amp; $A$1)*parameters!$B$15</f>
        <v>359.65999999999997</v>
      </c>
      <c r="P5" s="13" cm="1">
        <f t="array" aca="1" ref="P5" ca="1">-INDIRECT("'data'!$N$" &amp; $A$1)*parameters!$B$15</f>
        <v>-113.67999999999999</v>
      </c>
      <c r="Q5" s="16">
        <f ca="1">SUM(L5:P5)</f>
        <v>9311.3416051404438</v>
      </c>
      <c r="R5" s="16">
        <f t="shared" ca="1" si="2"/>
        <v>9311.3416051404438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30369.22</v>
      </c>
      <c r="I6" s="14"/>
      <c r="J6" s="14"/>
      <c r="K6" s="13"/>
      <c r="L6" s="16">
        <f t="shared" ca="1" si="0"/>
        <v>30369.22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30369.22</v>
      </c>
      <c r="R6" s="16">
        <f t="shared" ca="1" si="2"/>
        <v>30369.22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1947.26</v>
      </c>
      <c r="I7" s="14"/>
      <c r="J7" s="14"/>
      <c r="K7" s="13"/>
      <c r="L7" s="16">
        <f t="shared" ca="1" si="0"/>
        <v>1947.26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1947.26</v>
      </c>
      <c r="R7" s="16">
        <f t="shared" ca="1" si="2"/>
        <v>1947.26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11308.793196978597</v>
      </c>
      <c r="J8" s="14">
        <f ca="1">Q10/J18</f>
        <v>11464.446803021405</v>
      </c>
      <c r="K8" s="13"/>
      <c r="L8" s="16">
        <f t="shared" ca="1" si="0"/>
        <v>22773.24</v>
      </c>
      <c r="M8" s="16"/>
      <c r="N8" s="16">
        <f t="shared" ca="1" si="3"/>
        <v>0</v>
      </c>
      <c r="O8" s="11" cm="1">
        <f t="array" aca="1" ref="O8" ca="1">INDIRECT("'data'!$R$" &amp; $A$1)*parameters!$B$15</f>
        <v>9898.98</v>
      </c>
      <c r="P8" s="13" cm="1">
        <f t="array" aca="1" ref="P8" ca="1">-INDIRECT("'data'!$S$" &amp; $A$1)*parameters!$B$15</f>
        <v>-355.74</v>
      </c>
      <c r="Q8" s="16">
        <f ca="1">SUM(Q6:Q7)</f>
        <v>32316.48</v>
      </c>
      <c r="R8" s="16">
        <f t="shared" ca="1" si="2"/>
        <v>32316.48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3499.58</v>
      </c>
      <c r="L9" s="16">
        <f t="shared" ca="1" si="0"/>
        <v>3499.58</v>
      </c>
      <c r="M9" s="16"/>
      <c r="N9" s="16">
        <f t="shared" ca="1" si="3"/>
        <v>0</v>
      </c>
      <c r="O9" s="11" cm="1">
        <f t="array" aca="1" ref="O9" ca="1">INDIRECT("'data'!$U$" &amp; $A$1)*parameters!$B$15</f>
        <v>5818.26</v>
      </c>
      <c r="P9" s="13" cm="1">
        <f t="array" aca="1" ref="P9" ca="1">-INDIRECT("'data'!$V$" &amp; $A$1)*parameters!$B$15</f>
        <v>-408.65999999999997</v>
      </c>
      <c r="Q9" s="16" cm="1">
        <f t="array" aca="1" ref="Q9" ca="1">INDIRECT("'data'!$T$" &amp; $A$1)*parameters!$B$15</f>
        <v>8909.18</v>
      </c>
      <c r="R9" s="16">
        <f t="shared" ca="1" si="2"/>
        <v>8909.18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3587.9054623044099</v>
      </c>
      <c r="L10" s="16">
        <f t="shared" ca="1" si="0"/>
        <v>3587.9054623044099</v>
      </c>
      <c r="M10" s="16"/>
      <c r="N10" s="16">
        <f t="shared" ca="1" si="3"/>
        <v>0</v>
      </c>
      <c r="O10" s="11" cm="1">
        <f t="array" aca="1" ref="O10" ca="1">INDIRECT("'data'!$X$" &amp; $A$1)*parameters!$B$15</f>
        <v>6430.76</v>
      </c>
      <c r="P10" s="13" cm="1">
        <f t="array" aca="1" ref="P10" ca="1">-INDIRECT("'data'!$Y$" &amp; $A$1)*parameters!$B$15</f>
        <v>-986.86</v>
      </c>
      <c r="Q10" s="16" cm="1">
        <f t="array" aca="1" ref="Q10" ca="1">INDIRECT("'data'!$W$" &amp; $A$1)*parameters!$B$15</f>
        <v>9031.80546230441</v>
      </c>
      <c r="R10" s="16">
        <f t="shared" ca="1" si="2"/>
        <v>9031.80546230441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6182.1438975817919</v>
      </c>
      <c r="N11" s="19"/>
      <c r="O11" s="21" cm="1">
        <f t="array" aca="1" ref="O11" ca="1">INDIRECT("'data'!$Z$" &amp; $A$1)*parameters!$B$15</f>
        <v>2384.34</v>
      </c>
      <c r="P11" s="27" cm="1">
        <f t="array" aca="1" ref="P11" ca="1">-INDIRECT("'data'!$AA$" &amp; $A$1)*parameters!$B$15</f>
        <v>-2191.2799999999997</v>
      </c>
      <c r="Q11" s="16">
        <f ca="1">K9*parameters!$B$10+K10*parameters!$B$11</f>
        <v>6375.2038975817923</v>
      </c>
      <c r="R11" s="16">
        <f t="shared" ref="R11:R17" ca="1" si="4">SUM(L11:P11)</f>
        <v>6375.2038975817914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-170.7504780114723</v>
      </c>
      <c r="D12" s="9">
        <f ca="1">-(D17-Q4)</f>
        <v>0</v>
      </c>
      <c r="E12" s="9">
        <f ca="1">-(E17-Q5)</f>
        <v>-1150.8399736690426</v>
      </c>
      <c r="F12" s="9">
        <f ca="1">-(F17-Q6)</f>
        <v>-2007.3471641791075</v>
      </c>
      <c r="G12" s="9">
        <f ca="1">-(G17-Q7)</f>
        <v>-87.494440961337659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-3416.43205682096</v>
      </c>
      <c r="M12" s="17"/>
      <c r="N12" s="17"/>
      <c r="O12" s="10"/>
      <c r="P12" s="12"/>
      <c r="Q12" s="9">
        <f t="shared" ref="Q12:Q17" ca="1" si="6">SUM(L12:P12)</f>
        <v>-3416.43205682096</v>
      </c>
      <c r="R12" s="17">
        <f t="shared" ca="1" si="4"/>
        <v>-3416.43205682096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-2399.6131969785965</v>
      </c>
      <c r="J13" s="14">
        <f ca="1">-(J17-Q10)</f>
        <v>-2432.6413407169948</v>
      </c>
      <c r="K13" s="13">
        <f ca="1">-(K17-Q11)</f>
        <v>-712.28156472261799</v>
      </c>
      <c r="L13" s="14">
        <f t="shared" ca="1" si="5"/>
        <v>-5544.5361024182093</v>
      </c>
      <c r="M13" s="16">
        <f ca="1">-E15</f>
        <v>-4917.645476391277</v>
      </c>
      <c r="N13" s="16"/>
      <c r="O13" s="11"/>
      <c r="P13" s="13"/>
      <c r="Q13" s="14">
        <f t="shared" ca="1" si="6"/>
        <v>-10462.181578809486</v>
      </c>
      <c r="R13" s="16">
        <f t="shared" ca="1" si="4"/>
        <v>-10462.181578809486</v>
      </c>
    </row>
    <row r="14" spans="1:20">
      <c r="A14" s="18" t="s">
        <v>78</v>
      </c>
      <c r="B14" s="11"/>
      <c r="C14" s="14"/>
      <c r="D14" s="14"/>
      <c r="E14" s="14">
        <f ca="1">-(I13+J13)-K13</f>
        <v>5544.5361024182093</v>
      </c>
      <c r="F14" s="14"/>
      <c r="G14" s="14"/>
      <c r="H14" s="14"/>
      <c r="I14" s="14"/>
      <c r="J14" s="14"/>
      <c r="K14" s="13"/>
      <c r="L14" s="14">
        <f t="shared" ca="1" si="5"/>
        <v>5544.5361024182093</v>
      </c>
      <c r="M14" s="16"/>
      <c r="N14" s="16"/>
      <c r="O14" s="11"/>
      <c r="P14" s="13"/>
      <c r="Q14" s="14">
        <f t="shared" ca="1" si="6"/>
        <v>5544.5361024182093</v>
      </c>
      <c r="R14" s="16">
        <f t="shared" ca="1" si="4"/>
        <v>5544.5361024182093</v>
      </c>
    </row>
    <row r="15" spans="1:20">
      <c r="A15" s="18" t="s">
        <v>79</v>
      </c>
      <c r="B15" s="11"/>
      <c r="C15" s="14"/>
      <c r="D15" s="14"/>
      <c r="E15" s="14">
        <f ca="1">E17-E14</f>
        <v>4917.645476391277</v>
      </c>
      <c r="F15" s="14"/>
      <c r="G15" s="14"/>
      <c r="H15" s="14"/>
      <c r="I15" s="14"/>
      <c r="J15" s="14"/>
      <c r="K15" s="13"/>
      <c r="L15" s="14">
        <f t="shared" ca="1" si="5"/>
        <v>4917.645476391277</v>
      </c>
      <c r="M15" s="16"/>
      <c r="N15" s="16"/>
      <c r="O15" s="11"/>
      <c r="P15" s="13"/>
      <c r="Q15" s="14">
        <f t="shared" ca="1" si="6"/>
        <v>4917.645476391277</v>
      </c>
      <c r="R15" s="16">
        <f t="shared" ca="1" si="4"/>
        <v>4917.645476391277</v>
      </c>
    </row>
    <row r="16" spans="1:20">
      <c r="A16" s="30" t="s">
        <v>89</v>
      </c>
      <c r="B16" s="21">
        <f ca="1">Q2</f>
        <v>40200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40200</v>
      </c>
      <c r="M16" s="19"/>
      <c r="N16" s="19"/>
      <c r="O16" s="21"/>
      <c r="P16" s="27"/>
      <c r="Q16" s="22">
        <f t="shared" ca="1" si="6"/>
        <v>40200</v>
      </c>
      <c r="R16" s="19">
        <f t="shared" ca="1" si="4"/>
        <v>40200</v>
      </c>
    </row>
    <row r="17" spans="1:18">
      <c r="A17" s="29" t="s">
        <v>88</v>
      </c>
      <c r="B17" s="9">
        <f ca="1">B16</f>
        <v>40200</v>
      </c>
      <c r="C17" s="9">
        <f ca="1">SUM(C$2:C$11)</f>
        <v>27103.250478011472</v>
      </c>
      <c r="D17" s="9">
        <f ca="1">SUM(D$2:D$11)</f>
        <v>0</v>
      </c>
      <c r="E17" s="9">
        <f ca="1">$Q$5/parameters!$B$4</f>
        <v>10462.181578809486</v>
      </c>
      <c r="F17" s="9">
        <f t="shared" ref="F17:K17" ca="1" si="7">SUM(F$2:F$11)</f>
        <v>32376.567164179109</v>
      </c>
      <c r="G17" s="9">
        <f t="shared" ca="1" si="7"/>
        <v>2034.7544409613377</v>
      </c>
      <c r="H17" s="9">
        <f t="shared" ca="1" si="7"/>
        <v>32316.48</v>
      </c>
      <c r="I17" s="9">
        <f t="shared" ca="1" si="7"/>
        <v>11308.793196978597</v>
      </c>
      <c r="J17" s="9">
        <f t="shared" ca="1" si="7"/>
        <v>11464.446803021405</v>
      </c>
      <c r="K17" s="9">
        <f t="shared" ca="1" si="7"/>
        <v>7087.4854623044102</v>
      </c>
      <c r="L17" s="17">
        <f t="shared" ca="1" si="5"/>
        <v>174353.95912426579</v>
      </c>
      <c r="M17" s="17"/>
      <c r="N17" s="17"/>
      <c r="O17" s="9"/>
      <c r="P17" s="14"/>
      <c r="Q17" s="11">
        <f t="shared" ca="1" si="6"/>
        <v>174353.95912426579</v>
      </c>
      <c r="R17" s="17">
        <f t="shared" ca="1" si="4"/>
        <v>174353.95912426579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0.78780996741370168</v>
      </c>
      <c r="J18" s="39">
        <f ca="1">I18</f>
        <v>0.78780996741370168</v>
      </c>
      <c r="K18" s="40">
        <f ca="1">1-(-K13)/K17</f>
        <v>0.89950151312324134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4385.0206299688025</v>
      </c>
      <c r="D2" s="9">
        <f ca="1">Q4/parameters!$B$3</f>
        <v>5171.7017208412999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9556.7223508101015</v>
      </c>
      <c r="M2" s="17"/>
      <c r="N2" s="17">
        <f ca="1">Q2-(L2+O2+P2)</f>
        <v>0</v>
      </c>
      <c r="O2" s="11" cm="1">
        <f t="array" aca="1" ref="O2" ca="1">INDIRECT("'data'!$F$" &amp; $A$1)</f>
        <v>2863.9</v>
      </c>
      <c r="P2" s="13">
        <f ca="1">IF(-(L2-Q2+O2)&lt;0, -(L2-Q2+O2), 0)</f>
        <v>-3100.6223508101016</v>
      </c>
      <c r="Q2" s="17" cm="1">
        <f t="array" aca="1" ref="Q2" ca="1">INDIRECT("'data'!$D$" &amp; $A$1)</f>
        <v>9320</v>
      </c>
      <c r="R2" s="17">
        <f ca="1">SUM(L2:P2)</f>
        <v>9320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4169.9104477611945</v>
      </c>
      <c r="G3" s="14">
        <f ca="1">Q3-O3-P3-F3</f>
        <v>344.3545522388049</v>
      </c>
      <c r="H3" s="14"/>
      <c r="I3" s="14"/>
      <c r="J3" s="14"/>
      <c r="K3" s="13"/>
      <c r="L3" s="16">
        <f t="shared" ca="1" si="0"/>
        <v>4514.2649999999994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-156.87</v>
      </c>
      <c r="Q3" s="16" cm="1">
        <f t="array" aca="1" ref="Q3" ca="1">INDIRECT("'data'!$G$" &amp; $A$1)*parameters!$B$13</f>
        <v>4357.3949999999995</v>
      </c>
      <c r="R3" s="16">
        <f t="shared" ref="R3:R10" ca="1" si="2">SUM(L3:P3)</f>
        <v>4357.3949999999995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5258.7199999999993</v>
      </c>
      <c r="H4" s="14"/>
      <c r="I4" s="14"/>
      <c r="J4" s="14"/>
      <c r="K4" s="13"/>
      <c r="L4" s="16">
        <f t="shared" ca="1" si="0"/>
        <v>5258.7199999999993</v>
      </c>
      <c r="M4" s="16"/>
      <c r="N4" s="16">
        <f t="shared" ca="1" si="1"/>
        <v>0</v>
      </c>
      <c r="O4" s="11" cm="1">
        <f t="array" aca="1" ref="O4" ca="1">INDIRECT("'data'!$K$" &amp; $A$1)*parameters!$B$14</f>
        <v>50.6</v>
      </c>
      <c r="P4" s="13" cm="1">
        <f t="array" aca="1" ref="P4" ca="1">-INDIRECT("'data'!$L$" &amp; $A$1)*parameters!$B$14</f>
        <v>-170.20000000000002</v>
      </c>
      <c r="Q4" s="16" cm="1">
        <f t="array" aca="1" ref="Q4" ca="1">INDIRECT("'data'!$J$" &amp; $A$1)*parameters!$B$14</f>
        <v>5139.12</v>
      </c>
      <c r="R4" s="16">
        <f t="shared" ca="1" si="2"/>
        <v>5139.12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1042.4776119402986</v>
      </c>
      <c r="G5" s="14">
        <f ca="1">Q7/parameters!$B$7-(G3+G4)</f>
        <v>7795.3789482836619</v>
      </c>
      <c r="H5" s="14"/>
      <c r="I5" s="14"/>
      <c r="J5" s="14"/>
      <c r="K5" s="13"/>
      <c r="L5" s="16">
        <f t="shared" ca="1" si="0"/>
        <v>8837.8565602239614</v>
      </c>
      <c r="M5" s="16"/>
      <c r="N5" s="16"/>
      <c r="O5" s="11" cm="1">
        <f t="array" aca="1" ref="O5" ca="1">INDIRECT("'data'!$M$" &amp; $A$1)*parameters!$B$15</f>
        <v>840.84</v>
      </c>
      <c r="P5" s="13" cm="1">
        <f t="array" aca="1" ref="P5" ca="1">-INDIRECT("'data'!$N$" &amp; $A$1)*parameters!$B$15</f>
        <v>-927.07999999999993</v>
      </c>
      <c r="Q5" s="16">
        <f ca="1">SUM(L5:P5)</f>
        <v>8751.6165602239616</v>
      </c>
      <c r="R5" s="16">
        <f t="shared" ca="1" si="2"/>
        <v>8751.6165602239616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4889.22</v>
      </c>
      <c r="I6" s="14"/>
      <c r="J6" s="14"/>
      <c r="K6" s="13"/>
      <c r="L6" s="16">
        <f t="shared" ca="1" si="0"/>
        <v>4889.22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4889.22</v>
      </c>
      <c r="R6" s="16">
        <f t="shared" ca="1" si="2"/>
        <v>4889.22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12822.32</v>
      </c>
      <c r="I7" s="14"/>
      <c r="J7" s="14"/>
      <c r="K7" s="13"/>
      <c r="L7" s="16">
        <f t="shared" ca="1" si="0"/>
        <v>12822.32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12822.32</v>
      </c>
      <c r="R7" s="16">
        <f t="shared" ca="1" si="2"/>
        <v>12822.32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9539.4439577529611</v>
      </c>
      <c r="J8" s="14">
        <f ca="1">Q10/J18</f>
        <v>8159.3560422470409</v>
      </c>
      <c r="K8" s="13"/>
      <c r="L8" s="16">
        <f t="shared" ca="1" si="0"/>
        <v>17698.800000000003</v>
      </c>
      <c r="M8" s="16"/>
      <c r="N8" s="16">
        <f t="shared" ca="1" si="3"/>
        <v>0</v>
      </c>
      <c r="O8" s="11" cm="1">
        <f t="array" aca="1" ref="O8" ca="1">INDIRECT("'data'!$R$" &amp; $A$1)*parameters!$B$15</f>
        <v>999.6</v>
      </c>
      <c r="P8" s="13" cm="1">
        <f t="array" aca="1" ref="P8" ca="1">-INDIRECT("'data'!$S$" &amp; $A$1)*parameters!$B$15</f>
        <v>-986.86</v>
      </c>
      <c r="Q8" s="16">
        <f ca="1">SUM(Q6:Q7)</f>
        <v>17711.54</v>
      </c>
      <c r="R8" s="16">
        <f t="shared" ca="1" si="2"/>
        <v>17711.54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8664.1799999999985</v>
      </c>
      <c r="L9" s="16">
        <f t="shared" ca="1" si="0"/>
        <v>8664.1799999999985</v>
      </c>
      <c r="M9" s="16"/>
      <c r="N9" s="16">
        <f t="shared" ca="1" si="3"/>
        <v>0</v>
      </c>
      <c r="O9" s="11" cm="1">
        <f t="array" aca="1" ref="O9" ca="1">INDIRECT("'data'!$U$" &amp; $A$1)*parameters!$B$15</f>
        <v>1428.84</v>
      </c>
      <c r="P9" s="13" cm="1">
        <f t="array" aca="1" ref="P9" ca="1">-INDIRECT("'data'!$V$" &amp; $A$1)*parameters!$B$15</f>
        <v>-1614.06</v>
      </c>
      <c r="Q9" s="16" cm="1">
        <f t="array" aca="1" ref="Q9" ca="1">INDIRECT("'data'!$T$" &amp; $A$1)*parameters!$B$15</f>
        <v>8478.9599999999991</v>
      </c>
      <c r="R9" s="16">
        <f t="shared" ca="1" si="2"/>
        <v>8478.9599999999991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11912.19413940256</v>
      </c>
      <c r="L10" s="16">
        <f t="shared" ca="1" si="0"/>
        <v>11912.19413940256</v>
      </c>
      <c r="M10" s="16"/>
      <c r="N10" s="16">
        <f t="shared" ca="1" si="3"/>
        <v>0</v>
      </c>
      <c r="O10" s="11" cm="1">
        <f t="array" aca="1" ref="O10" ca="1">INDIRECT("'data'!$X$" &amp; $A$1)*parameters!$B$15</f>
        <v>1077.02</v>
      </c>
      <c r="P10" s="13" cm="1">
        <f t="array" aca="1" ref="P10" ca="1">-INDIRECT("'data'!$Y$" &amp; $A$1)*parameters!$B$15</f>
        <v>-5736.92</v>
      </c>
      <c r="Q10" s="16" cm="1">
        <f t="array" aca="1" ref="Q10" ca="1">INDIRECT("'data'!$W$" &amp; $A$1)*parameters!$B$15</f>
        <v>7252.2941394025602</v>
      </c>
      <c r="R10" s="16">
        <f t="shared" ca="1" si="2"/>
        <v>7252.2941394025602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16614.0361598862</v>
      </c>
      <c r="N11" s="19"/>
      <c r="O11" s="21" cm="1">
        <f t="array" aca="1" ref="O11" ca="1">INDIRECT("'data'!$Z$" &amp; $A$1)*parameters!$B$15</f>
        <v>11245.5</v>
      </c>
      <c r="P11" s="27" cm="1">
        <f t="array" aca="1" ref="P11" ca="1">-INDIRECT("'data'!$AA$" &amp; $A$1)*parameters!$B$15</f>
        <v>-9470.7199999999993</v>
      </c>
      <c r="Q11" s="16">
        <f ca="1">K9*parameters!$B$10+K10*parameters!$B$11</f>
        <v>18388.816159886199</v>
      </c>
      <c r="R11" s="16">
        <f t="shared" ref="R11:R17" ca="1" si="4">SUM(L11:P11)</f>
        <v>18388.816159886199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-27.625629968802969</v>
      </c>
      <c r="D12" s="9">
        <f ca="1">-(D17-Q4)</f>
        <v>-32.581720841300012</v>
      </c>
      <c r="E12" s="9">
        <f ca="1">-(E17-Q5)</f>
        <v>-1081.6604737355465</v>
      </c>
      <c r="F12" s="9">
        <f ca="1">-(F17-Q6)</f>
        <v>-323.16805970149289</v>
      </c>
      <c r="G12" s="9">
        <f ca="1">-(G17-Q7)</f>
        <v>-576.13350052246642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-2041.1693847696088</v>
      </c>
      <c r="M12" s="17"/>
      <c r="N12" s="17"/>
      <c r="O12" s="10"/>
      <c r="P12" s="12"/>
      <c r="Q12" s="9">
        <f t="shared" ref="Q12:Q17" ca="1" si="6">SUM(L12:P12)</f>
        <v>-2041.1693847696088</v>
      </c>
      <c r="R12" s="17">
        <f t="shared" ca="1" si="4"/>
        <v>-2041.1693847696088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-1060.4839577529619</v>
      </c>
      <c r="J13" s="14">
        <f ca="1">-(J17-Q10)</f>
        <v>-907.06190284448076</v>
      </c>
      <c r="K13" s="13">
        <f ca="1">-(K17-Q11)</f>
        <v>-2187.5579795163576</v>
      </c>
      <c r="L13" s="14">
        <f t="shared" ca="1" si="5"/>
        <v>-4155.1038401138003</v>
      </c>
      <c r="M13" s="16">
        <f ca="1">-E15</f>
        <v>-5678.1731938457078</v>
      </c>
      <c r="N13" s="16"/>
      <c r="O13" s="11"/>
      <c r="P13" s="13"/>
      <c r="Q13" s="14">
        <f t="shared" ca="1" si="6"/>
        <v>-9833.2770339595081</v>
      </c>
      <c r="R13" s="16">
        <f t="shared" ca="1" si="4"/>
        <v>-9833.2770339595081</v>
      </c>
    </row>
    <row r="14" spans="1:20">
      <c r="A14" s="18" t="s">
        <v>78</v>
      </c>
      <c r="B14" s="11"/>
      <c r="C14" s="14"/>
      <c r="D14" s="14"/>
      <c r="E14" s="14">
        <f ca="1">-(I13+J13)-K13</f>
        <v>4155.1038401138003</v>
      </c>
      <c r="F14" s="14"/>
      <c r="G14" s="14"/>
      <c r="H14" s="14"/>
      <c r="I14" s="14"/>
      <c r="J14" s="14"/>
      <c r="K14" s="13"/>
      <c r="L14" s="14">
        <f t="shared" ca="1" si="5"/>
        <v>4155.1038401138003</v>
      </c>
      <c r="M14" s="16"/>
      <c r="N14" s="16"/>
      <c r="O14" s="11"/>
      <c r="P14" s="13"/>
      <c r="Q14" s="14">
        <f t="shared" ca="1" si="6"/>
        <v>4155.1038401138003</v>
      </c>
      <c r="R14" s="16">
        <f t="shared" ca="1" si="4"/>
        <v>4155.1038401138003</v>
      </c>
    </row>
    <row r="15" spans="1:20">
      <c r="A15" s="18" t="s">
        <v>79</v>
      </c>
      <c r="B15" s="11"/>
      <c r="C15" s="14"/>
      <c r="D15" s="14"/>
      <c r="E15" s="14">
        <f ca="1">E17-E14</f>
        <v>5678.1731938457078</v>
      </c>
      <c r="F15" s="14"/>
      <c r="G15" s="14"/>
      <c r="H15" s="14"/>
      <c r="I15" s="14"/>
      <c r="J15" s="14"/>
      <c r="K15" s="13"/>
      <c r="L15" s="14">
        <f t="shared" ca="1" si="5"/>
        <v>5678.1731938457078</v>
      </c>
      <c r="M15" s="16"/>
      <c r="N15" s="16"/>
      <c r="O15" s="11"/>
      <c r="P15" s="13"/>
      <c r="Q15" s="14">
        <f t="shared" ca="1" si="6"/>
        <v>5678.1731938457078</v>
      </c>
      <c r="R15" s="16">
        <f t="shared" ca="1" si="4"/>
        <v>5678.1731938457078</v>
      </c>
    </row>
    <row r="16" spans="1:20">
      <c r="A16" s="30" t="s">
        <v>89</v>
      </c>
      <c r="B16" s="21">
        <f ca="1">Q2</f>
        <v>9320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9320</v>
      </c>
      <c r="M16" s="19"/>
      <c r="N16" s="19"/>
      <c r="O16" s="21"/>
      <c r="P16" s="27"/>
      <c r="Q16" s="22">
        <f t="shared" ca="1" si="6"/>
        <v>9320</v>
      </c>
      <c r="R16" s="19">
        <f t="shared" ca="1" si="4"/>
        <v>9320</v>
      </c>
    </row>
    <row r="17" spans="1:18">
      <c r="A17" s="29" t="s">
        <v>88</v>
      </c>
      <c r="B17" s="9">
        <f ca="1">B16</f>
        <v>9320</v>
      </c>
      <c r="C17" s="9">
        <f ca="1">SUM(C$2:C$11)</f>
        <v>4385.0206299688025</v>
      </c>
      <c r="D17" s="9">
        <f ca="1">SUM(D$2:D$11)</f>
        <v>5171.7017208412999</v>
      </c>
      <c r="E17" s="9">
        <f ca="1">$Q$5/parameters!$B$4</f>
        <v>9833.2770339595081</v>
      </c>
      <c r="F17" s="9">
        <f t="shared" ref="F17:K17" ca="1" si="7">SUM(F$2:F$11)</f>
        <v>5212.3880597014931</v>
      </c>
      <c r="G17" s="9">
        <f t="shared" ca="1" si="7"/>
        <v>13398.453500522466</v>
      </c>
      <c r="H17" s="9">
        <f t="shared" ca="1" si="7"/>
        <v>17711.54</v>
      </c>
      <c r="I17" s="9">
        <f t="shared" ca="1" si="7"/>
        <v>9539.4439577529611</v>
      </c>
      <c r="J17" s="9">
        <f t="shared" ca="1" si="7"/>
        <v>8159.3560422470409</v>
      </c>
      <c r="K17" s="9">
        <f t="shared" ca="1" si="7"/>
        <v>20576.374139402556</v>
      </c>
      <c r="L17" s="17">
        <f t="shared" ca="1" si="5"/>
        <v>103307.55508439614</v>
      </c>
      <c r="M17" s="17"/>
      <c r="N17" s="17"/>
      <c r="O17" s="9"/>
      <c r="P17" s="14"/>
      <c r="Q17" s="11">
        <f t="shared" ca="1" si="6"/>
        <v>103307.55508439614</v>
      </c>
      <c r="R17" s="17">
        <f t="shared" ca="1" si="4"/>
        <v>103307.55508439614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0.8888316800801499</v>
      </c>
      <c r="J18" s="39">
        <f ca="1">I18</f>
        <v>0.8888316800801499</v>
      </c>
      <c r="K18" s="40">
        <f ca="1">1-(-K13)/K17</f>
        <v>0.89368593491273507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618.14430914763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618.14430914763</v>
      </c>
      <c r="M2" s="17"/>
      <c r="N2" s="17">
        <f ca="1">Q2-(L2+O2+P2)</f>
        <v>0</v>
      </c>
      <c r="O2" s="11" cm="1">
        <f t="array" aca="1" ref="O2" ca="1">INDIRECT("'data'!$F$" &amp; $A$1)</f>
        <v>1136.8500000000001</v>
      </c>
      <c r="P2" s="13">
        <f ca="1">IF(-(L2-Q2+O2)&lt;0, -(L2-Q2+O2), 0)</f>
        <v>-234.99430914763013</v>
      </c>
      <c r="Q2" s="17" cm="1">
        <f t="array" aca="1" ref="Q2" ca="1">INDIRECT("'data'!$D$" &amp; $A$1)</f>
        <v>1520</v>
      </c>
      <c r="R2" s="17">
        <f ca="1">SUM(L2:P2)</f>
        <v>1520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650.16</v>
      </c>
      <c r="H3" s="14"/>
      <c r="I3" s="14"/>
      <c r="J3" s="14"/>
      <c r="K3" s="13"/>
      <c r="L3" s="16">
        <f t="shared" ca="1" si="0"/>
        <v>650.16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-35.909999999999997</v>
      </c>
      <c r="Q3" s="16" cm="1">
        <f t="array" aca="1" ref="Q3" ca="1">INDIRECT("'data'!$G$" &amp; $A$1)*parameters!$B$13</f>
        <v>614.25</v>
      </c>
      <c r="R3" s="16">
        <f t="shared" ref="R3:R10" ca="1" si="2">SUM(L3:P3)</f>
        <v>614.25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4775.1691536050157</v>
      </c>
      <c r="H5" s="14"/>
      <c r="I5" s="14"/>
      <c r="J5" s="14"/>
      <c r="K5" s="13"/>
      <c r="L5" s="16">
        <f t="shared" ca="1" si="0"/>
        <v>4775.1691536050157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-2125.62</v>
      </c>
      <c r="Q5" s="16">
        <f ca="1">SUM(L5:P5)</f>
        <v>2649.5491536050158</v>
      </c>
      <c r="R5" s="16">
        <f t="shared" ca="1" si="2"/>
        <v>2649.5491536050158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5192.04</v>
      </c>
      <c r="I7" s="14"/>
      <c r="J7" s="14"/>
      <c r="K7" s="13"/>
      <c r="L7" s="16">
        <f t="shared" ca="1" si="0"/>
        <v>5192.04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5192.04</v>
      </c>
      <c r="R7" s="16">
        <f t="shared" ca="1" si="2"/>
        <v>5192.04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5554.64</v>
      </c>
      <c r="J8" s="14">
        <f ca="1">Q10/J18</f>
        <v>0</v>
      </c>
      <c r="K8" s="13"/>
      <c r="L8" s="16">
        <f t="shared" ca="1" si="0"/>
        <v>5554.64</v>
      </c>
      <c r="M8" s="16"/>
      <c r="N8" s="16">
        <f t="shared" ca="1" si="3"/>
        <v>0</v>
      </c>
      <c r="O8" s="11" cm="1">
        <f t="array" aca="1" ref="O8" ca="1">INDIRECT("'data'!$R$" &amp; $A$1)*parameters!$B$15</f>
        <v>80.36</v>
      </c>
      <c r="P8" s="13" cm="1">
        <f t="array" aca="1" ref="P8" ca="1">-INDIRECT("'data'!$S$" &amp; $A$1)*parameters!$B$15</f>
        <v>-442.96</v>
      </c>
      <c r="Q8" s="16">
        <f ca="1">SUM(Q6:Q7)</f>
        <v>5192.04</v>
      </c>
      <c r="R8" s="16">
        <f t="shared" ca="1" si="2"/>
        <v>5192.04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6144.5999999999995</v>
      </c>
      <c r="L9" s="16">
        <f t="shared" ca="1" si="0"/>
        <v>6144.5999999999995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49</v>
      </c>
      <c r="P9" s="13" cm="1">
        <f t="array" aca="1" ref="P9" ca="1">-INDIRECT("'data'!$V$" &amp; $A$1)*parameters!$B$15</f>
        <v>-1245.58</v>
      </c>
      <c r="Q9" s="16" cm="1">
        <f t="array" aca="1" ref="Q9" ca="1">INDIRECT("'data'!$T$" &amp; $A$1)*parameters!$B$15</f>
        <v>4948.0199999999995</v>
      </c>
      <c r="R9" s="16">
        <f t="shared" ca="1" si="2"/>
        <v>4948.0199999999995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4843.16</v>
      </c>
      <c r="L10" s="16">
        <f t="shared" ca="1" si="0"/>
        <v>4843.16</v>
      </c>
      <c r="M10" s="16"/>
      <c r="N10" s="16">
        <f t="shared" ca="1" si="3"/>
        <v>0</v>
      </c>
      <c r="O10" s="11" cm="1">
        <f t="array" aca="1" ref="O10" ca="1">INDIRECT("'data'!$X$" &amp; $A$1)*parameters!$B$15</f>
        <v>780.08</v>
      </c>
      <c r="P10" s="13" cm="1">
        <f t="array" aca="1" ref="P10" ca="1">-INDIRECT("'data'!$Y$" &amp; $A$1)*parameters!$B$15</f>
        <v>-5623.24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10277.1816</v>
      </c>
      <c r="N11" s="19"/>
      <c r="O11" s="21" cm="1">
        <f t="array" aca="1" ref="O11" ca="1">INDIRECT("'data'!$Z$" &amp; $A$1)*parameters!$B$15</f>
        <v>788.9</v>
      </c>
      <c r="P11" s="27" cm="1">
        <f t="array" aca="1" ref="P11" ca="1">-INDIRECT("'data'!$AA$" &amp; $A$1)*parameters!$B$15</f>
        <v>-1125.04</v>
      </c>
      <c r="Q11" s="16">
        <f ca="1">K9*parameters!$B$10+K10*parameters!$B$11</f>
        <v>9941.0415999999987</v>
      </c>
      <c r="R11" s="16">
        <f t="shared" ref="R11:R17" ca="1" si="4">SUM(L11:P11)</f>
        <v>9941.0416000000005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-3.8943091476299969</v>
      </c>
      <c r="D12" s="9">
        <f ca="1">-(D17-Q4)</f>
        <v>0</v>
      </c>
      <c r="E12" s="9">
        <f ca="1">-(E17-Q5)</f>
        <v>-327.47236729949645</v>
      </c>
      <c r="F12" s="9">
        <f ca="1">-(F17-Q6)</f>
        <v>0</v>
      </c>
      <c r="G12" s="9">
        <f ca="1">-(G17-Q7)</f>
        <v>-233.2891536050156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-564.65583005214205</v>
      </c>
      <c r="M12" s="17"/>
      <c r="N12" s="17"/>
      <c r="O12" s="10"/>
      <c r="P12" s="12"/>
      <c r="Q12" s="9">
        <f t="shared" ref="Q12:Q17" ca="1" si="6">SUM(L12:P12)</f>
        <v>-564.65583005214205</v>
      </c>
      <c r="R12" s="17">
        <f t="shared" ca="1" si="4"/>
        <v>-564.65583005214205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-606.6200000000008</v>
      </c>
      <c r="J13" s="14">
        <f ca="1">-(J17-Q10)</f>
        <v>0</v>
      </c>
      <c r="K13" s="13">
        <f ca="1">-(K17-Q11)</f>
        <v>-1046.7183999999997</v>
      </c>
      <c r="L13" s="14">
        <f t="shared" ca="1" si="5"/>
        <v>-1653.3384000000005</v>
      </c>
      <c r="M13" s="16">
        <f ca="1">-E15</f>
        <v>-1323.6831209045117</v>
      </c>
      <c r="N13" s="16"/>
      <c r="O13" s="11"/>
      <c r="P13" s="13"/>
      <c r="Q13" s="14">
        <f t="shared" ca="1" si="6"/>
        <v>-2977.0215209045123</v>
      </c>
      <c r="R13" s="16">
        <f t="shared" ca="1" si="4"/>
        <v>-2977.0215209045123</v>
      </c>
    </row>
    <row r="14" spans="1:19">
      <c r="A14" s="18" t="s">
        <v>78</v>
      </c>
      <c r="B14" s="11"/>
      <c r="C14" s="14"/>
      <c r="D14" s="14"/>
      <c r="E14" s="14">
        <f ca="1">-(I13+J13)-K13</f>
        <v>1653.3384000000005</v>
      </c>
      <c r="F14" s="14"/>
      <c r="G14" s="14"/>
      <c r="H14" s="14"/>
      <c r="I14" s="14"/>
      <c r="J14" s="14"/>
      <c r="K14" s="13"/>
      <c r="L14" s="14">
        <f t="shared" ca="1" si="5"/>
        <v>1653.3384000000005</v>
      </c>
      <c r="M14" s="16"/>
      <c r="N14" s="16"/>
      <c r="O14" s="11"/>
      <c r="P14" s="13"/>
      <c r="Q14" s="14">
        <f t="shared" ca="1" si="6"/>
        <v>1653.3384000000005</v>
      </c>
      <c r="R14" s="16">
        <f t="shared" ca="1" si="4"/>
        <v>1653.3384000000005</v>
      </c>
    </row>
    <row r="15" spans="1:19">
      <c r="A15" s="18" t="s">
        <v>79</v>
      </c>
      <c r="B15" s="11"/>
      <c r="C15" s="14"/>
      <c r="D15" s="14"/>
      <c r="E15" s="14">
        <f ca="1">E17-E14</f>
        <v>1323.6831209045117</v>
      </c>
      <c r="F15" s="14"/>
      <c r="G15" s="14"/>
      <c r="H15" s="14"/>
      <c r="I15" s="14"/>
      <c r="J15" s="14"/>
      <c r="K15" s="13"/>
      <c r="L15" s="14">
        <f t="shared" ca="1" si="5"/>
        <v>1323.6831209045117</v>
      </c>
      <c r="M15" s="16"/>
      <c r="N15" s="16"/>
      <c r="O15" s="11"/>
      <c r="P15" s="13"/>
      <c r="Q15" s="14">
        <f t="shared" ca="1" si="6"/>
        <v>1323.6831209045117</v>
      </c>
      <c r="R15" s="16">
        <f t="shared" ca="1" si="4"/>
        <v>1323.6831209045117</v>
      </c>
    </row>
    <row r="16" spans="1:19">
      <c r="A16" s="30" t="s">
        <v>89</v>
      </c>
      <c r="B16" s="21">
        <f ca="1">Q2</f>
        <v>1520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1520</v>
      </c>
      <c r="M16" s="19"/>
      <c r="N16" s="19"/>
      <c r="O16" s="21"/>
      <c r="P16" s="27"/>
      <c r="Q16" s="22">
        <f t="shared" ca="1" si="6"/>
        <v>1520</v>
      </c>
      <c r="R16" s="19">
        <f t="shared" ca="1" si="4"/>
        <v>1520</v>
      </c>
    </row>
    <row r="17" spans="1:18">
      <c r="A17" s="29" t="s">
        <v>88</v>
      </c>
      <c r="B17" s="9">
        <f ca="1">B16</f>
        <v>1520</v>
      </c>
      <c r="C17" s="9">
        <f ca="1">SUM(C$2:C$11)</f>
        <v>618.14430914763</v>
      </c>
      <c r="D17" s="9">
        <f ca="1">SUM(D$2:D$11)</f>
        <v>0</v>
      </c>
      <c r="E17" s="9">
        <f ca="1">$Q$5/parameters!$B$4</f>
        <v>2977.0215209045123</v>
      </c>
      <c r="F17" s="9">
        <f t="shared" ref="F17:K17" ca="1" si="7">SUM(F$2:F$11)</f>
        <v>0</v>
      </c>
      <c r="G17" s="9">
        <f t="shared" ca="1" si="7"/>
        <v>5425.3291536050156</v>
      </c>
      <c r="H17" s="9">
        <f t="shared" ca="1" si="7"/>
        <v>5192.04</v>
      </c>
      <c r="I17" s="9">
        <f t="shared" ca="1" si="7"/>
        <v>5554.64</v>
      </c>
      <c r="J17" s="9">
        <f t="shared" ca="1" si="7"/>
        <v>0</v>
      </c>
      <c r="K17" s="9">
        <f t="shared" ca="1" si="7"/>
        <v>10987.759999999998</v>
      </c>
      <c r="L17" s="17">
        <f t="shared" ca="1" si="5"/>
        <v>32274.934983657156</v>
      </c>
      <c r="M17" s="17"/>
      <c r="N17" s="17"/>
      <c r="O17" s="9"/>
      <c r="P17" s="14"/>
      <c r="Q17" s="11">
        <f t="shared" ca="1" si="6"/>
        <v>32274.934983657156</v>
      </c>
      <c r="R17" s="17">
        <f t="shared" ca="1" si="4"/>
        <v>32274.934983657156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0.89079040225829198</v>
      </c>
      <c r="J18" s="39">
        <f ca="1">I18</f>
        <v>0.89079040225829198</v>
      </c>
      <c r="K18" s="40">
        <f ca="1">1-(-K13)/K17</f>
        <v>0.90473778094898327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9064.848545838784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9064.848545838784</v>
      </c>
      <c r="M2" s="17"/>
      <c r="N2" s="17">
        <f ca="1">Q2-(L2+O2+P2)</f>
        <v>0</v>
      </c>
      <c r="O2" s="11" cm="1">
        <f t="array" aca="1" ref="O2" ca="1">INDIRECT("'data'!$F$" &amp; $A$1)</f>
        <v>57.2</v>
      </c>
      <c r="P2" s="13">
        <f ca="1">IF(-(L2-Q2+O2)&lt;0, -(L2-Q2+O2), 0)</f>
        <v>-9122.0485458387848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7946.1492537313443</v>
      </c>
      <c r="G3" s="14">
        <f ca="1">Q3-O3-P3-F3</f>
        <v>1144.7507462686553</v>
      </c>
      <c r="H3" s="14"/>
      <c r="I3" s="14"/>
      <c r="J3" s="14"/>
      <c r="K3" s="13"/>
      <c r="L3" s="16">
        <f t="shared" ca="1" si="0"/>
        <v>9090.9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41.58</v>
      </c>
      <c r="P3" s="13" cm="1">
        <f t="array" aca="1" ref="P3" ca="1">-INDIRECT("'data'!$I$" &amp; $A$1)*parameters!$B$13</f>
        <v>-124.74</v>
      </c>
      <c r="Q3" s="16" cm="1">
        <f t="array" aca="1" ref="Q3" ca="1">INDIRECT("'data'!$G$" &amp; $A$1)*parameters!$B$13</f>
        <v>9007.74</v>
      </c>
      <c r="R3" s="16">
        <f t="shared" ref="R3:R10" ca="1" si="2">SUM(L3:P3)</f>
        <v>9007.74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25.76</v>
      </c>
      <c r="H4" s="14"/>
      <c r="I4" s="14"/>
      <c r="J4" s="14"/>
      <c r="K4" s="13"/>
      <c r="L4" s="16">
        <f t="shared" ca="1" si="0"/>
        <v>25.76</v>
      </c>
      <c r="M4" s="16"/>
      <c r="N4" s="16">
        <f t="shared" ca="1" si="1"/>
        <v>0</v>
      </c>
      <c r="O4" s="11" cm="1">
        <f t="array" aca="1" ref="O4" ca="1">INDIRECT("'data'!$K$" &amp; $A$1)*parameters!$B$14</f>
        <v>5.5200000000000005</v>
      </c>
      <c r="P4" s="13" cm="1">
        <f t="array" aca="1" ref="P4" ca="1">-INDIRECT("'data'!$L$" &amp; $A$1)*parameters!$B$14</f>
        <v>-31.28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1986.5373134328363</v>
      </c>
      <c r="G5" s="14">
        <f ca="1">Q7/parameters!$B$7-(G3+G4)</f>
        <v>5078.1412913488994</v>
      </c>
      <c r="H5" s="14"/>
      <c r="I5" s="14"/>
      <c r="J5" s="14"/>
      <c r="K5" s="13"/>
      <c r="L5" s="16">
        <f t="shared" ca="1" si="0"/>
        <v>7064.6786047817359</v>
      </c>
      <c r="M5" s="16"/>
      <c r="N5" s="16"/>
      <c r="O5" s="11" cm="1">
        <f t="array" aca="1" ref="O5" ca="1">INDIRECT("'data'!$M$" &amp; $A$1)*parameters!$B$15</f>
        <v>5995.64</v>
      </c>
      <c r="P5" s="13" cm="1">
        <f t="array" aca="1" ref="P5" ca="1">-INDIRECT("'data'!$N$" &amp; $A$1)*parameters!$B$15</f>
        <v>-2650.9</v>
      </c>
      <c r="Q5" s="16">
        <f ca="1">SUM(L5:P5)</f>
        <v>10409.418604781737</v>
      </c>
      <c r="R5" s="16">
        <f t="shared" ca="1" si="2"/>
        <v>10409.418604781737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9316.86</v>
      </c>
      <c r="I6" s="14"/>
      <c r="J6" s="14"/>
      <c r="K6" s="13"/>
      <c r="L6" s="16">
        <f t="shared" ca="1" si="0"/>
        <v>9316.86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9316.86</v>
      </c>
      <c r="R6" s="16">
        <f t="shared" ca="1" si="2"/>
        <v>9316.86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5979.96</v>
      </c>
      <c r="I7" s="14"/>
      <c r="J7" s="14"/>
      <c r="K7" s="13"/>
      <c r="L7" s="16">
        <f t="shared" ca="1" si="0"/>
        <v>5979.96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5979.96</v>
      </c>
      <c r="R7" s="16">
        <f t="shared" ca="1" si="2"/>
        <v>5979.96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5215.1627836958041</v>
      </c>
      <c r="J8" s="14">
        <f ca="1">Q10/J18</f>
        <v>9576.9572163041958</v>
      </c>
      <c r="K8" s="13"/>
      <c r="L8" s="16">
        <f t="shared" ca="1" si="0"/>
        <v>14792.119999999999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2188.34</v>
      </c>
      <c r="P8" s="13" cm="1">
        <f t="array" aca="1" ref="P8" ca="1">-INDIRECT("'data'!$S$" &amp; $A$1)*parameters!$B$15</f>
        <v>-1683.6399999999999</v>
      </c>
      <c r="Q8" s="16">
        <f ca="1">SUM(Q6:Q7)</f>
        <v>15296.82</v>
      </c>
      <c r="R8" s="16">
        <f t="shared" ca="1" si="2"/>
        <v>15296.82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5298.8600000000006</v>
      </c>
      <c r="L9" s="16">
        <f t="shared" ca="1" si="0"/>
        <v>5298.8600000000006</v>
      </c>
      <c r="M9" s="16"/>
      <c r="N9" s="16">
        <f t="shared" ca="1" si="3"/>
        <v>0</v>
      </c>
      <c r="O9" s="11" cm="1">
        <f t="array" aca="1" ref="O9" ca="1">INDIRECT("'data'!$U$" &amp; $A$1)*parameters!$B$15</f>
        <v>2450</v>
      </c>
      <c r="P9" s="13" cm="1">
        <f t="array" aca="1" ref="P9" ca="1">-INDIRECT("'data'!$V$" &amp; $A$1)*parameters!$B$15</f>
        <v>-2967.44</v>
      </c>
      <c r="Q9" s="16" cm="1">
        <f t="array" aca="1" ref="Q9" ca="1">INDIRECT("'data'!$T$" &amp; $A$1)*parameters!$B$15</f>
        <v>4781.42</v>
      </c>
      <c r="R9" s="16">
        <f t="shared" ca="1" si="2"/>
        <v>4781.42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7136.0059174964435</v>
      </c>
      <c r="L10" s="16">
        <f t="shared" ca="1" si="0"/>
        <v>7136.0059174964435</v>
      </c>
      <c r="M10" s="16"/>
      <c r="N10" s="16">
        <f t="shared" ca="1" si="3"/>
        <v>0</v>
      </c>
      <c r="O10" s="11" cm="1">
        <f t="array" aca="1" ref="O10" ca="1">INDIRECT("'data'!$X$" &amp; $A$1)*parameters!$B$15</f>
        <v>8584.7999999999993</v>
      </c>
      <c r="P10" s="13" cm="1">
        <f t="array" aca="1" ref="P10" ca="1">-INDIRECT("'data'!$Y$" &amp; $A$1)*parameters!$B$15</f>
        <v>-6940.36</v>
      </c>
      <c r="Q10" s="16" cm="1">
        <f t="array" aca="1" ref="Q10" ca="1">INDIRECT("'data'!$W$" &amp; $A$1)*parameters!$B$15</f>
        <v>8780.4459174964431</v>
      </c>
      <c r="R10" s="16">
        <f t="shared" ca="1" si="2"/>
        <v>8780.4459174964431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14253.893489046943</v>
      </c>
      <c r="N11" s="19"/>
      <c r="O11" s="21" cm="1">
        <f t="array" aca="1" ref="O11" ca="1">INDIRECT("'data'!$Z$" &amp; $A$1)*parameters!$B$15</f>
        <v>8407.42</v>
      </c>
      <c r="P11" s="27" cm="1">
        <f t="array" aca="1" ref="P11" ca="1">-INDIRECT("'data'!$AA$" &amp; $A$1)*parameters!$B$15</f>
        <v>-11543.42</v>
      </c>
      <c r="Q11" s="16">
        <f ca="1">K9*parameters!$B$10+K10*parameters!$B$11</f>
        <v>11117.893489046943</v>
      </c>
      <c r="R11" s="16">
        <f t="shared" ref="R11:R17" ca="1" si="4">SUM(L11:P11)</f>
        <v>11117.893489046945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-57.108545838784266</v>
      </c>
      <c r="D12" s="9">
        <f ca="1">-(D17-Q4)</f>
        <v>0</v>
      </c>
      <c r="E12" s="9">
        <f ca="1">-(E17-Q5)</f>
        <v>-1286.5573556471809</v>
      </c>
      <c r="F12" s="9">
        <f ca="1">-(F17-Q6)</f>
        <v>-615.82656716418023</v>
      </c>
      <c r="G12" s="9">
        <f ca="1">-(G17-Q7)</f>
        <v>-268.69203761755489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-2228.1845062677003</v>
      </c>
      <c r="M12" s="17"/>
      <c r="N12" s="17"/>
      <c r="O12" s="10"/>
      <c r="P12" s="12"/>
      <c r="Q12" s="9">
        <f t="shared" ref="Q12:Q17" ca="1" si="6">SUM(L12:P12)</f>
        <v>-2228.1845062677003</v>
      </c>
      <c r="R12" s="17">
        <f t="shared" ca="1" si="4"/>
        <v>-2228.1845062677003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-433.74278369580406</v>
      </c>
      <c r="J13" s="14">
        <f ca="1">-(J17-Q10)</f>
        <v>-796.51129880775261</v>
      </c>
      <c r="K13" s="13">
        <f ca="1">-(K17-Q11)</f>
        <v>-1316.9724284495023</v>
      </c>
      <c r="L13" s="14">
        <f t="shared" ca="1" si="5"/>
        <v>-2547.226510953059</v>
      </c>
      <c r="M13" s="16">
        <f ca="1">-E15</f>
        <v>-9148.7494494758575</v>
      </c>
      <c r="N13" s="16"/>
      <c r="O13" s="11"/>
      <c r="P13" s="13"/>
      <c r="Q13" s="14">
        <f t="shared" ca="1" si="6"/>
        <v>-11695.975960428917</v>
      </c>
      <c r="R13" s="16">
        <f t="shared" ca="1" si="4"/>
        <v>-11695.975960428917</v>
      </c>
    </row>
    <row r="14" spans="1:20">
      <c r="A14" s="18" t="s">
        <v>78</v>
      </c>
      <c r="B14" s="11"/>
      <c r="C14" s="14"/>
      <c r="D14" s="14"/>
      <c r="E14" s="14">
        <f ca="1">-(I13+J13)-K13</f>
        <v>2547.226510953059</v>
      </c>
      <c r="F14" s="14"/>
      <c r="G14" s="14"/>
      <c r="H14" s="14"/>
      <c r="I14" s="14"/>
      <c r="J14" s="14"/>
      <c r="K14" s="13"/>
      <c r="L14" s="14">
        <f t="shared" ca="1" si="5"/>
        <v>2547.226510953059</v>
      </c>
      <c r="M14" s="16"/>
      <c r="N14" s="16"/>
      <c r="O14" s="11"/>
      <c r="P14" s="13"/>
      <c r="Q14" s="14">
        <f t="shared" ca="1" si="6"/>
        <v>2547.226510953059</v>
      </c>
      <c r="R14" s="16">
        <f t="shared" ca="1" si="4"/>
        <v>2547.226510953059</v>
      </c>
    </row>
    <row r="15" spans="1:20">
      <c r="A15" s="18" t="s">
        <v>79</v>
      </c>
      <c r="B15" s="11"/>
      <c r="C15" s="14"/>
      <c r="D15" s="14"/>
      <c r="E15" s="14">
        <f ca="1">E17-E14</f>
        <v>9148.7494494758575</v>
      </c>
      <c r="F15" s="14"/>
      <c r="G15" s="14"/>
      <c r="H15" s="14"/>
      <c r="I15" s="14"/>
      <c r="J15" s="14"/>
      <c r="K15" s="13"/>
      <c r="L15" s="14">
        <f t="shared" ca="1" si="5"/>
        <v>9148.7494494758575</v>
      </c>
      <c r="M15" s="16"/>
      <c r="N15" s="16"/>
      <c r="O15" s="11"/>
      <c r="P15" s="13"/>
      <c r="Q15" s="14">
        <f t="shared" ca="1" si="6"/>
        <v>9148.7494494758575</v>
      </c>
      <c r="R15" s="16">
        <f t="shared" ca="1" si="4"/>
        <v>9148.7494494758575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9064.848545838784</v>
      </c>
      <c r="D17" s="9">
        <f ca="1">SUM(D$2:D$11)</f>
        <v>0</v>
      </c>
      <c r="E17" s="9">
        <f ca="1">$Q$5/parameters!$B$4</f>
        <v>11695.975960428917</v>
      </c>
      <c r="F17" s="9">
        <f t="shared" ref="F17:K17" ca="1" si="7">SUM(F$2:F$11)</f>
        <v>9932.6865671641808</v>
      </c>
      <c r="G17" s="9">
        <f t="shared" ca="1" si="7"/>
        <v>6248.6520376175549</v>
      </c>
      <c r="H17" s="9">
        <f t="shared" ca="1" si="7"/>
        <v>15296.82</v>
      </c>
      <c r="I17" s="9">
        <f t="shared" ca="1" si="7"/>
        <v>5215.1627836958041</v>
      </c>
      <c r="J17" s="9">
        <f t="shared" ca="1" si="7"/>
        <v>9576.9572163041958</v>
      </c>
      <c r="K17" s="9">
        <f t="shared" ca="1" si="7"/>
        <v>12434.865917496445</v>
      </c>
      <c r="L17" s="17">
        <f t="shared" ca="1" si="5"/>
        <v>79465.969028545878</v>
      </c>
      <c r="M17" s="17"/>
      <c r="N17" s="17"/>
      <c r="O17" s="9"/>
      <c r="P17" s="14"/>
      <c r="Q17" s="11">
        <f t="shared" ca="1" si="6"/>
        <v>79465.969028545878</v>
      </c>
      <c r="R17" s="17">
        <f t="shared" ca="1" si="4"/>
        <v>79465.969028545878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0.9168304419850869</v>
      </c>
      <c r="J18" s="39">
        <f ca="1">I18</f>
        <v>0.9168304419850869</v>
      </c>
      <c r="K18" s="40">
        <f ca="1">1-(-K13)/K17</f>
        <v>0.89409033943852501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2930.0040253597667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2930.0040253597667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-2930.0040253597667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2861.0149253731347</v>
      </c>
      <c r="G3" s="14">
        <f ca="1">Q3-O3-P3-F3</f>
        <v>299.06507462686523</v>
      </c>
      <c r="H3" s="14"/>
      <c r="I3" s="14"/>
      <c r="J3" s="14"/>
      <c r="K3" s="13"/>
      <c r="L3" s="16">
        <f t="shared" ca="1" si="0"/>
        <v>3160.08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10.395</v>
      </c>
      <c r="P3" s="13" cm="1">
        <f t="array" aca="1" ref="P3" ca="1">-INDIRECT("'data'!$I$" &amp; $A$1)*parameters!$B$13</f>
        <v>-258.93</v>
      </c>
      <c r="Q3" s="16" cm="1">
        <f t="array" aca="1" ref="Q3" ca="1">INDIRECT("'data'!$G$" &amp; $A$1)*parameters!$B$13</f>
        <v>2911.5450000000001</v>
      </c>
      <c r="R3" s="16">
        <f t="shared" ref="R3:R10" ca="1" si="2">SUM(L3:P3)</f>
        <v>2911.5450000000001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403.88000000000005</v>
      </c>
      <c r="H4" s="14"/>
      <c r="I4" s="14"/>
      <c r="J4" s="14"/>
      <c r="K4" s="13"/>
      <c r="L4" s="16">
        <f t="shared" ca="1" si="0"/>
        <v>403.88000000000005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-405.72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715.25373134328368</v>
      </c>
      <c r="G5" s="14">
        <f ca="1">Q7/parameters!$B$7-(G3+G4)</f>
        <v>9758.5805262090817</v>
      </c>
      <c r="H5" s="14"/>
      <c r="I5" s="14"/>
      <c r="J5" s="14"/>
      <c r="K5" s="13"/>
      <c r="L5" s="16">
        <f t="shared" ca="1" si="0"/>
        <v>10473.834257552366</v>
      </c>
      <c r="M5" s="16"/>
      <c r="N5" s="16"/>
      <c r="O5" s="11" cm="1">
        <f t="array" aca="1" ref="O5" ca="1">INDIRECT("'data'!$M$" &amp; $A$1)*parameters!$B$15</f>
        <v>649.74</v>
      </c>
      <c r="P5" s="13" cm="1">
        <f t="array" aca="1" ref="P5" ca="1">-INDIRECT("'data'!$N$" &amp; $A$1)*parameters!$B$15</f>
        <v>-4203.22</v>
      </c>
      <c r="Q5" s="16">
        <f ca="1">SUM(L5:P5)</f>
        <v>6920.3542575523652</v>
      </c>
      <c r="R5" s="16">
        <f t="shared" ca="1" si="2"/>
        <v>6920.3542575523652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3354.54</v>
      </c>
      <c r="I6" s="14"/>
      <c r="J6" s="14"/>
      <c r="K6" s="13"/>
      <c r="L6" s="16">
        <f t="shared" ca="1" si="0"/>
        <v>3354.54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3354.54</v>
      </c>
      <c r="R6" s="16">
        <f t="shared" ca="1" si="2"/>
        <v>3354.54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10011.68</v>
      </c>
      <c r="I7" s="14"/>
      <c r="J7" s="14"/>
      <c r="K7" s="13"/>
      <c r="L7" s="16">
        <f t="shared" ca="1" si="0"/>
        <v>10011.68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10011.68</v>
      </c>
      <c r="R7" s="16">
        <f t="shared" ca="1" si="2"/>
        <v>10011.68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10075.369984108125</v>
      </c>
      <c r="J8" s="14">
        <f ca="1">Q10/J18</f>
        <v>3868.0700158918785</v>
      </c>
      <c r="K8" s="13"/>
      <c r="L8" s="16">
        <f t="shared" ca="1" si="0"/>
        <v>13943.440000000004</v>
      </c>
      <c r="M8" s="16"/>
      <c r="N8" s="16">
        <f t="shared" ca="1" si="3"/>
        <v>0</v>
      </c>
      <c r="O8" s="11" cm="1">
        <f t="array" aca="1" ref="O8" ca="1">INDIRECT("'data'!$R$" &amp; $A$1)*parameters!$B$15</f>
        <v>119.56</v>
      </c>
      <c r="P8" s="13" cm="1">
        <f t="array" aca="1" ref="P8" ca="1">-INDIRECT("'data'!$S$" &amp; $A$1)*parameters!$B$15</f>
        <v>-696.78</v>
      </c>
      <c r="Q8" s="16">
        <f ca="1">SUM(Q6:Q7)</f>
        <v>13366.220000000001</v>
      </c>
      <c r="R8" s="16">
        <f t="shared" ca="1" si="2"/>
        <v>13366.220000000003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4134.619999999999</v>
      </c>
      <c r="L9" s="16">
        <f t="shared" ca="1" si="0"/>
        <v>4134.619999999999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6231.82</v>
      </c>
      <c r="P9" s="13" cm="1">
        <f t="array" aca="1" ref="P9" ca="1">-INDIRECT("'data'!$V$" &amp; $A$1)*parameters!$B$15</f>
        <v>-939.81999999999994</v>
      </c>
      <c r="Q9" s="16" cm="1">
        <f t="array" aca="1" ref="Q9" ca="1">INDIRECT("'data'!$T$" &amp; $A$1)*parameters!$B$15</f>
        <v>9426.619999999999</v>
      </c>
      <c r="R9" s="16">
        <f t="shared" ca="1" si="2"/>
        <v>9426.619999999999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6752.0661735419635</v>
      </c>
      <c r="L10" s="16">
        <f t="shared" ca="1" si="0"/>
        <v>6752.0661735419635</v>
      </c>
      <c r="M10" s="16"/>
      <c r="N10" s="16">
        <f t="shared" ca="1" si="3"/>
        <v>0</v>
      </c>
      <c r="O10" s="11" cm="1">
        <f t="array" aca="1" ref="O10" ca="1">INDIRECT("'data'!$X$" &amp; $A$1)*parameters!$B$15</f>
        <v>2026.6399999999999</v>
      </c>
      <c r="P10" s="13" cm="1">
        <f t="array" aca="1" ref="P10" ca="1">-INDIRECT("'data'!$Y$" &amp; $A$1)*parameters!$B$15</f>
        <v>-5159.7</v>
      </c>
      <c r="Q10" s="16" cm="1">
        <f t="array" aca="1" ref="Q10" ca="1">INDIRECT("'data'!$W$" &amp; $A$1)*parameters!$B$15</f>
        <v>3619.0061735419631</v>
      </c>
      <c r="R10" s="16">
        <f t="shared" ca="1" si="2"/>
        <v>3619.0061735419631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6704.3197092460869</v>
      </c>
      <c r="N11" s="19"/>
      <c r="O11" s="21" cm="1">
        <f t="array" aca="1" ref="O11" ca="1">INDIRECT("'data'!$Z$" &amp; $A$1)*parameters!$B$15</f>
        <v>8439.76</v>
      </c>
      <c r="P11" s="27" cm="1">
        <f t="array" aca="1" ref="P11" ca="1">-INDIRECT("'data'!$AA$" &amp; $A$1)*parameters!$B$15</f>
        <v>-5450.76</v>
      </c>
      <c r="Q11" s="16">
        <f ca="1">K9*parameters!$B$10+K10*parameters!$B$11</f>
        <v>9693.3197092460869</v>
      </c>
      <c r="R11" s="16">
        <f t="shared" ref="R11:R17" ca="1" si="4">SUM(L11:P11)</f>
        <v>9693.3197092460869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-18.459025359766656</v>
      </c>
      <c r="D12" s="9">
        <f ca="1">-(D17-Q4)</f>
        <v>0</v>
      </c>
      <c r="E12" s="9">
        <f ca="1">-(E17-Q5)</f>
        <v>-855.32468351770785</v>
      </c>
      <c r="F12" s="9">
        <f ca="1">-(F17-Q6)</f>
        <v>-221.7286567164183</v>
      </c>
      <c r="G12" s="9">
        <f ca="1">-(G17-Q7)</f>
        <v>-449.84560083594624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-1545.3579664298391</v>
      </c>
      <c r="M12" s="17"/>
      <c r="N12" s="17"/>
      <c r="O12" s="10"/>
      <c r="P12" s="12"/>
      <c r="Q12" s="9">
        <f t="shared" ref="Q12:Q17" ca="1" si="6">SUM(L12:P12)</f>
        <v>-1545.3579664298391</v>
      </c>
      <c r="R12" s="17">
        <f t="shared" ca="1" si="4"/>
        <v>-1545.3579664298391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-648.74998410812623</v>
      </c>
      <c r="J13" s="14">
        <f ca="1">-(J17-Q10)</f>
        <v>-249.06384234991538</v>
      </c>
      <c r="K13" s="13">
        <f ca="1">-(K17-Q11)</f>
        <v>-1193.3664642958756</v>
      </c>
      <c r="L13" s="14">
        <f t="shared" ca="1" si="5"/>
        <v>-2091.1802907539172</v>
      </c>
      <c r="M13" s="16">
        <f ca="1">-E15</f>
        <v>-5684.4986503161563</v>
      </c>
      <c r="N13" s="16"/>
      <c r="O13" s="11"/>
      <c r="P13" s="13"/>
      <c r="Q13" s="14">
        <f t="shared" ca="1" si="6"/>
        <v>-7775.6789410700731</v>
      </c>
      <c r="R13" s="16">
        <f t="shared" ca="1" si="4"/>
        <v>-7775.6789410700731</v>
      </c>
    </row>
    <row r="14" spans="1:20">
      <c r="A14" s="18" t="s">
        <v>78</v>
      </c>
      <c r="B14" s="11"/>
      <c r="C14" s="14"/>
      <c r="D14" s="14"/>
      <c r="E14" s="14">
        <f ca="1">-(I13+J13)-K13</f>
        <v>2091.1802907539172</v>
      </c>
      <c r="F14" s="14"/>
      <c r="G14" s="14"/>
      <c r="H14" s="14"/>
      <c r="I14" s="14"/>
      <c r="J14" s="14"/>
      <c r="K14" s="13"/>
      <c r="L14" s="14">
        <f t="shared" ca="1" si="5"/>
        <v>2091.1802907539172</v>
      </c>
      <c r="M14" s="16"/>
      <c r="N14" s="16"/>
      <c r="O14" s="11"/>
      <c r="P14" s="13"/>
      <c r="Q14" s="14">
        <f t="shared" ca="1" si="6"/>
        <v>2091.1802907539172</v>
      </c>
      <c r="R14" s="16">
        <f t="shared" ca="1" si="4"/>
        <v>2091.1802907539172</v>
      </c>
    </row>
    <row r="15" spans="1:20">
      <c r="A15" s="18" t="s">
        <v>79</v>
      </c>
      <c r="B15" s="11"/>
      <c r="C15" s="14"/>
      <c r="D15" s="14"/>
      <c r="E15" s="14">
        <f ca="1">E17-E14</f>
        <v>5684.4986503161563</v>
      </c>
      <c r="F15" s="14"/>
      <c r="G15" s="14"/>
      <c r="H15" s="14"/>
      <c r="I15" s="14"/>
      <c r="J15" s="14"/>
      <c r="K15" s="13"/>
      <c r="L15" s="14">
        <f t="shared" ca="1" si="5"/>
        <v>5684.4986503161563</v>
      </c>
      <c r="M15" s="16"/>
      <c r="N15" s="16"/>
      <c r="O15" s="11"/>
      <c r="P15" s="13"/>
      <c r="Q15" s="14">
        <f t="shared" ca="1" si="6"/>
        <v>5684.4986503161563</v>
      </c>
      <c r="R15" s="16">
        <f t="shared" ca="1" si="4"/>
        <v>5684.4986503161563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2930.0040253597667</v>
      </c>
      <c r="D17" s="9">
        <f ca="1">SUM(D$2:D$11)</f>
        <v>0</v>
      </c>
      <c r="E17" s="9">
        <f ca="1">$Q$5/parameters!$B$4</f>
        <v>7775.6789410700731</v>
      </c>
      <c r="F17" s="9">
        <f t="shared" ref="F17:K17" ca="1" si="7">SUM(F$2:F$11)</f>
        <v>3576.2686567164183</v>
      </c>
      <c r="G17" s="9">
        <f t="shared" ca="1" si="7"/>
        <v>10461.525600835947</v>
      </c>
      <c r="H17" s="9">
        <f t="shared" ca="1" si="7"/>
        <v>13366.220000000001</v>
      </c>
      <c r="I17" s="9">
        <f t="shared" ca="1" si="7"/>
        <v>10075.369984108125</v>
      </c>
      <c r="J17" s="9">
        <f t="shared" ca="1" si="7"/>
        <v>3868.0700158918785</v>
      </c>
      <c r="K17" s="9">
        <f t="shared" ca="1" si="7"/>
        <v>10886.686173541962</v>
      </c>
      <c r="L17" s="17">
        <f t="shared" ca="1" si="5"/>
        <v>62939.823397524175</v>
      </c>
      <c r="M17" s="17"/>
      <c r="N17" s="17"/>
      <c r="O17" s="9"/>
      <c r="P17" s="14"/>
      <c r="Q17" s="11">
        <f t="shared" ca="1" si="6"/>
        <v>62939.823397524175</v>
      </c>
      <c r="R17" s="17">
        <f t="shared" ca="1" si="4"/>
        <v>62939.823397524175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0.93561030660597089</v>
      </c>
      <c r="J18" s="39">
        <f ca="1">I18</f>
        <v>0.93561030660597089</v>
      </c>
      <c r="K18" s="40">
        <f ca="1">1-(-K13)/K17</f>
        <v>0.89038294617179947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7278.8869880245538</v>
      </c>
      <c r="D2" s="9">
        <f ca="1">Q4/parameters!$B$3</f>
        <v>779.55117238603202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8058.4381604105856</v>
      </c>
      <c r="M2" s="17"/>
      <c r="N2" s="17">
        <f ca="1">Q2-(L2+O2+P2)</f>
        <v>0</v>
      </c>
      <c r="O2" s="11" cm="1">
        <f t="array" aca="1" ref="O2" ca="1">INDIRECT("'data'!$F$" &amp; $A$1)</f>
        <v>22406.15</v>
      </c>
      <c r="P2" s="13">
        <f ca="1">IF(-(L2-Q2+O2)&lt;0, -(L2-Q2+O2), 0)</f>
        <v>-5464.5881604105889</v>
      </c>
      <c r="Q2" s="17" cm="1">
        <f t="array" aca="1" ref="Q2" ca="1">INDIRECT("'data'!$D$" &amp; $A$1)</f>
        <v>25000</v>
      </c>
      <c r="R2" s="17">
        <f ca="1">SUM(L2:P2)</f>
        <v>25000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6527.7611940298511</v>
      </c>
      <c r="G3" s="14">
        <f ca="1">Q3-O3-P3-F3</f>
        <v>601.31880597014879</v>
      </c>
      <c r="H3" s="14"/>
      <c r="I3" s="14"/>
      <c r="J3" s="14"/>
      <c r="K3" s="13"/>
      <c r="L3" s="16">
        <f t="shared" ca="1" si="0"/>
        <v>7129.08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139.85999999999999</v>
      </c>
      <c r="P3" s="13" cm="1">
        <f t="array" aca="1" ref="P3" ca="1">-INDIRECT("'data'!$I$" &amp; $A$1)*parameters!$B$13</f>
        <v>-35.909999999999997</v>
      </c>
      <c r="Q3" s="16" cm="1">
        <f t="array" aca="1" ref="Q3" ca="1">INDIRECT("'data'!$G$" &amp; $A$1)*parameters!$B$13</f>
        <v>7233.03</v>
      </c>
      <c r="R3" s="16">
        <f t="shared" ref="R3:R10" ca="1" si="2">SUM(L3:P3)</f>
        <v>7233.03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909.88</v>
      </c>
      <c r="H4" s="14"/>
      <c r="I4" s="14"/>
      <c r="J4" s="14"/>
      <c r="K4" s="13"/>
      <c r="L4" s="16">
        <f t="shared" ca="1" si="0"/>
        <v>909.88</v>
      </c>
      <c r="M4" s="16"/>
      <c r="N4" s="16">
        <f t="shared" ca="1" si="1"/>
        <v>0</v>
      </c>
      <c r="O4" s="11" cm="1">
        <f t="array" aca="1" ref="O4" ca="1">INDIRECT("'data'!$K$" &amp; $A$1)*parameters!$B$14</f>
        <v>11.96</v>
      </c>
      <c r="P4" s="13" cm="1">
        <f t="array" aca="1" ref="P4" ca="1">-INDIRECT("'data'!$L$" &amp; $A$1)*parameters!$B$14</f>
        <v>-147.20000000000002</v>
      </c>
      <c r="Q4" s="16" cm="1">
        <f t="array" aca="1" ref="Q4" ca="1">INDIRECT("'data'!$J$" &amp; $A$1)*parameters!$B$14</f>
        <v>774.64</v>
      </c>
      <c r="R4" s="16">
        <f t="shared" ca="1" si="2"/>
        <v>774.64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1631.940298507463</v>
      </c>
      <c r="G5" s="14">
        <f ca="1">Q7/parameters!$B$7-(G3+G4)</f>
        <v>4322.7196893276569</v>
      </c>
      <c r="H5" s="14"/>
      <c r="I5" s="14"/>
      <c r="J5" s="14"/>
      <c r="K5" s="13"/>
      <c r="L5" s="16">
        <f t="shared" ca="1" si="0"/>
        <v>5954.6599878351199</v>
      </c>
      <c r="M5" s="16"/>
      <c r="N5" s="16"/>
      <c r="O5" s="11" cm="1">
        <f t="array" aca="1" ref="O5" ca="1">INDIRECT("'data'!$M$" &amp; $A$1)*parameters!$B$15</f>
        <v>4163.04</v>
      </c>
      <c r="P5" s="13" cm="1">
        <f t="array" aca="1" ref="P5" ca="1">-INDIRECT("'data'!$N$" &amp; $A$1)*parameters!$B$15</f>
        <v>-2296.14</v>
      </c>
      <c r="Q5" s="16">
        <f ca="1">SUM(L5:P5)</f>
        <v>7821.5599878351204</v>
      </c>
      <c r="R5" s="16">
        <f t="shared" ca="1" si="2"/>
        <v>7821.5599878351204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7653.8</v>
      </c>
      <c r="I6" s="14"/>
      <c r="J6" s="14"/>
      <c r="K6" s="13"/>
      <c r="L6" s="16">
        <f t="shared" ca="1" si="0"/>
        <v>7653.8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7653.8</v>
      </c>
      <c r="R6" s="16">
        <f t="shared" ca="1" si="2"/>
        <v>7653.8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5583.0599999999995</v>
      </c>
      <c r="I7" s="14"/>
      <c r="J7" s="14"/>
      <c r="K7" s="13"/>
      <c r="L7" s="16">
        <f t="shared" ca="1" si="0"/>
        <v>5583.0599999999995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5583.0599999999995</v>
      </c>
      <c r="R7" s="16">
        <f t="shared" ca="1" si="2"/>
        <v>5583.0599999999995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3476.985018987818</v>
      </c>
      <c r="J8" s="14">
        <f ca="1">Q10/J18</f>
        <v>9569.7549810121836</v>
      </c>
      <c r="K8" s="13"/>
      <c r="L8" s="16">
        <f t="shared" ca="1" si="0"/>
        <v>13046.740000000002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650.72</v>
      </c>
      <c r="P8" s="13" cm="1">
        <f t="array" aca="1" ref="P8" ca="1">-INDIRECT("'data'!$S$" &amp; $A$1)*parameters!$B$15</f>
        <v>-460.59999999999997</v>
      </c>
      <c r="Q8" s="16">
        <f ca="1">SUM(Q6:Q7)</f>
        <v>13236.86</v>
      </c>
      <c r="R8" s="16">
        <f t="shared" ca="1" si="2"/>
        <v>13236.86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4718.7</v>
      </c>
      <c r="L9" s="16">
        <f t="shared" ca="1" si="0"/>
        <v>4718.7</v>
      </c>
      <c r="M9" s="16"/>
      <c r="N9" s="16">
        <f t="shared" ca="1" si="3"/>
        <v>0</v>
      </c>
      <c r="O9" s="11" cm="1">
        <f t="array" aca="1" ref="O9" ca="1">INDIRECT("'data'!$U$" &amp; $A$1)*parameters!$B$15</f>
        <v>1372.98</v>
      </c>
      <c r="P9" s="13" cm="1">
        <f t="array" aca="1" ref="P9" ca="1">-INDIRECT("'data'!$V$" &amp; $A$1)*parameters!$B$15</f>
        <v>-3012.52</v>
      </c>
      <c r="Q9" s="16" cm="1">
        <f t="array" aca="1" ref="Q9" ca="1">INDIRECT("'data'!$T$" &amp; $A$1)*parameters!$B$15</f>
        <v>3079.16</v>
      </c>
      <c r="R9" s="16">
        <f t="shared" ca="1" si="2"/>
        <v>3079.1600000000003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9352.8955618776672</v>
      </c>
      <c r="L10" s="16">
        <f t="shared" ca="1" si="0"/>
        <v>9352.8955618776672</v>
      </c>
      <c r="M10" s="16"/>
      <c r="N10" s="16">
        <f t="shared" ca="1" si="3"/>
        <v>0</v>
      </c>
      <c r="O10" s="11" cm="1">
        <f t="array" aca="1" ref="O10" ca="1">INDIRECT("'data'!$X$" &amp; $A$1)*parameters!$B$15</f>
        <v>2897.86</v>
      </c>
      <c r="P10" s="13" cm="1">
        <f t="array" aca="1" ref="P10" ca="1">-INDIRECT("'data'!$Y$" &amp; $A$1)*parameters!$B$15</f>
        <v>-3775.94</v>
      </c>
      <c r="Q10" s="16" cm="1">
        <f t="array" aca="1" ref="Q10" ca="1">INDIRECT("'data'!$W$" &amp; $A$1)*parameters!$B$15</f>
        <v>8474.8155618776673</v>
      </c>
      <c r="R10" s="16">
        <f t="shared" ca="1" si="2"/>
        <v>8474.8155618776673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19353.768183214794</v>
      </c>
      <c r="N11" s="19"/>
      <c r="O11" s="21" cm="1">
        <f t="array" aca="1" ref="O11" ca="1">INDIRECT("'data'!$Z$" &amp; $A$1)*parameters!$B$15</f>
        <v>5722.22</v>
      </c>
      <c r="P11" s="27" cm="1">
        <f t="array" aca="1" ref="P11" ca="1">-INDIRECT("'data'!$AA$" &amp; $A$1)*parameters!$B$15</f>
        <v>-12596.92</v>
      </c>
      <c r="Q11" s="16">
        <f ca="1">K9*parameters!$B$10+K10*parameters!$B$11</f>
        <v>12479.068183214793</v>
      </c>
      <c r="R11" s="16">
        <f t="shared" ref="R11:R17" ca="1" si="4">SUM(L11:P11)</f>
        <v>12479.068183214795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-45.856988024554084</v>
      </c>
      <c r="D12" s="9">
        <f ca="1">-(D17-Q4)</f>
        <v>-4.9111723860320353</v>
      </c>
      <c r="E12" s="9">
        <f ca="1">-(E17-Q5)</f>
        <v>-966.70966141782446</v>
      </c>
      <c r="F12" s="9">
        <f ca="1">-(F17-Q6)</f>
        <v>-505.90149253731397</v>
      </c>
      <c r="G12" s="9">
        <f ca="1">-(G17-Q7)</f>
        <v>-250.85849529780626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-1774.2378096635307</v>
      </c>
      <c r="M12" s="17"/>
      <c r="N12" s="17"/>
      <c r="O12" s="10"/>
      <c r="P12" s="12"/>
      <c r="Q12" s="9">
        <f t="shared" ref="Q12:Q17" ca="1" si="6">SUM(L12:P12)</f>
        <v>-1774.2378096635307</v>
      </c>
      <c r="R12" s="17">
        <f t="shared" ca="1" si="4"/>
        <v>-1774.2378096635307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-397.82501898781811</v>
      </c>
      <c r="J13" s="14">
        <f ca="1">-(J17-Q10)</f>
        <v>-1094.9394191345164</v>
      </c>
      <c r="K13" s="13">
        <f ca="1">-(K17-Q11)</f>
        <v>-1592.527378662875</v>
      </c>
      <c r="L13" s="14">
        <f t="shared" ca="1" si="5"/>
        <v>-3085.2918167852094</v>
      </c>
      <c r="M13" s="16">
        <f ca="1">-E15</f>
        <v>-5702.9778324677354</v>
      </c>
      <c r="N13" s="16"/>
      <c r="O13" s="11"/>
      <c r="P13" s="13"/>
      <c r="Q13" s="14">
        <f t="shared" ca="1" si="6"/>
        <v>-8788.2696492529449</v>
      </c>
      <c r="R13" s="16">
        <f t="shared" ca="1" si="4"/>
        <v>-8788.2696492529449</v>
      </c>
    </row>
    <row r="14" spans="1:20">
      <c r="A14" s="18" t="s">
        <v>78</v>
      </c>
      <c r="B14" s="11"/>
      <c r="C14" s="14"/>
      <c r="D14" s="14"/>
      <c r="E14" s="14">
        <f ca="1">-(I13+J13)-K13</f>
        <v>3085.2918167852094</v>
      </c>
      <c r="F14" s="14"/>
      <c r="G14" s="14"/>
      <c r="H14" s="14"/>
      <c r="I14" s="14"/>
      <c r="J14" s="14"/>
      <c r="K14" s="13"/>
      <c r="L14" s="14">
        <f t="shared" ca="1" si="5"/>
        <v>3085.2918167852094</v>
      </c>
      <c r="M14" s="16"/>
      <c r="N14" s="16"/>
      <c r="O14" s="11"/>
      <c r="P14" s="13"/>
      <c r="Q14" s="14">
        <f t="shared" ca="1" si="6"/>
        <v>3085.2918167852094</v>
      </c>
      <c r="R14" s="16">
        <f t="shared" ca="1" si="4"/>
        <v>3085.2918167852094</v>
      </c>
    </row>
    <row r="15" spans="1:20">
      <c r="A15" s="18" t="s">
        <v>79</v>
      </c>
      <c r="B15" s="11"/>
      <c r="C15" s="14"/>
      <c r="D15" s="14"/>
      <c r="E15" s="14">
        <f ca="1">E17-E14</f>
        <v>5702.9778324677354</v>
      </c>
      <c r="F15" s="14"/>
      <c r="G15" s="14"/>
      <c r="H15" s="14"/>
      <c r="I15" s="14"/>
      <c r="J15" s="14"/>
      <c r="K15" s="13"/>
      <c r="L15" s="14">
        <f t="shared" ca="1" si="5"/>
        <v>5702.9778324677354</v>
      </c>
      <c r="M15" s="16"/>
      <c r="N15" s="16"/>
      <c r="O15" s="11"/>
      <c r="P15" s="13"/>
      <c r="Q15" s="14">
        <f t="shared" ca="1" si="6"/>
        <v>5702.9778324677354</v>
      </c>
      <c r="R15" s="16">
        <f t="shared" ca="1" si="4"/>
        <v>5702.9778324677354</v>
      </c>
    </row>
    <row r="16" spans="1:20">
      <c r="A16" s="30" t="s">
        <v>89</v>
      </c>
      <c r="B16" s="21">
        <f ca="1">Q2</f>
        <v>25000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25000</v>
      </c>
      <c r="M16" s="19"/>
      <c r="N16" s="19"/>
      <c r="O16" s="21"/>
      <c r="P16" s="27"/>
      <c r="Q16" s="22">
        <f t="shared" ca="1" si="6"/>
        <v>25000</v>
      </c>
      <c r="R16" s="19">
        <f t="shared" ca="1" si="4"/>
        <v>25000</v>
      </c>
    </row>
    <row r="17" spans="1:18">
      <c r="A17" s="29" t="s">
        <v>88</v>
      </c>
      <c r="B17" s="9">
        <f ca="1">B16</f>
        <v>25000</v>
      </c>
      <c r="C17" s="9">
        <f ca="1">SUM(C$2:C$11)</f>
        <v>7278.8869880245538</v>
      </c>
      <c r="D17" s="9">
        <f ca="1">SUM(D$2:D$11)</f>
        <v>779.55117238603202</v>
      </c>
      <c r="E17" s="9">
        <f ca="1">$Q$5/parameters!$B$4</f>
        <v>8788.2696492529449</v>
      </c>
      <c r="F17" s="9">
        <f t="shared" ref="F17:K17" ca="1" si="7">SUM(F$2:F$11)</f>
        <v>8159.7014925373142</v>
      </c>
      <c r="G17" s="9">
        <f t="shared" ca="1" si="7"/>
        <v>5833.9184952978057</v>
      </c>
      <c r="H17" s="9">
        <f t="shared" ca="1" si="7"/>
        <v>13236.86</v>
      </c>
      <c r="I17" s="9">
        <f t="shared" ca="1" si="7"/>
        <v>3476.985018987818</v>
      </c>
      <c r="J17" s="9">
        <f t="shared" ca="1" si="7"/>
        <v>9569.7549810121836</v>
      </c>
      <c r="K17" s="9">
        <f t="shared" ca="1" si="7"/>
        <v>14071.595561877668</v>
      </c>
      <c r="L17" s="17">
        <f t="shared" ca="1" si="5"/>
        <v>96195.523359376326</v>
      </c>
      <c r="M17" s="17"/>
      <c r="N17" s="17"/>
      <c r="O17" s="9"/>
      <c r="P17" s="14"/>
      <c r="Q17" s="11">
        <f t="shared" ca="1" si="6"/>
        <v>96195.523359376326</v>
      </c>
      <c r="R17" s="17">
        <f t="shared" ca="1" si="4"/>
        <v>96195.523359376326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0.88558333820384749</v>
      </c>
      <c r="J18" s="39">
        <f ca="1">I18</f>
        <v>0.88558333820384749</v>
      </c>
      <c r="K18" s="40">
        <f ca="1">1-(-K13)/K17</f>
        <v>0.88682680854065332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tabSelected="1"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485.13635906209117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485.13635906209117</v>
      </c>
      <c r="M2" s="17"/>
      <c r="N2" s="17">
        <f ca="1">Q2-(L2+O2+P2)</f>
        <v>0</v>
      </c>
      <c r="O2" s="11" cm="1">
        <f t="array" aca="1" ref="O2" ca="1">INDIRECT("'data'!$F$" &amp; $A$1)</f>
        <v>7504.9000000000005</v>
      </c>
      <c r="P2" s="13">
        <f ca="1">IF(-(L2-Q2+O2)&lt;0, -(L2-Q2+O2), 0)</f>
        <v>-5040.0363590620918</v>
      </c>
      <c r="Q2" s="17" cm="1">
        <f t="array" aca="1" ref="Q2" ca="1">INDIRECT("'data'!$D$" &amp; $A$1)</f>
        <v>2950</v>
      </c>
      <c r="R2" s="17">
        <f ca="1">SUM(L2:P2)</f>
        <v>2950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171.04500000000002</v>
      </c>
      <c r="H3" s="14"/>
      <c r="I3" s="14"/>
      <c r="J3" s="14"/>
      <c r="K3" s="13"/>
      <c r="L3" s="16">
        <f t="shared" ca="1" si="0"/>
        <v>171.04500000000002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-172.935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765.44</v>
      </c>
      <c r="H4" s="14"/>
      <c r="I4" s="14"/>
      <c r="J4" s="14"/>
      <c r="K4" s="13"/>
      <c r="L4" s="16">
        <f t="shared" ca="1" si="0"/>
        <v>765.44</v>
      </c>
      <c r="M4" s="16"/>
      <c r="N4" s="16">
        <f t="shared" ca="1" si="1"/>
        <v>0</v>
      </c>
      <c r="O4" s="11" cm="1">
        <f t="array" aca="1" ref="O4" ca="1">INDIRECT("'data'!$K$" &amp; $A$1)*parameters!$B$14</f>
        <v>38.64</v>
      </c>
      <c r="P4" s="13" cm="1">
        <f t="array" aca="1" ref="P4" ca="1">-INDIRECT("'data'!$L$" &amp; $A$1)*parameters!$B$14</f>
        <v>-322</v>
      </c>
      <c r="Q4" s="16" cm="1">
        <f t="array" aca="1" ref="Q4" ca="1">INDIRECT("'data'!$J$" &amp; $A$1)*parameters!$B$14</f>
        <v>482.08000000000004</v>
      </c>
      <c r="R4" s="16">
        <f t="shared" ca="1" si="2"/>
        <v>482.08000000000004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1371.6863688610242</v>
      </c>
      <c r="H5" s="14"/>
      <c r="I5" s="14"/>
      <c r="J5" s="14"/>
      <c r="K5" s="13"/>
      <c r="L5" s="16">
        <f t="shared" ca="1" si="0"/>
        <v>1371.6863688610242</v>
      </c>
      <c r="M5" s="16"/>
      <c r="N5" s="48">
        <f ca="1">$E$14*parameters!$B$4-$P$5-$L$5-$O$5</f>
        <v>2273.7663835600274</v>
      </c>
      <c r="O5" s="11" cm="1">
        <f t="array" aca="1" ref="O5" ca="1">INDIRECT("'data'!$M$" &amp; $A$1)*parameters!$B$15</f>
        <v>40.18</v>
      </c>
      <c r="P5" s="13" cm="1">
        <f t="array" aca="1" ref="P5" ca="1">-INDIRECT("'data'!$N$" &amp; $A$1)*parameters!$B$15</f>
        <v>-1905.12</v>
      </c>
      <c r="Q5" s="16">
        <f ca="1">SUM(L5:P5)</f>
        <v>1780.5127524210516</v>
      </c>
      <c r="R5" s="16">
        <f t="shared" ca="1" si="2"/>
        <v>1780.5127524210516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2208.92</v>
      </c>
      <c r="I7" s="14"/>
      <c r="J7" s="14"/>
      <c r="K7" s="13"/>
      <c r="L7" s="16">
        <f t="shared" ca="1" si="0"/>
        <v>2208.92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2208.92</v>
      </c>
      <c r="R7" s="16">
        <f t="shared" ca="1" si="2"/>
        <v>2208.92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3024.456309787804</v>
      </c>
      <c r="J8" s="14">
        <f ca="1">Q10/J18</f>
        <v>2922.1836902121954</v>
      </c>
      <c r="K8" s="13"/>
      <c r="L8" s="16">
        <f t="shared" ca="1" si="0"/>
        <v>5946.6399999999994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-3741.64</v>
      </c>
      <c r="Q8" s="16">
        <f ca="1">SUM(Q6:Q7)</f>
        <v>2208.92</v>
      </c>
      <c r="R8" s="16">
        <f t="shared" ca="1" si="2"/>
        <v>2208.9199999999996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4336.5</v>
      </c>
      <c r="L9" s="16">
        <f t="shared" ca="1" si="0"/>
        <v>4336.5</v>
      </c>
      <c r="M9" s="16"/>
      <c r="N9" s="16">
        <f t="shared" ca="1" si="3"/>
        <v>0</v>
      </c>
      <c r="O9" s="11" cm="1">
        <f t="array" aca="1" ref="O9" ca="1">INDIRECT("'data'!$U$" &amp; $A$1)*parameters!$B$15</f>
        <v>112.7</v>
      </c>
      <c r="P9" s="13" cm="1">
        <f t="array" aca="1" ref="P9" ca="1">-INDIRECT("'data'!$V$" &amp; $A$1)*parameters!$B$15</f>
        <v>-1787.52</v>
      </c>
      <c r="Q9" s="16" cm="1">
        <f t="array" aca="1" ref="Q9" ca="1">INDIRECT("'data'!$T$" &amp; $A$1)*parameters!$B$15</f>
        <v>2661.68</v>
      </c>
      <c r="R9" s="16">
        <f t="shared" ca="1" si="2"/>
        <v>2661.68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7336.4347368421049</v>
      </c>
      <c r="L10" s="16">
        <f t="shared" ca="1" si="0"/>
        <v>7336.4347368421049</v>
      </c>
      <c r="M10" s="16"/>
      <c r="N10" s="16">
        <f t="shared" ca="1" si="3"/>
        <v>0</v>
      </c>
      <c r="O10" s="11" cm="1">
        <f t="array" aca="1" ref="O10" ca="1">INDIRECT("'data'!$X$" &amp; $A$1)*parameters!$B$15</f>
        <v>249.9</v>
      </c>
      <c r="P10" s="13" cm="1">
        <f t="array" aca="1" ref="P10" ca="1">-INDIRECT("'data'!$Y$" &amp; $A$1)*parameters!$B$15</f>
        <v>-5014.66</v>
      </c>
      <c r="Q10" s="16" cm="1">
        <f t="array" aca="1" ref="Q10" ca="1">INDIRECT("'data'!$W$" &amp; $A$1)*parameters!$B$15</f>
        <v>2571.6747368421052</v>
      </c>
      <c r="R10" s="16">
        <f t="shared" ca="1" si="2"/>
        <v>2571.6747368421047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14048.88387368421</v>
      </c>
      <c r="N11" s="19"/>
      <c r="O11" s="21" cm="1">
        <f t="array" aca="1" ref="O11" ca="1">INDIRECT("'data'!$Z$" &amp; $A$1)*parameters!$B$15</f>
        <v>1596.42</v>
      </c>
      <c r="P11" s="27" cm="1">
        <f t="array" aca="1" ref="P11" ca="1">-INDIRECT("'data'!$AA$" &amp; $A$1)*parameters!$B$15</f>
        <v>-5259.66</v>
      </c>
      <c r="Q11" s="16">
        <f ca="1">K9*parameters!$B$10+K10*parameters!$B$11</f>
        <v>10385.64387368421</v>
      </c>
      <c r="R11" s="16">
        <f t="shared" ref="R11:R17" ca="1" si="4">SUM(L11:P11)</f>
        <v>10385.64387368421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-3.0563590620911327</v>
      </c>
      <c r="E12" s="9">
        <f ca="1">-(E17-Q5)</f>
        <v>-220.06337389473674</v>
      </c>
      <c r="F12" s="9">
        <f ca="1">-(F17-Q6)</f>
        <v>0</v>
      </c>
      <c r="G12" s="9">
        <f ca="1">-(G17-Q7)</f>
        <v>-99.251368861024275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-322.37110181785215</v>
      </c>
      <c r="M12" s="17"/>
      <c r="N12" s="17"/>
      <c r="O12" s="10"/>
      <c r="P12" s="12"/>
      <c r="Q12" s="9">
        <f t="shared" ref="Q12:Q17" ca="1" si="6">SUM(L12:P12)</f>
        <v>-322.37110181785215</v>
      </c>
      <c r="R12" s="17">
        <f t="shared" ca="1" si="4"/>
        <v>-322.37110181785215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-362.77630978780417</v>
      </c>
      <c r="J13" s="14">
        <f ca="1">-(J17-Q10)</f>
        <v>-350.50895337009024</v>
      </c>
      <c r="K13" s="13">
        <f ca="1">-(K17-Q11)</f>
        <v>-1287.2908631578939</v>
      </c>
      <c r="L13" s="14">
        <f t="shared" ca="1" si="5"/>
        <v>-2000.5761263157883</v>
      </c>
      <c r="M13" s="16">
        <f ca="1">-E15</f>
        <v>0</v>
      </c>
      <c r="N13" s="16"/>
      <c r="O13" s="11"/>
      <c r="P13" s="13"/>
      <c r="Q13" s="14">
        <f t="shared" ca="1" si="6"/>
        <v>-2000.5761263157883</v>
      </c>
      <c r="R13" s="16">
        <f t="shared" ca="1" si="4"/>
        <v>-2000.5761263157883</v>
      </c>
    </row>
    <row r="14" spans="1:19">
      <c r="A14" s="18" t="s">
        <v>78</v>
      </c>
      <c r="B14" s="11"/>
      <c r="C14" s="14"/>
      <c r="D14" s="14"/>
      <c r="E14" s="14">
        <f ca="1">-(I13+J13)-K13</f>
        <v>2000.5761263157883</v>
      </c>
      <c r="F14" s="14"/>
      <c r="G14" s="14"/>
      <c r="H14" s="14"/>
      <c r="I14" s="14"/>
      <c r="J14" s="14"/>
      <c r="K14" s="13"/>
      <c r="L14" s="14">
        <f t="shared" ca="1" si="5"/>
        <v>2000.5761263157883</v>
      </c>
      <c r="M14" s="16"/>
      <c r="N14" s="16"/>
      <c r="O14" s="11"/>
      <c r="P14" s="13"/>
      <c r="Q14" s="14">
        <f t="shared" ca="1" si="6"/>
        <v>2000.5761263157883</v>
      </c>
      <c r="R14" s="16">
        <f t="shared" ca="1" si="4"/>
        <v>2000.5761263157883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2950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2950</v>
      </c>
      <c r="M16" s="19"/>
      <c r="N16" s="19"/>
      <c r="O16" s="21"/>
      <c r="P16" s="27"/>
      <c r="Q16" s="22">
        <f t="shared" ca="1" si="6"/>
        <v>2950</v>
      </c>
      <c r="R16" s="19">
        <f t="shared" ca="1" si="4"/>
        <v>2950</v>
      </c>
    </row>
    <row r="17" spans="1:18">
      <c r="A17" s="29" t="s">
        <v>88</v>
      </c>
      <c r="B17" s="9">
        <f ca="1">B16</f>
        <v>2950</v>
      </c>
      <c r="C17" s="9">
        <f ca="1">SUM(C$2:C$11)</f>
        <v>0</v>
      </c>
      <c r="D17" s="9">
        <f ca="1">SUM(D$2:D$11)</f>
        <v>485.13635906209117</v>
      </c>
      <c r="E17" s="9">
        <f ca="1">$Q$5/parameters!$B$4</f>
        <v>2000.5761263157883</v>
      </c>
      <c r="F17" s="9">
        <f t="shared" ref="F17:K17" ca="1" si="7">SUM(F$2:F$11)</f>
        <v>0</v>
      </c>
      <c r="G17" s="9">
        <f t="shared" ca="1" si="7"/>
        <v>2308.1713688610243</v>
      </c>
      <c r="H17" s="9">
        <f t="shared" ca="1" si="7"/>
        <v>2208.92</v>
      </c>
      <c r="I17" s="9">
        <f t="shared" ca="1" si="7"/>
        <v>3024.456309787804</v>
      </c>
      <c r="J17" s="9">
        <f t="shared" ca="1" si="7"/>
        <v>2922.1836902121954</v>
      </c>
      <c r="K17" s="9">
        <f t="shared" ca="1" si="7"/>
        <v>11672.934736842104</v>
      </c>
      <c r="L17" s="17">
        <f t="shared" ca="1" si="5"/>
        <v>27572.378591081007</v>
      </c>
      <c r="M17" s="17"/>
      <c r="N17" s="17"/>
      <c r="O17" s="9"/>
      <c r="P17" s="14"/>
      <c r="Q17" s="11">
        <f t="shared" ca="1" si="6"/>
        <v>27572.378591081007</v>
      </c>
      <c r="R17" s="17">
        <f t="shared" ca="1" si="4"/>
        <v>27572.378591081007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0.88005238871734381</v>
      </c>
      <c r="J18" s="39">
        <f ca="1">I18</f>
        <v>0.88005238871734381</v>
      </c>
      <c r="K18" s="40">
        <f ca="1">1-(-K13)/K17</f>
        <v>0.8897200325214748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3758.3173996175906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3758.3173996175906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-3758.3173996175906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3538.8656716417909</v>
      </c>
      <c r="G3" s="14">
        <f ca="1">Q3-O3-P3-F3</f>
        <v>378.15932835820877</v>
      </c>
      <c r="H3" s="14"/>
      <c r="I3" s="14"/>
      <c r="J3" s="14"/>
      <c r="K3" s="13"/>
      <c r="L3" s="16">
        <f t="shared" ca="1" si="0"/>
        <v>3917.0249999999996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-182.38499999999999</v>
      </c>
      <c r="Q3" s="16" cm="1">
        <f t="array" aca="1" ref="Q3" ca="1">INDIRECT("'data'!$G$" &amp; $A$1)*parameters!$B$13</f>
        <v>3734.64</v>
      </c>
      <c r="R3" s="16">
        <f t="shared" ref="R3:R10" ca="1" si="2">SUM(L3:P3)</f>
        <v>3734.6399999999994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884.71641791044772</v>
      </c>
      <c r="G5" s="14">
        <f ca="1">Q7/parameters!$B$7-(G3+G4)</f>
        <v>3853.1468367410598</v>
      </c>
      <c r="H5" s="14"/>
      <c r="I5" s="14"/>
      <c r="J5" s="14"/>
      <c r="K5" s="13"/>
      <c r="L5" s="16">
        <f t="shared" ca="1" si="0"/>
        <v>4737.8632546515073</v>
      </c>
      <c r="M5" s="16"/>
      <c r="N5" s="16"/>
      <c r="O5" s="11" cm="1">
        <f t="array" aca="1" ref="O5" ca="1">INDIRECT("'data'!$M$" &amp; $A$1)*parameters!$B$15</f>
        <v>1796.34</v>
      </c>
      <c r="P5" s="13" cm="1">
        <f t="array" aca="1" ref="P5" ca="1">-INDIRECT("'data'!$N$" &amp; $A$1)*parameters!$B$15</f>
        <v>-377.3</v>
      </c>
      <c r="Q5" s="16">
        <f ca="1">SUM(L5:P5)</f>
        <v>6156.9032546515073</v>
      </c>
      <c r="R5" s="16">
        <f t="shared" ca="1" si="2"/>
        <v>6156.9032546515073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4149.32</v>
      </c>
      <c r="I6" s="14"/>
      <c r="J6" s="14"/>
      <c r="K6" s="13"/>
      <c r="L6" s="16">
        <f t="shared" ca="1" si="0"/>
        <v>4149.32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4149.32</v>
      </c>
      <c r="R6" s="16">
        <f t="shared" ca="1" si="2"/>
        <v>4149.32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4049.36</v>
      </c>
      <c r="I7" s="14"/>
      <c r="J7" s="14"/>
      <c r="K7" s="13"/>
      <c r="L7" s="16">
        <f t="shared" ca="1" si="0"/>
        <v>4049.36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4049.36</v>
      </c>
      <c r="R7" s="16">
        <f t="shared" ca="1" si="2"/>
        <v>4049.36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5155.7166211479835</v>
      </c>
      <c r="J8" s="14">
        <f ca="1">Q10/J18</f>
        <v>3019.4433788520164</v>
      </c>
      <c r="K8" s="13"/>
      <c r="L8" s="16">
        <f t="shared" ca="1" si="0"/>
        <v>8175.16</v>
      </c>
      <c r="M8" s="16"/>
      <c r="N8" s="16">
        <f t="shared" ca="1" si="3"/>
        <v>0</v>
      </c>
      <c r="O8" s="11" cm="1">
        <f t="array" aca="1" ref="O8" ca="1">INDIRECT("'data'!$R$" &amp; $A$1)*parameters!$B$15</f>
        <v>587.02</v>
      </c>
      <c r="P8" s="13" cm="1">
        <f t="array" aca="1" ref="P8" ca="1">-INDIRECT("'data'!$S$" &amp; $A$1)*parameters!$B$15</f>
        <v>-563.5</v>
      </c>
      <c r="Q8" s="16">
        <f ca="1">SUM(Q6:Q7)</f>
        <v>8198.68</v>
      </c>
      <c r="R8" s="16">
        <f t="shared" ca="1" si="2"/>
        <v>8198.68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3294.7599999999998</v>
      </c>
      <c r="L9" s="16">
        <f t="shared" ca="1" si="0"/>
        <v>3294.7599999999998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2930.2</v>
      </c>
      <c r="P9" s="13" cm="1">
        <f t="array" aca="1" ref="P9" ca="1">-INDIRECT("'data'!$V$" &amp; $A$1)*parameters!$B$15</f>
        <v>-1463.1399999999999</v>
      </c>
      <c r="Q9" s="16" cm="1">
        <f t="array" aca="1" ref="Q9" ca="1">INDIRECT("'data'!$T$" &amp; $A$1)*parameters!$B$15</f>
        <v>4761.82</v>
      </c>
      <c r="R9" s="16">
        <f t="shared" ca="1" si="2"/>
        <v>4761.82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6495.1179800853479</v>
      </c>
      <c r="L10" s="16">
        <f t="shared" ca="1" si="0"/>
        <v>6495.1179800853479</v>
      </c>
      <c r="M10" s="16"/>
      <c r="N10" s="16">
        <f t="shared" ca="1" si="3"/>
        <v>0</v>
      </c>
      <c r="O10" s="11" cm="1">
        <f t="array" aca="1" ref="O10" ca="1">INDIRECT("'data'!$X$" &amp; $A$1)*parameters!$B$15</f>
        <v>1306.3399999999999</v>
      </c>
      <c r="P10" s="13" cm="1">
        <f t="array" aca="1" ref="P10" ca="1">-INDIRECT("'data'!$Y$" &amp; $A$1)*parameters!$B$15</f>
        <v>-5012.7</v>
      </c>
      <c r="Q10" s="16" cm="1">
        <f t="array" aca="1" ref="Q10" ca="1">INDIRECT("'data'!$W$" &amp; $A$1)*parameters!$B$15</f>
        <v>2788.7579800853482</v>
      </c>
      <c r="R10" s="16">
        <f t="shared" ca="1" si="2"/>
        <v>2788.7579800853482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6324.9958628733993</v>
      </c>
      <c r="N11" s="19"/>
      <c r="O11" s="21" cm="1">
        <f t="array" aca="1" ref="O11" ca="1">INDIRECT("'data'!$Z$" &amp; $A$1)*parameters!$B$15</f>
        <v>8045.8</v>
      </c>
      <c r="P11" s="27" cm="1">
        <f t="array" aca="1" ref="P11" ca="1">-INDIRECT("'data'!$AA$" &amp; $A$1)*parameters!$B$15</f>
        <v>-5687.92</v>
      </c>
      <c r="Q11" s="16">
        <f ca="1">K9*parameters!$B$10+K10*parameters!$B$11</f>
        <v>8682.8758628733995</v>
      </c>
      <c r="R11" s="16">
        <f t="shared" ref="R11:R17" ca="1" si="4">SUM(L11:P11)</f>
        <v>8682.8758628733995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-23.677399617590709</v>
      </c>
      <c r="D12" s="9">
        <f ca="1">-(D17-Q4)</f>
        <v>0</v>
      </c>
      <c r="E12" s="9">
        <f ca="1">-(E17-Q5)</f>
        <v>-760.9655707996244</v>
      </c>
      <c r="F12" s="9">
        <f ca="1">-(F17-Q6)</f>
        <v>-274.26208955223865</v>
      </c>
      <c r="G12" s="9">
        <f ca="1">-(G17-Q7)</f>
        <v>-181.94616509926846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-1240.8512250687222</v>
      </c>
      <c r="M12" s="17"/>
      <c r="N12" s="17"/>
      <c r="O12" s="10"/>
      <c r="P12" s="12"/>
      <c r="Q12" s="9">
        <f t="shared" ref="Q12:Q17" ca="1" si="6">SUM(L12:P12)</f>
        <v>-1240.8512250687222</v>
      </c>
      <c r="R12" s="17">
        <f t="shared" ca="1" si="4"/>
        <v>-1240.8512250687222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-393.89662114798375</v>
      </c>
      <c r="J13" s="14">
        <f ca="1">-(J17-Q10)</f>
        <v>-230.68539876666819</v>
      </c>
      <c r="K13" s="13">
        <f ca="1">-(K17-Q11)</f>
        <v>-1107.0021172119486</v>
      </c>
      <c r="L13" s="14">
        <f t="shared" ca="1" si="5"/>
        <v>-1731.5841371266006</v>
      </c>
      <c r="M13" s="16">
        <f ca="1">-E15</f>
        <v>-5186.2846883245311</v>
      </c>
      <c r="N13" s="16"/>
      <c r="O13" s="11"/>
      <c r="P13" s="13"/>
      <c r="Q13" s="14">
        <f t="shared" ca="1" si="6"/>
        <v>-6917.8688254511317</v>
      </c>
      <c r="R13" s="16">
        <f t="shared" ca="1" si="4"/>
        <v>-6917.8688254511317</v>
      </c>
    </row>
    <row r="14" spans="1:20">
      <c r="A14" s="18" t="s">
        <v>78</v>
      </c>
      <c r="B14" s="11"/>
      <c r="C14" s="14"/>
      <c r="D14" s="14"/>
      <c r="E14" s="14">
        <f ca="1">-(I13+J13)-K13</f>
        <v>1731.5841371266006</v>
      </c>
      <c r="F14" s="14"/>
      <c r="G14" s="14"/>
      <c r="H14" s="14"/>
      <c r="I14" s="14"/>
      <c r="J14" s="14"/>
      <c r="K14" s="13"/>
      <c r="L14" s="14">
        <f t="shared" ca="1" si="5"/>
        <v>1731.5841371266006</v>
      </c>
      <c r="M14" s="16"/>
      <c r="N14" s="16"/>
      <c r="O14" s="11"/>
      <c r="P14" s="13"/>
      <c r="Q14" s="14">
        <f t="shared" ca="1" si="6"/>
        <v>1731.5841371266006</v>
      </c>
      <c r="R14" s="16">
        <f t="shared" ca="1" si="4"/>
        <v>1731.5841371266006</v>
      </c>
    </row>
    <row r="15" spans="1:20">
      <c r="A15" s="18" t="s">
        <v>79</v>
      </c>
      <c r="B15" s="11"/>
      <c r="C15" s="14"/>
      <c r="D15" s="14"/>
      <c r="E15" s="14">
        <f ca="1">E17-E14</f>
        <v>5186.2846883245311</v>
      </c>
      <c r="F15" s="14"/>
      <c r="G15" s="14"/>
      <c r="H15" s="14"/>
      <c r="I15" s="14"/>
      <c r="J15" s="14"/>
      <c r="K15" s="13"/>
      <c r="L15" s="14">
        <f t="shared" ca="1" si="5"/>
        <v>5186.2846883245311</v>
      </c>
      <c r="M15" s="16"/>
      <c r="N15" s="16"/>
      <c r="O15" s="11"/>
      <c r="P15" s="13"/>
      <c r="Q15" s="14">
        <f t="shared" ca="1" si="6"/>
        <v>5186.2846883245311</v>
      </c>
      <c r="R15" s="16">
        <f t="shared" ca="1" si="4"/>
        <v>5186.2846883245311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3758.3173996175906</v>
      </c>
      <c r="D17" s="9">
        <f ca="1">SUM(D$2:D$11)</f>
        <v>0</v>
      </c>
      <c r="E17" s="9">
        <f ca="1">$Q$5/parameters!$B$4</f>
        <v>6917.8688254511317</v>
      </c>
      <c r="F17" s="9">
        <f t="shared" ref="F17:K17" ca="1" si="7">SUM(F$2:F$11)</f>
        <v>4423.5820895522384</v>
      </c>
      <c r="G17" s="9">
        <f t="shared" ca="1" si="7"/>
        <v>4231.3061650992686</v>
      </c>
      <c r="H17" s="9">
        <f t="shared" ca="1" si="7"/>
        <v>8198.68</v>
      </c>
      <c r="I17" s="9">
        <f t="shared" ca="1" si="7"/>
        <v>5155.7166211479835</v>
      </c>
      <c r="J17" s="9">
        <f t="shared" ca="1" si="7"/>
        <v>3019.4433788520164</v>
      </c>
      <c r="K17" s="9">
        <f t="shared" ca="1" si="7"/>
        <v>9789.8779800853481</v>
      </c>
      <c r="L17" s="17">
        <f t="shared" ca="1" si="5"/>
        <v>45494.792459805583</v>
      </c>
      <c r="M17" s="17"/>
      <c r="N17" s="17"/>
      <c r="O17" s="9"/>
      <c r="P17" s="14"/>
      <c r="Q17" s="11">
        <f t="shared" ca="1" si="6"/>
        <v>45494.792459805583</v>
      </c>
      <c r="R17" s="17">
        <f t="shared" ca="1" si="4"/>
        <v>45494.792459805583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0.92360002496408</v>
      </c>
      <c r="J18" s="39">
        <f ca="1">I18</f>
        <v>0.92360002496408</v>
      </c>
      <c r="K18" s="40">
        <f ca="1">1-(-K13)/K17</f>
        <v>0.88692380850263697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523.04518466337925</v>
      </c>
      <c r="D2" s="9">
        <f ca="1">Q4/parameters!$B$3</f>
        <v>2840.4548656536176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3363.5000503169967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-1043.5000503169967</v>
      </c>
      <c r="Q2" s="17" cm="1">
        <f t="array" aca="1" ref="Q2" ca="1">INDIRECT("'data'!$D$" &amp; $A$1)</f>
        <v>2320</v>
      </c>
      <c r="R2" s="17">
        <f ca="1">SUM(L2:P2)</f>
        <v>2320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442.98507462686564</v>
      </c>
      <c r="G3" s="14">
        <f ca="1">Q3-O3-P3-F3</f>
        <v>77.709925373134411</v>
      </c>
      <c r="H3" s="14"/>
      <c r="I3" s="14"/>
      <c r="J3" s="14"/>
      <c r="K3" s="13"/>
      <c r="L3" s="16">
        <f t="shared" ca="1" si="0"/>
        <v>520.69500000000005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519.75</v>
      </c>
      <c r="R3" s="16">
        <f t="shared" ref="R3:R10" ca="1" si="2">SUM(L3:P3)</f>
        <v>519.75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38">
        <f ca="1">Q7/parameters!$B$7-G3-G5</f>
        <v>2961.5922232886428</v>
      </c>
      <c r="H4" s="14"/>
      <c r="I4" s="14"/>
      <c r="J4" s="14"/>
      <c r="K4" s="13"/>
      <c r="L4" s="16">
        <f t="shared" ca="1" si="0"/>
        <v>2961.5922232886428</v>
      </c>
      <c r="M4" s="16"/>
      <c r="N4" s="16">
        <f t="shared" ca="1" si="1"/>
        <v>33.00777671135711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-172.04000000000002</v>
      </c>
      <c r="Q4" s="16" cm="1">
        <f t="array" aca="1" ref="Q4" ca="1">INDIRECT("'data'!$J$" &amp; $A$1)*parameters!$B$14</f>
        <v>2822.56</v>
      </c>
      <c r="R4" s="16">
        <f t="shared" ca="1" si="2"/>
        <v>2822.56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110.74626865671642</v>
      </c>
      <c r="G5" s="38">
        <f ca="1">E14*parameters!$B$4-O5-P5-F5</f>
        <v>3207.3018220801255</v>
      </c>
      <c r="H5" s="14"/>
      <c r="I5" s="14"/>
      <c r="J5" s="14"/>
      <c r="K5" s="13"/>
      <c r="L5" s="16">
        <f t="shared" ca="1" si="0"/>
        <v>3318.0480907368419</v>
      </c>
      <c r="M5" s="16"/>
      <c r="N5" s="16"/>
      <c r="O5" s="11" cm="1">
        <f t="array" aca="1" ref="O5" ca="1">INDIRECT("'data'!$M$" &amp; $A$1)*parameters!$B$15</f>
        <v>45.08</v>
      </c>
      <c r="P5" s="13" cm="1">
        <f t="array" aca="1" ref="P5" ca="1">-INDIRECT("'data'!$N$" &amp; $A$1)*parameters!$B$15</f>
        <v>-1980.58</v>
      </c>
      <c r="Q5" s="16">
        <f ca="1">SUM(L5:P5)</f>
        <v>1382.5480907368419</v>
      </c>
      <c r="R5" s="16">
        <f t="shared" ca="1" si="2"/>
        <v>1382.5480907368419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519.4</v>
      </c>
      <c r="I6" s="14"/>
      <c r="J6" s="14"/>
      <c r="K6" s="13"/>
      <c r="L6" s="16">
        <f t="shared" ca="1" si="0"/>
        <v>519.4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519.4</v>
      </c>
      <c r="R6" s="16">
        <f t="shared" ca="1" si="2"/>
        <v>519.4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5978</v>
      </c>
      <c r="I7" s="14"/>
      <c r="J7" s="14"/>
      <c r="K7" s="13"/>
      <c r="L7" s="16">
        <f t="shared" ca="1" si="0"/>
        <v>5978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5978</v>
      </c>
      <c r="R7" s="16">
        <f t="shared" ca="1" si="2"/>
        <v>5978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6934.994112384069</v>
      </c>
      <c r="J8" s="14">
        <f ca="1">Q10/J18</f>
        <v>1120.60588761593</v>
      </c>
      <c r="K8" s="13"/>
      <c r="L8" s="16">
        <f t="shared" ca="1" si="0"/>
        <v>8055.5999999999985</v>
      </c>
      <c r="M8" s="16"/>
      <c r="N8" s="16">
        <f t="shared" ca="1" si="3"/>
        <v>0</v>
      </c>
      <c r="O8" s="11" cm="1">
        <f t="array" aca="1" ref="O8" ca="1">INDIRECT("'data'!$R$" &amp; $A$1)*parameters!$B$15</f>
        <v>22.54</v>
      </c>
      <c r="P8" s="13" cm="1">
        <f t="array" aca="1" ref="P8" ca="1">-INDIRECT("'data'!$S$" &amp; $A$1)*parameters!$B$15</f>
        <v>-1580.74</v>
      </c>
      <c r="Q8" s="16">
        <f ca="1">SUM(Q6:Q7)</f>
        <v>6497.4</v>
      </c>
      <c r="R8" s="16">
        <f t="shared" ca="1" si="2"/>
        <v>6497.3999999999987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6532.6799999999994</v>
      </c>
      <c r="L9" s="16">
        <f t="shared" ca="1" si="0"/>
        <v>6532.6799999999994</v>
      </c>
      <c r="M9" s="16"/>
      <c r="N9" s="16">
        <f t="shared" ca="1" si="3"/>
        <v>0</v>
      </c>
      <c r="O9" s="11" cm="1">
        <f t="array" aca="1" ref="O9" ca="1">INDIRECT("'data'!$U$" &amp; $A$1)*parameters!$B$15</f>
        <v>340.06</v>
      </c>
      <c r="P9" s="13" cm="1">
        <f t="array" aca="1" ref="P9" ca="1">-INDIRECT("'data'!$V$" &amp; $A$1)*parameters!$B$15</f>
        <v>-768.31999999999994</v>
      </c>
      <c r="Q9" s="16" cm="1">
        <f t="array" aca="1" ref="Q9" ca="1">INDIRECT("'data'!$T$" &amp; $A$1)*parameters!$B$15</f>
        <v>6104.42</v>
      </c>
      <c r="R9" s="16">
        <f t="shared" ca="1" si="2"/>
        <v>6104.42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1404.8557894736841</v>
      </c>
      <c r="L10" s="16">
        <f t="shared" ca="1" si="0"/>
        <v>1404.8557894736841</v>
      </c>
      <c r="M10" s="16"/>
      <c r="N10" s="16">
        <f t="shared" ca="1" si="3"/>
        <v>0</v>
      </c>
      <c r="O10" s="11" cm="1">
        <f t="array" aca="1" ref="O10" ca="1">INDIRECT("'data'!$X$" &amp; $A$1)*parameters!$B$15</f>
        <v>464.52</v>
      </c>
      <c r="P10" s="13" cm="1">
        <f t="array" aca="1" ref="P10" ca="1">-INDIRECT("'data'!$Y$" &amp; $A$1)*parameters!$B$15</f>
        <v>-882.98</v>
      </c>
      <c r="Q10" s="16" cm="1">
        <f t="array" aca="1" ref="Q10" ca="1">INDIRECT("'data'!$W$" &amp; $A$1)*parameters!$B$15</f>
        <v>986.3957894736842</v>
      </c>
      <c r="R10" s="16">
        <f t="shared" ca="1" si="2"/>
        <v>986.39578947368409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8163.2751789473668</v>
      </c>
      <c r="N11" s="19"/>
      <c r="O11" s="21" cm="1">
        <f t="array" aca="1" ref="O11" ca="1">INDIRECT("'data'!$Z$" &amp; $A$1)*parameters!$B$15</f>
        <v>132.30000000000001</v>
      </c>
      <c r="P11" s="27" cm="1">
        <f t="array" aca="1" ref="P11" ca="1">-INDIRECT("'data'!$AA$" &amp; $A$1)*parameters!$B$15</f>
        <v>-946.68</v>
      </c>
      <c r="Q11" s="16">
        <f ca="1">K9*parameters!$B$10+K10*parameters!$B$11</f>
        <v>7348.8951789473667</v>
      </c>
      <c r="R11" s="16">
        <f t="shared" ref="R11:R17" ca="1" si="4">SUM(L11:P11)</f>
        <v>7348.8951789473667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-3.2951846633792456</v>
      </c>
      <c r="D12" s="9">
        <f ca="1">-(D17-Q4)</f>
        <v>-17.894865653617671</v>
      </c>
      <c r="E12" s="9">
        <f ca="1">-(E17-Q5)</f>
        <v>-170.87673031578947</v>
      </c>
      <c r="F12" s="9">
        <f ca="1">-(F17-Q6)</f>
        <v>-34.3313432835821</v>
      </c>
      <c r="G12" s="9">
        <f ca="1">-(G17-Q7)</f>
        <v>-268.60397074190223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-495.00209465827072</v>
      </c>
      <c r="M12" s="17"/>
      <c r="N12" s="17"/>
      <c r="O12" s="10"/>
      <c r="P12" s="12"/>
      <c r="Q12" s="9">
        <f t="shared" ref="Q12:Q17" ca="1" si="6">SUM(L12:P12)</f>
        <v>-495.00209465827072</v>
      </c>
      <c r="R12" s="17">
        <f t="shared" ca="1" si="4"/>
        <v>-495.00209465827072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-830.57411238406894</v>
      </c>
      <c r="J13" s="14">
        <f ca="1">-(J17-Q10)</f>
        <v>-134.21009814224578</v>
      </c>
      <c r="K13" s="13">
        <f ca="1">-(K17-Q11)</f>
        <v>-588.64061052631678</v>
      </c>
      <c r="L13" s="14">
        <f t="shared" ca="1" si="5"/>
        <v>-1553.4248210526316</v>
      </c>
      <c r="M13" s="16">
        <f ca="1">-E15</f>
        <v>0</v>
      </c>
      <c r="N13" s="16"/>
      <c r="O13" s="11"/>
      <c r="P13" s="13"/>
      <c r="Q13" s="14">
        <f t="shared" ca="1" si="6"/>
        <v>-1553.4248210526316</v>
      </c>
      <c r="R13" s="16">
        <f t="shared" ca="1" si="4"/>
        <v>-1553.4248210526316</v>
      </c>
    </row>
    <row r="14" spans="1:20">
      <c r="A14" s="18" t="s">
        <v>78</v>
      </c>
      <c r="B14" s="11"/>
      <c r="C14" s="14"/>
      <c r="D14" s="14"/>
      <c r="E14" s="14">
        <f ca="1">-(I13+J13)-K13</f>
        <v>1553.4248210526316</v>
      </c>
      <c r="F14" s="14"/>
      <c r="G14" s="14"/>
      <c r="H14" s="14"/>
      <c r="I14" s="14"/>
      <c r="J14" s="14"/>
      <c r="K14" s="13"/>
      <c r="L14" s="14">
        <f t="shared" ca="1" si="5"/>
        <v>1553.4248210526316</v>
      </c>
      <c r="M14" s="16"/>
      <c r="N14" s="16"/>
      <c r="O14" s="11"/>
      <c r="P14" s="13"/>
      <c r="Q14" s="14">
        <f t="shared" ca="1" si="6"/>
        <v>1553.4248210526316</v>
      </c>
      <c r="R14" s="16">
        <f t="shared" ca="1" si="4"/>
        <v>1553.4248210526316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2320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2320</v>
      </c>
      <c r="M16" s="19"/>
      <c r="N16" s="19"/>
      <c r="O16" s="21"/>
      <c r="P16" s="27"/>
      <c r="Q16" s="22">
        <f t="shared" ca="1" si="6"/>
        <v>2320</v>
      </c>
      <c r="R16" s="19">
        <f t="shared" ca="1" si="4"/>
        <v>2320</v>
      </c>
    </row>
    <row r="17" spans="1:18">
      <c r="A17" s="29" t="s">
        <v>88</v>
      </c>
      <c r="B17" s="9">
        <f ca="1">B16</f>
        <v>2320</v>
      </c>
      <c r="C17" s="9">
        <f ca="1">SUM(C$2:C$11)</f>
        <v>523.04518466337925</v>
      </c>
      <c r="D17" s="9">
        <f ca="1">SUM(D$2:D$11)</f>
        <v>2840.4548656536176</v>
      </c>
      <c r="E17" s="9">
        <f ca="1">$Q$5/parameters!$B$4</f>
        <v>1553.4248210526314</v>
      </c>
      <c r="F17" s="9">
        <f t="shared" ref="F17:K17" ca="1" si="7">SUM(F$2:F$11)</f>
        <v>553.73134328358208</v>
      </c>
      <c r="G17" s="9">
        <f t="shared" ca="1" si="7"/>
        <v>6246.6039707419022</v>
      </c>
      <c r="H17" s="9">
        <f t="shared" ca="1" si="7"/>
        <v>6497.4</v>
      </c>
      <c r="I17" s="9">
        <f t="shared" ca="1" si="7"/>
        <v>6934.994112384069</v>
      </c>
      <c r="J17" s="9">
        <f t="shared" ca="1" si="7"/>
        <v>1120.60588761593</v>
      </c>
      <c r="K17" s="9">
        <f t="shared" ca="1" si="7"/>
        <v>7937.5357894736835</v>
      </c>
      <c r="L17" s="17">
        <f t="shared" ca="1" si="5"/>
        <v>36527.795974868794</v>
      </c>
      <c r="M17" s="17"/>
      <c r="N17" s="17"/>
      <c r="O17" s="9"/>
      <c r="P17" s="14"/>
      <c r="Q17" s="11">
        <f t="shared" ca="1" si="6"/>
        <v>36527.795974868794</v>
      </c>
      <c r="R17" s="17">
        <f t="shared" ca="1" si="4"/>
        <v>36527.795974868794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0.88023434498655406</v>
      </c>
      <c r="J18" s="39">
        <f ca="1">I18</f>
        <v>0.88023434498655406</v>
      </c>
      <c r="K18" s="40">
        <f ca="1">1-(-K13)/K17</f>
        <v>0.92584088738132819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3625.3400837042973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3625.3400837042973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-3625.3400837042973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25.514999999999997</v>
      </c>
      <c r="H3" s="14"/>
      <c r="I3" s="14"/>
      <c r="J3" s="14"/>
      <c r="K3" s="13"/>
      <c r="L3" s="16">
        <f t="shared" ca="1" si="0"/>
        <v>25.514999999999997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-25.514999999999997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3566.6204411769604</v>
      </c>
      <c r="H4" s="14"/>
      <c r="I4" s="14"/>
      <c r="J4" s="14"/>
      <c r="K4" s="13"/>
      <c r="L4" s="16">
        <f t="shared" ca="1" si="0"/>
        <v>3566.6204411769604</v>
      </c>
      <c r="M4" s="16"/>
      <c r="N4" s="16">
        <f t="shared" ca="1" si="1"/>
        <v>0</v>
      </c>
      <c r="O4" s="11" cm="1">
        <f t="array" aca="1" ref="O4" ca="1">INDIRECT("'data'!$K$" &amp; $A$1)*parameters!$B$14</f>
        <v>35.880000000000003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3602.5004411769605</v>
      </c>
      <c r="R4" s="16">
        <f t="shared" ca="1" si="2"/>
        <v>3602.5004411769605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1735.9105358345337</v>
      </c>
      <c r="H5" s="14"/>
      <c r="I5" s="14"/>
      <c r="J5" s="14"/>
      <c r="K5" s="13"/>
      <c r="L5" s="16">
        <f t="shared" ca="1" si="0"/>
        <v>1735.9105358345337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1735.9105358345337</v>
      </c>
      <c r="R5" s="16">
        <f t="shared" ca="1" si="2"/>
        <v>1735.9105358345337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5098.9399999999996</v>
      </c>
      <c r="I7" s="14"/>
      <c r="J7" s="14"/>
      <c r="K7" s="13"/>
      <c r="L7" s="16">
        <f t="shared" ca="1" si="0"/>
        <v>5098.9399999999996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5098.9399999999996</v>
      </c>
      <c r="R7" s="16">
        <f t="shared" ca="1" si="2"/>
        <v>5098.9399999999996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2700</v>
      </c>
      <c r="J8" s="14">
        <f ca="1">Q10/J18</f>
        <v>1845.9459459459458</v>
      </c>
      <c r="K8" s="13"/>
      <c r="L8" s="16">
        <f t="shared" ca="1" si="0"/>
        <v>4545.9459459459458</v>
      </c>
      <c r="M8" s="16"/>
      <c r="N8" s="16">
        <f t="shared" ca="1" si="3"/>
        <v>2891.2740540540535</v>
      </c>
      <c r="O8" s="11" cm="1">
        <f t="array" aca="1" ref="O8" ca="1">INDIRECT("'data'!$R$" &amp; $A$1)*parameters!$B$15</f>
        <v>99.96</v>
      </c>
      <c r="P8" s="13" cm="1">
        <f t="array" aca="1" ref="P8" ca="1">-INDIRECT("'data'!$S$" &amp; $A$1)*parameters!$B$15</f>
        <v>-2438.2399999999998</v>
      </c>
      <c r="Q8" s="16">
        <f ca="1">SUM(Q6:Q7)</f>
        <v>5098.9399999999996</v>
      </c>
      <c r="R8" s="16">
        <f t="shared" ca="1" si="2"/>
        <v>5098.9399999999996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4747.12</v>
      </c>
      <c r="L9" s="16">
        <f t="shared" ca="1" si="0"/>
        <v>4747.12</v>
      </c>
      <c r="M9" s="16"/>
      <c r="N9" s="16">
        <f t="shared" ca="1" si="3"/>
        <v>0</v>
      </c>
      <c r="O9" s="11" cm="1">
        <f t="array" aca="1" ref="O9" ca="1">INDIRECT("'data'!$U$" &amp; $A$1)*parameters!$B$15</f>
        <v>2.94</v>
      </c>
      <c r="P9" s="13" cm="1">
        <f t="array" aca="1" ref="P9" ca="1">-INDIRECT("'data'!$V$" &amp; $A$1)*parameters!$B$15</f>
        <v>-2104.06</v>
      </c>
      <c r="Q9" s="16" cm="1">
        <f t="array" aca="1" ref="Q9" ca="1">INDIRECT("'data'!$T$" &amp; $A$1)*parameters!$B$15</f>
        <v>2646</v>
      </c>
      <c r="R9" s="16">
        <f t="shared" ca="1" si="2"/>
        <v>2645.9999999999995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4241.3870270270272</v>
      </c>
      <c r="L10" s="16">
        <f t="shared" ca="1" si="0"/>
        <v>4241.3870270270272</v>
      </c>
      <c r="M10" s="16"/>
      <c r="N10" s="16">
        <f t="shared" ca="1" si="3"/>
        <v>0</v>
      </c>
      <c r="O10" s="11" cm="1">
        <f t="array" aca="1" ref="O10" ca="1">INDIRECT("'data'!$X$" &amp; $A$1)*parameters!$B$15</f>
        <v>73.5</v>
      </c>
      <c r="P10" s="13" cm="1">
        <f t="array" aca="1" ref="P10" ca="1">-INDIRECT("'data'!$Y$" &amp; $A$1)*parameters!$B$15</f>
        <v>-2505.86</v>
      </c>
      <c r="Q10" s="16" cm="1">
        <f t="array" aca="1" ref="Q10" ca="1">INDIRECT("'data'!$W$" &amp; $A$1)*parameters!$B$15</f>
        <v>1809.0270270270269</v>
      </c>
      <c r="R10" s="16">
        <f t="shared" ca="1" si="2"/>
        <v>1809.0270270270271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11676.105643243242</v>
      </c>
      <c r="N11" s="19"/>
      <c r="O11" s="21" cm="1">
        <f t="array" aca="1" ref="O11" ca="1">INDIRECT("'data'!$Z$" &amp; $A$1)*parameters!$B$15</f>
        <v>190.12</v>
      </c>
      <c r="P11" s="27" cm="1">
        <f t="array" aca="1" ref="P11" ca="1">-INDIRECT("'data'!$AA$" &amp; $A$1)*parameters!$B$15</f>
        <v>-3756.34</v>
      </c>
      <c r="Q11" s="16">
        <f ca="1">K9*parameters!$B$10+K10*parameters!$B$11</f>
        <v>8109.8856432432422</v>
      </c>
      <c r="R11" s="16">
        <f t="shared" ref="R11:R17" ca="1" si="4">SUM(L11:P11)</f>
        <v>8109.8856432432422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-22.839642527336764</v>
      </c>
      <c r="E12" s="9">
        <f ca="1">-(E17-Q5)</f>
        <v>-214.55074038404337</v>
      </c>
      <c r="F12" s="9">
        <f ca="1">-(F17-Q6)</f>
        <v>0</v>
      </c>
      <c r="G12" s="9">
        <f ca="1">-(G17-Q7)</f>
        <v>-229.10597701149436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-466.49635992287449</v>
      </c>
      <c r="M12" s="17"/>
      <c r="N12" s="17"/>
      <c r="O12" s="10"/>
      <c r="P12" s="12"/>
      <c r="Q12" s="9">
        <f t="shared" ref="Q12:Q17" ca="1" si="6">SUM(L12:P12)</f>
        <v>-466.49635992287449</v>
      </c>
      <c r="R12" s="17">
        <f t="shared" ca="1" si="4"/>
        <v>-466.49635992287449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-54</v>
      </c>
      <c r="J13" s="14">
        <f ca="1">-(J17-Q10)</f>
        <v>-36.918918918918962</v>
      </c>
      <c r="K13" s="13">
        <f ca="1">-(K17-Q11)</f>
        <v>-878.62138378378404</v>
      </c>
      <c r="L13" s="14">
        <f t="shared" ca="1" si="5"/>
        <v>-969.540302702703</v>
      </c>
      <c r="M13" s="16">
        <f ca="1">-E15</f>
        <v>-980.92097351587404</v>
      </c>
      <c r="N13" s="16"/>
      <c r="O13" s="11"/>
      <c r="P13" s="13"/>
      <c r="Q13" s="14">
        <f t="shared" ca="1" si="6"/>
        <v>-1950.461276218577</v>
      </c>
      <c r="R13" s="16">
        <f t="shared" ca="1" si="4"/>
        <v>-1950.461276218577</v>
      </c>
    </row>
    <row r="14" spans="1:22">
      <c r="A14" s="18" t="s">
        <v>78</v>
      </c>
      <c r="B14" s="11"/>
      <c r="C14" s="14"/>
      <c r="D14" s="14"/>
      <c r="E14" s="14">
        <f ca="1">-(I13+J13)-K13</f>
        <v>969.540302702703</v>
      </c>
      <c r="F14" s="14"/>
      <c r="G14" s="14"/>
      <c r="H14" s="14"/>
      <c r="I14" s="14"/>
      <c r="J14" s="14"/>
      <c r="K14" s="13"/>
      <c r="L14" s="14">
        <f t="shared" ca="1" si="5"/>
        <v>969.540302702703</v>
      </c>
      <c r="M14" s="16"/>
      <c r="N14" s="16"/>
      <c r="O14" s="11"/>
      <c r="P14" s="13"/>
      <c r="Q14" s="14">
        <f t="shared" ca="1" si="6"/>
        <v>969.540302702703</v>
      </c>
      <c r="R14" s="16">
        <f t="shared" ca="1" si="4"/>
        <v>969.540302702703</v>
      </c>
    </row>
    <row r="15" spans="1:22">
      <c r="A15" s="18" t="s">
        <v>79</v>
      </c>
      <c r="B15" s="11"/>
      <c r="C15" s="14"/>
      <c r="D15" s="14"/>
      <c r="E15" s="14">
        <f ca="1">E17-E14</f>
        <v>980.92097351587404</v>
      </c>
      <c r="F15" s="14"/>
      <c r="G15" s="14"/>
      <c r="H15" s="14"/>
      <c r="I15" s="14"/>
      <c r="J15" s="14"/>
      <c r="K15" s="13"/>
      <c r="L15" s="14">
        <f t="shared" ca="1" si="5"/>
        <v>980.92097351587404</v>
      </c>
      <c r="M15" s="16"/>
      <c r="N15" s="16"/>
      <c r="O15" s="11"/>
      <c r="P15" s="13"/>
      <c r="Q15" s="14">
        <f t="shared" ca="1" si="6"/>
        <v>980.92097351587404</v>
      </c>
      <c r="R15" s="16">
        <f t="shared" ca="1" si="4"/>
        <v>980.92097351587404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3625.3400837042973</v>
      </c>
      <c r="E17" s="9">
        <f ca="1">$Q$5/parameters!$B$4</f>
        <v>1950.461276218577</v>
      </c>
      <c r="F17" s="9">
        <f t="shared" ref="F17:K17" ca="1" si="7">SUM(F$2:F$11)</f>
        <v>0</v>
      </c>
      <c r="G17" s="9">
        <f t="shared" ca="1" si="7"/>
        <v>5328.045977011494</v>
      </c>
      <c r="H17" s="9">
        <f t="shared" ca="1" si="7"/>
        <v>5098.9399999999996</v>
      </c>
      <c r="I17" s="9">
        <f t="shared" ca="1" si="7"/>
        <v>2700</v>
      </c>
      <c r="J17" s="9">
        <f t="shared" ca="1" si="7"/>
        <v>1845.9459459459458</v>
      </c>
      <c r="K17" s="9">
        <f t="shared" ca="1" si="7"/>
        <v>8988.5070270270262</v>
      </c>
      <c r="L17" s="17">
        <f t="shared" ca="1" si="5"/>
        <v>29537.240309907342</v>
      </c>
      <c r="M17" s="17"/>
      <c r="N17" s="17"/>
      <c r="O17" s="9"/>
      <c r="P17" s="14"/>
      <c r="Q17" s="11">
        <f t="shared" ca="1" si="6"/>
        <v>29537.240309907342</v>
      </c>
      <c r="R17" s="17">
        <f t="shared" ca="1" si="4"/>
        <v>29537.240309907342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0.90225057608099901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5469.1506490892616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5469.1506490892616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-4783.1506490892616</v>
      </c>
      <c r="Q2" s="17" cm="1">
        <f t="array" aca="1" ref="Q2" ca="1">INDIRECT("'data'!$D$" &amp; $A$1)</f>
        <v>686</v>
      </c>
      <c r="R2" s="17">
        <f ca="1">SUM(L2:P2)</f>
        <v>686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5427.0059701492537</v>
      </c>
      <c r="G3" s="14">
        <f ca="1">Q3-O3-P3-F3</f>
        <v>25.644029850745937</v>
      </c>
      <c r="H3" s="14"/>
      <c r="I3" s="14"/>
      <c r="J3" s="14"/>
      <c r="K3" s="13"/>
      <c r="L3" s="16">
        <f t="shared" ca="1" si="0"/>
        <v>5452.65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-17.954999999999998</v>
      </c>
      <c r="Q3" s="16" cm="1">
        <f t="array" aca="1" ref="Q3" ca="1">INDIRECT("'data'!$G$" &amp; $A$1)*parameters!$B$13</f>
        <v>5434.6949999999997</v>
      </c>
      <c r="R3" s="16">
        <f t="shared" ref="R3:R10" ca="1" si="2">SUM(L3:P3)</f>
        <v>5434.6949999999997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63.480000000000004</v>
      </c>
      <c r="H4" s="14"/>
      <c r="I4" s="14"/>
      <c r="J4" s="14"/>
      <c r="K4" s="13"/>
      <c r="L4" s="16">
        <f t="shared" ca="1" si="0"/>
        <v>63.480000000000004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-63.480000000000004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Q6/parameters!$B$5*23%</f>
        <v>1621.0537313432837</v>
      </c>
      <c r="G5" s="14">
        <f ca="1">Q7/parameters!$B$7-(G3+G4)</f>
        <v>601.07450724434284</v>
      </c>
      <c r="H5" s="14"/>
      <c r="I5" s="14"/>
      <c r="J5" s="14"/>
      <c r="K5" s="13"/>
      <c r="L5" s="16">
        <f t="shared" ca="1" si="0"/>
        <v>2222.1282385876266</v>
      </c>
      <c r="M5" s="16"/>
      <c r="N5" s="16"/>
      <c r="O5" s="11" cm="1">
        <f t="array" aca="1" ref="O5" ca="1">INDIRECT("'data'!$M$" &amp; $A$1)*parameters!$B$15</f>
        <v>958.43999999999994</v>
      </c>
      <c r="P5" s="13" cm="1">
        <f t="array" aca="1" ref="P5" ca="1">-INDIRECT("'data'!$N$" &amp; $A$1)*parameters!$B$15</f>
        <v>-1038.8</v>
      </c>
      <c r="Q5" s="16">
        <f ca="1">SUM(L5:P5)</f>
        <v>2141.7682385876269</v>
      </c>
      <c r="R5" s="16">
        <f t="shared" ca="1" si="2"/>
        <v>2141.7682385876269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6611.08</v>
      </c>
      <c r="I6" s="14"/>
      <c r="J6" s="14"/>
      <c r="K6" s="13"/>
      <c r="L6" s="16">
        <f t="shared" ca="1" si="0"/>
        <v>6611.08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6611.08</v>
      </c>
      <c r="R6" s="16">
        <f t="shared" ca="1" si="2"/>
        <v>6611.08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660.52</v>
      </c>
      <c r="I7" s="14"/>
      <c r="J7" s="14"/>
      <c r="K7" s="13"/>
      <c r="L7" s="16">
        <f t="shared" ca="1" si="0"/>
        <v>660.52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660.52</v>
      </c>
      <c r="R7" s="16">
        <f t="shared" ca="1" si="2"/>
        <v>660.52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2002.5830579220155</v>
      </c>
      <c r="J8" s="14">
        <f ca="1">Q10/J18</f>
        <v>5218.0569420779839</v>
      </c>
      <c r="K8" s="13"/>
      <c r="L8" s="16">
        <f t="shared" ca="1" si="0"/>
        <v>7220.6399999999994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229.32</v>
      </c>
      <c r="P8" s="13" cm="1">
        <f t="array" aca="1" ref="P8" ca="1">-INDIRECT("'data'!$S$" &amp; $A$1)*parameters!$B$15</f>
        <v>-178.35999999999999</v>
      </c>
      <c r="Q8" s="16">
        <f ca="1">SUM(Q6:Q7)</f>
        <v>7271.6</v>
      </c>
      <c r="R8" s="16">
        <f t="shared" ca="1" si="2"/>
        <v>7271.5999999999995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2143.2600000000002</v>
      </c>
      <c r="L9" s="16">
        <f t="shared" ca="1" si="0"/>
        <v>2143.2600000000002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916.3</v>
      </c>
      <c r="P9" s="13" cm="1">
        <f t="array" aca="1" ref="P9" ca="1">-INDIRECT("'data'!$V$" &amp; $A$1)*parameters!$B$15</f>
        <v>-1223.04</v>
      </c>
      <c r="Q9" s="16" cm="1">
        <f t="array" aca="1" ref="Q9" ca="1">INDIRECT("'data'!$T$" &amp; $A$1)*parameters!$B$15</f>
        <v>1836.52</v>
      </c>
      <c r="R9" s="16">
        <f t="shared" ca="1" si="2"/>
        <v>1836.5200000000004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2293.2125462304402</v>
      </c>
      <c r="L10" s="16">
        <f t="shared" ca="1" si="0"/>
        <v>2293.2125462304402</v>
      </c>
      <c r="M10" s="16"/>
      <c r="N10" s="16">
        <f t="shared" ca="1" si="3"/>
        <v>0</v>
      </c>
      <c r="O10" s="11" cm="1">
        <f t="array" aca="1" ref="O10" ca="1">INDIRECT("'data'!$X$" &amp; $A$1)*parameters!$B$15</f>
        <v>4295.34</v>
      </c>
      <c r="P10" s="13" cm="1">
        <f t="array" aca="1" ref="P10" ca="1">-INDIRECT("'data'!$Y$" &amp; $A$1)*parameters!$B$15</f>
        <v>-1803.2</v>
      </c>
      <c r="Q10" s="16" cm="1">
        <f t="array" aca="1" ref="Q10" ca="1">INDIRECT("'data'!$W$" &amp; $A$1)*parameters!$B$15</f>
        <v>4785.3525462304406</v>
      </c>
      <c r="R10" s="16">
        <f t="shared" ca="1" si="2"/>
        <v>4785.3525462304406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4083.847189758179</v>
      </c>
      <c r="N11" s="19"/>
      <c r="O11" s="21" cm="1">
        <f t="array" aca="1" ref="O11" ca="1">INDIRECT("'data'!$Z$" &amp; $A$1)*parameters!$B$15</f>
        <v>3516.24</v>
      </c>
      <c r="P11" s="27" cm="1">
        <f t="array" aca="1" ref="P11" ca="1">-INDIRECT("'data'!$AA$" &amp; $A$1)*parameters!$B$15</f>
        <v>-3613.2599999999998</v>
      </c>
      <c r="Q11" s="16">
        <f ca="1">K9*parameters!$B$10+K10*parameters!$B$11</f>
        <v>3986.827189758179</v>
      </c>
      <c r="R11" s="16">
        <f t="shared" ref="R11:R17" ca="1" si="4">SUM(L11:P11)</f>
        <v>3986.8271897581785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-34.455649089261897</v>
      </c>
      <c r="D12" s="9">
        <f ca="1">-(D17-Q4)</f>
        <v>0</v>
      </c>
      <c r="E12" s="9">
        <f ca="1">-(E17-Q5)</f>
        <v>-264.71292836476277</v>
      </c>
      <c r="F12" s="9">
        <f ca="1">-(F17-Q6)</f>
        <v>-436.97970149253706</v>
      </c>
      <c r="G12" s="9">
        <f ca="1">-(G17-Q7)</f>
        <v>-29.678537095088814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-765.82681604165055</v>
      </c>
      <c r="M12" s="17"/>
      <c r="N12" s="17"/>
      <c r="O12" s="10"/>
      <c r="P12" s="12"/>
      <c r="Q12" s="9">
        <f t="shared" ref="Q12:Q17" ca="1" si="6">SUM(L12:P12)</f>
        <v>-765.82681604165055</v>
      </c>
      <c r="R12" s="17">
        <f t="shared" ca="1" si="4"/>
        <v>-765.82681604165055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-166.06305792201556</v>
      </c>
      <c r="J13" s="14">
        <f ca="1">-(J17-Q10)</f>
        <v>-432.70439584754331</v>
      </c>
      <c r="K13" s="13">
        <f ca="1">-(K17-Q11)</f>
        <v>-449.64535647226148</v>
      </c>
      <c r="L13" s="14">
        <f t="shared" ca="1" si="5"/>
        <v>-1048.4128102418204</v>
      </c>
      <c r="M13" s="16">
        <f ca="1">-E15</f>
        <v>-1358.0683567105693</v>
      </c>
      <c r="N13" s="16"/>
      <c r="O13" s="11"/>
      <c r="P13" s="13"/>
      <c r="Q13" s="14">
        <f t="shared" ca="1" si="6"/>
        <v>-2406.4811669523897</v>
      </c>
      <c r="R13" s="16">
        <f t="shared" ca="1" si="4"/>
        <v>-2406.4811669523897</v>
      </c>
    </row>
    <row r="14" spans="1:20">
      <c r="A14" s="18" t="s">
        <v>78</v>
      </c>
      <c r="B14" s="11"/>
      <c r="C14" s="14"/>
      <c r="D14" s="14"/>
      <c r="E14" s="14">
        <f ca="1">-(I13+J13)-K13</f>
        <v>1048.4128102418204</v>
      </c>
      <c r="F14" s="14"/>
      <c r="G14" s="14"/>
      <c r="H14" s="14"/>
      <c r="I14" s="14"/>
      <c r="J14" s="14"/>
      <c r="K14" s="13"/>
      <c r="L14" s="14">
        <f t="shared" ca="1" si="5"/>
        <v>1048.4128102418204</v>
      </c>
      <c r="M14" s="16"/>
      <c r="N14" s="16"/>
      <c r="O14" s="11"/>
      <c r="P14" s="13"/>
      <c r="Q14" s="14">
        <f t="shared" ca="1" si="6"/>
        <v>1048.4128102418204</v>
      </c>
      <c r="R14" s="16">
        <f t="shared" ca="1" si="4"/>
        <v>1048.4128102418204</v>
      </c>
    </row>
    <row r="15" spans="1:20">
      <c r="A15" s="18" t="s">
        <v>79</v>
      </c>
      <c r="B15" s="11"/>
      <c r="C15" s="14"/>
      <c r="D15" s="14"/>
      <c r="E15" s="14">
        <f ca="1">E17-E14</f>
        <v>1358.0683567105693</v>
      </c>
      <c r="F15" s="14"/>
      <c r="G15" s="14"/>
      <c r="H15" s="14"/>
      <c r="I15" s="14"/>
      <c r="J15" s="14"/>
      <c r="K15" s="13"/>
      <c r="L15" s="14">
        <f t="shared" ca="1" si="5"/>
        <v>1358.0683567105693</v>
      </c>
      <c r="M15" s="16"/>
      <c r="N15" s="16"/>
      <c r="O15" s="11"/>
      <c r="P15" s="13"/>
      <c r="Q15" s="14">
        <f t="shared" ca="1" si="6"/>
        <v>1358.0683567105693</v>
      </c>
      <c r="R15" s="16">
        <f t="shared" ca="1" si="4"/>
        <v>1358.0683567105693</v>
      </c>
    </row>
    <row r="16" spans="1:20">
      <c r="A16" s="30" t="s">
        <v>89</v>
      </c>
      <c r="B16" s="21">
        <f ca="1">Q2</f>
        <v>686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686</v>
      </c>
      <c r="M16" s="19"/>
      <c r="N16" s="19"/>
      <c r="O16" s="21"/>
      <c r="P16" s="27"/>
      <c r="Q16" s="22">
        <f t="shared" ca="1" si="6"/>
        <v>686</v>
      </c>
      <c r="R16" s="19">
        <f t="shared" ca="1" si="4"/>
        <v>686</v>
      </c>
    </row>
    <row r="17" spans="1:18">
      <c r="A17" s="29" t="s">
        <v>88</v>
      </c>
      <c r="B17" s="9">
        <f ca="1">B16</f>
        <v>686</v>
      </c>
      <c r="C17" s="9">
        <f ca="1">SUM(C$2:C$11)</f>
        <v>5469.1506490892616</v>
      </c>
      <c r="D17" s="9">
        <f ca="1">SUM(D$2:D$11)</f>
        <v>0</v>
      </c>
      <c r="E17" s="9">
        <f ca="1">$Q$5/parameters!$B$4</f>
        <v>2406.4811669523897</v>
      </c>
      <c r="F17" s="9">
        <f t="shared" ref="F17:K17" ca="1" si="7">SUM(F$2:F$11)</f>
        <v>7048.059701492537</v>
      </c>
      <c r="G17" s="9">
        <f t="shared" ca="1" si="7"/>
        <v>690.1985370950888</v>
      </c>
      <c r="H17" s="9">
        <f t="shared" ca="1" si="7"/>
        <v>7271.6</v>
      </c>
      <c r="I17" s="9">
        <f t="shared" ca="1" si="7"/>
        <v>2002.5830579220155</v>
      </c>
      <c r="J17" s="9">
        <f t="shared" ca="1" si="7"/>
        <v>5218.0569420779839</v>
      </c>
      <c r="K17" s="9">
        <f t="shared" ca="1" si="7"/>
        <v>4436.4725462304405</v>
      </c>
      <c r="L17" s="17">
        <f t="shared" ca="1" si="5"/>
        <v>35228.602600859718</v>
      </c>
      <c r="M17" s="17"/>
      <c r="N17" s="17"/>
      <c r="O17" s="9"/>
      <c r="P17" s="14"/>
      <c r="Q17" s="11">
        <f t="shared" ca="1" si="6"/>
        <v>35228.602600859718</v>
      </c>
      <c r="R17" s="17">
        <f t="shared" ca="1" si="4"/>
        <v>35228.602600859718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0.91707557034147125</v>
      </c>
      <c r="J18" s="39">
        <f ca="1">I18</f>
        <v>0.91707557034147125</v>
      </c>
      <c r="K18" s="40">
        <f ca="1">1-(-K13)/K17</f>
        <v>0.89864800203614159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3873.3873402435338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3873.3873402435338</v>
      </c>
      <c r="M2" s="17"/>
      <c r="N2" s="17">
        <f ca="1">Q2-(L2+O2+P2)</f>
        <v>0</v>
      </c>
      <c r="O2" s="11" cm="1">
        <f t="array" aca="1" ref="O2" ca="1">INDIRECT("'data'!$F$" &amp; $A$1)</f>
        <v>24.7</v>
      </c>
      <c r="P2" s="13">
        <f ca="1">IF(-(L2-Q2+O2)&lt;0, -(L2-Q2+O2), 0)</f>
        <v>-3898.0873402435336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3884.059701492537</v>
      </c>
      <c r="G3" s="14">
        <f ca="1">Q3-O3-P3-F3</f>
        <v>12.175298507462685</v>
      </c>
      <c r="H3" s="14"/>
      <c r="I3" s="14"/>
      <c r="J3" s="14"/>
      <c r="K3" s="13"/>
      <c r="L3" s="16">
        <f t="shared" ca="1" si="0"/>
        <v>3896.2349999999997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223.01999999999998</v>
      </c>
      <c r="P3" s="13" cm="1">
        <f t="array" aca="1" ref="P3" ca="1">-INDIRECT("'data'!$I$" &amp; $A$1)*parameters!$B$13</f>
        <v>-270.27</v>
      </c>
      <c r="Q3" s="16" cm="1">
        <f t="array" aca="1" ref="Q3" ca="1">INDIRECT("'data'!$G$" &amp; $A$1)*parameters!$B$13</f>
        <v>3848.9849999999997</v>
      </c>
      <c r="R3" s="16">
        <f t="shared" ref="R3:R10" ca="1" si="2">SUM(L3:P3)</f>
        <v>3848.9849999999992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16.560000000000002</v>
      </c>
      <c r="H4" s="14"/>
      <c r="I4" s="14"/>
      <c r="J4" s="14"/>
      <c r="K4" s="13"/>
      <c r="L4" s="16">
        <f t="shared" ca="1" si="0"/>
        <v>16.560000000000002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-16.560000000000002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971.01492537313425</v>
      </c>
      <c r="G5" s="14">
        <f ca="1">Q7/parameters!$B$7-(G3+G4)</f>
        <v>2689.0494454841782</v>
      </c>
      <c r="H5" s="14"/>
      <c r="I5" s="14"/>
      <c r="J5" s="14"/>
      <c r="K5" s="13"/>
      <c r="L5" s="16">
        <f t="shared" ca="1" si="0"/>
        <v>3660.0643708573125</v>
      </c>
      <c r="M5" s="16"/>
      <c r="N5" s="16"/>
      <c r="O5" s="11" cm="1">
        <f t="array" aca="1" ref="O5" ca="1">INDIRECT("'data'!$M$" &amp; $A$1)*parameters!$B$15</f>
        <v>3406.48</v>
      </c>
      <c r="P5" s="13" cm="1">
        <f t="array" aca="1" ref="P5" ca="1">-INDIRECT("'data'!$N$" &amp; $A$1)*parameters!$B$15</f>
        <v>-3972.92</v>
      </c>
      <c r="Q5" s="16">
        <f ca="1">SUM(L5:P5)</f>
        <v>3093.6243708573129</v>
      </c>
      <c r="R5" s="16">
        <f t="shared" ca="1" si="2"/>
        <v>3093.6243708573129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4554.0599999999995</v>
      </c>
      <c r="I6" s="14"/>
      <c r="J6" s="14"/>
      <c r="K6" s="13"/>
      <c r="L6" s="16">
        <f t="shared" ca="1" si="0"/>
        <v>4554.0599999999995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4554.0599999999995</v>
      </c>
      <c r="R6" s="16">
        <f t="shared" ca="1" si="2"/>
        <v>4554.0599999999995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2600.92</v>
      </c>
      <c r="I7" s="14"/>
      <c r="J7" s="14"/>
      <c r="K7" s="13"/>
      <c r="L7" s="16">
        <f t="shared" ca="1" si="0"/>
        <v>2600.92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2600.92</v>
      </c>
      <c r="R7" s="16">
        <f t="shared" ca="1" si="2"/>
        <v>2600.92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927.43761016579481</v>
      </c>
      <c r="J8" s="14">
        <f ca="1">Q10/J18</f>
        <v>8312.0023898342042</v>
      </c>
      <c r="K8" s="13"/>
      <c r="L8" s="16">
        <f t="shared" ca="1" si="0"/>
        <v>9239.4399999999987</v>
      </c>
      <c r="M8" s="16"/>
      <c r="N8" s="16">
        <f t="shared" ca="1" si="3"/>
        <v>0</v>
      </c>
      <c r="O8" s="11" cm="1">
        <f t="array" aca="1" ref="O8" ca="1">INDIRECT("'data'!$R$" &amp; $A$1)*parameters!$B$15</f>
        <v>314.58</v>
      </c>
      <c r="P8" s="13" cm="1">
        <f t="array" aca="1" ref="P8" ca="1">-INDIRECT("'data'!$S$" &amp; $A$1)*parameters!$B$15</f>
        <v>-2399.04</v>
      </c>
      <c r="Q8" s="16">
        <f ca="1">SUM(Q6:Q7)</f>
        <v>7154.98</v>
      </c>
      <c r="R8" s="16">
        <f t="shared" ca="1" si="2"/>
        <v>7154.9799999999987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947.66000000000008</v>
      </c>
      <c r="L9" s="16">
        <f t="shared" ca="1" si="0"/>
        <v>947.66000000000008</v>
      </c>
      <c r="M9" s="16"/>
      <c r="N9" s="16">
        <f t="shared" ca="1" si="3"/>
        <v>0</v>
      </c>
      <c r="O9" s="11" cm="1">
        <f t="array" aca="1" ref="O9" ca="1">INDIRECT("'data'!$U$" &amp; $A$1)*parameters!$B$15</f>
        <v>1454.32</v>
      </c>
      <c r="P9" s="13" cm="1">
        <f t="array" aca="1" ref="P9" ca="1">-INDIRECT("'data'!$V$" &amp; $A$1)*parameters!$B$15</f>
        <v>-1547.42</v>
      </c>
      <c r="Q9" s="16" cm="1">
        <f t="array" aca="1" ref="Q9" ca="1">INDIRECT("'data'!$T$" &amp; $A$1)*parameters!$B$15</f>
        <v>854.56</v>
      </c>
      <c r="R9" s="16">
        <f t="shared" ca="1" si="2"/>
        <v>854.56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1446.629160739687</v>
      </c>
      <c r="L10" s="16">
        <f t="shared" ca="1" si="0"/>
        <v>1446.629160739687</v>
      </c>
      <c r="M10" s="16"/>
      <c r="N10" s="16">
        <f t="shared" ca="1" si="3"/>
        <v>0</v>
      </c>
      <c r="O10" s="11" cm="1">
        <f t="array" aca="1" ref="O10" ca="1">INDIRECT("'data'!$X$" &amp; $A$1)*parameters!$B$15</f>
        <v>12014.8</v>
      </c>
      <c r="P10" s="13" cm="1">
        <f t="array" aca="1" ref="P10" ca="1">-INDIRECT("'data'!$Y$" &amp; $A$1)*parameters!$B$15</f>
        <v>-5802.58</v>
      </c>
      <c r="Q10" s="16" cm="1">
        <f t="array" aca="1" ref="Q10" ca="1">INDIRECT("'data'!$W$" &amp; $A$1)*parameters!$B$15</f>
        <v>7658.8491607396863</v>
      </c>
      <c r="R10" s="16">
        <f t="shared" ca="1" si="2"/>
        <v>7658.8491607396863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2351.4814782361309</v>
      </c>
      <c r="N11" s="19"/>
      <c r="O11" s="21" cm="1">
        <f t="array" aca="1" ref="O11" ca="1">INDIRECT("'data'!$Z$" &amp; $A$1)*parameters!$B$15</f>
        <v>7126.5599999999995</v>
      </c>
      <c r="P11" s="27" cm="1">
        <f t="array" aca="1" ref="P11" ca="1">-INDIRECT("'data'!$AA$" &amp; $A$1)*parameters!$B$15</f>
        <v>-7343.1399999999994</v>
      </c>
      <c r="Q11" s="16">
        <f ca="1">K9*parameters!$B$10+K10*parameters!$B$11</f>
        <v>2134.901478236131</v>
      </c>
      <c r="R11" s="16">
        <f t="shared" ref="R11:R17" ca="1" si="4">SUM(L11:P11)</f>
        <v>2134.9014782361301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-24.402340243534127</v>
      </c>
      <c r="D12" s="9">
        <f ca="1">-(D17-Q4)</f>
        <v>0</v>
      </c>
      <c r="E12" s="9">
        <f ca="1">-(E17-Q5)</f>
        <v>-382.35806830820729</v>
      </c>
      <c r="F12" s="9">
        <f ca="1">-(F17-Q6)</f>
        <v>-301.01462686567174</v>
      </c>
      <c r="G12" s="9">
        <f ca="1">-(G17-Q7)</f>
        <v>-116.86474399164081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-824.63977940905397</v>
      </c>
      <c r="M12" s="17"/>
      <c r="N12" s="17"/>
      <c r="O12" s="10"/>
      <c r="P12" s="12"/>
      <c r="Q12" s="9">
        <f t="shared" ref="Q12:Q17" ca="1" si="6">SUM(L12:P12)</f>
        <v>-824.63977940905397</v>
      </c>
      <c r="R12" s="17">
        <f t="shared" ca="1" si="4"/>
        <v>-824.63977940905397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-72.877610165794863</v>
      </c>
      <c r="J13" s="14">
        <f ca="1">-(J17-Q10)</f>
        <v>-653.15322909451788</v>
      </c>
      <c r="K13" s="13">
        <f ca="1">-(K17-Q11)</f>
        <v>-259.38768250355588</v>
      </c>
      <c r="L13" s="14">
        <f t="shared" ca="1" si="5"/>
        <v>-985.41852176386863</v>
      </c>
      <c r="M13" s="16">
        <f ca="1">-E15</f>
        <v>-2490.5639174016515</v>
      </c>
      <c r="N13" s="16"/>
      <c r="O13" s="11"/>
      <c r="P13" s="13"/>
      <c r="Q13" s="14">
        <f t="shared" ca="1" si="6"/>
        <v>-3475.9824391655202</v>
      </c>
      <c r="R13" s="16">
        <f t="shared" ca="1" si="4"/>
        <v>-3475.9824391655202</v>
      </c>
    </row>
    <row r="14" spans="1:20">
      <c r="A14" s="18" t="s">
        <v>78</v>
      </c>
      <c r="B14" s="11"/>
      <c r="C14" s="14"/>
      <c r="D14" s="14"/>
      <c r="E14" s="14">
        <f ca="1">-(I13+J13)-K13</f>
        <v>985.41852176386863</v>
      </c>
      <c r="F14" s="14"/>
      <c r="G14" s="14"/>
      <c r="H14" s="14"/>
      <c r="I14" s="14"/>
      <c r="J14" s="14"/>
      <c r="K14" s="13"/>
      <c r="L14" s="14">
        <f t="shared" ca="1" si="5"/>
        <v>985.41852176386863</v>
      </c>
      <c r="M14" s="16"/>
      <c r="N14" s="16"/>
      <c r="O14" s="11"/>
      <c r="P14" s="13"/>
      <c r="Q14" s="14">
        <f t="shared" ca="1" si="6"/>
        <v>985.41852176386863</v>
      </c>
      <c r="R14" s="16">
        <f t="shared" ca="1" si="4"/>
        <v>985.41852176386863</v>
      </c>
    </row>
    <row r="15" spans="1:20">
      <c r="A15" s="18" t="s">
        <v>79</v>
      </c>
      <c r="B15" s="11"/>
      <c r="C15" s="14"/>
      <c r="D15" s="14"/>
      <c r="E15" s="14">
        <f ca="1">E17-E14</f>
        <v>2490.5639174016515</v>
      </c>
      <c r="F15" s="14"/>
      <c r="G15" s="14"/>
      <c r="H15" s="14"/>
      <c r="I15" s="14"/>
      <c r="J15" s="14"/>
      <c r="K15" s="13"/>
      <c r="L15" s="14">
        <f t="shared" ca="1" si="5"/>
        <v>2490.5639174016515</v>
      </c>
      <c r="M15" s="16"/>
      <c r="N15" s="16"/>
      <c r="O15" s="11"/>
      <c r="P15" s="13"/>
      <c r="Q15" s="14">
        <f t="shared" ca="1" si="6"/>
        <v>2490.5639174016515</v>
      </c>
      <c r="R15" s="16">
        <f t="shared" ca="1" si="4"/>
        <v>2490.5639174016515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3873.3873402435338</v>
      </c>
      <c r="D17" s="9">
        <f ca="1">SUM(D$2:D$11)</f>
        <v>0</v>
      </c>
      <c r="E17" s="9">
        <f ca="1">$Q$5/parameters!$B$4</f>
        <v>3475.9824391655202</v>
      </c>
      <c r="F17" s="9">
        <f t="shared" ref="F17:K17" ca="1" si="7">SUM(F$2:F$11)</f>
        <v>4855.0746268656712</v>
      </c>
      <c r="G17" s="9">
        <f t="shared" ca="1" si="7"/>
        <v>2717.7847439916409</v>
      </c>
      <c r="H17" s="9">
        <f t="shared" ca="1" si="7"/>
        <v>7154.98</v>
      </c>
      <c r="I17" s="9">
        <f t="shared" ca="1" si="7"/>
        <v>927.43761016579481</v>
      </c>
      <c r="J17" s="9">
        <f t="shared" ca="1" si="7"/>
        <v>8312.0023898342042</v>
      </c>
      <c r="K17" s="9">
        <f t="shared" ca="1" si="7"/>
        <v>2394.2891607396868</v>
      </c>
      <c r="L17" s="17">
        <f t="shared" ca="1" si="5"/>
        <v>33710.938311006052</v>
      </c>
      <c r="M17" s="17"/>
      <c r="N17" s="17"/>
      <c r="O17" s="9"/>
      <c r="P17" s="14"/>
      <c r="Q17" s="11">
        <f t="shared" ca="1" si="6"/>
        <v>33710.938311006052</v>
      </c>
      <c r="R17" s="17">
        <f t="shared" ca="1" si="4"/>
        <v>33710.938311006052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0.92142047145061678</v>
      </c>
      <c r="J18" s="39">
        <f ca="1">I18</f>
        <v>0.92142047145061678</v>
      </c>
      <c r="K18" s="40">
        <f ca="1">1-(-K13)/K17</f>
        <v>0.89166401170048271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6830.970111703733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6830.970111703733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-6830.970111703733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6604.0298507462685</v>
      </c>
      <c r="G3" s="14">
        <f ca="1">Q3-O3-P3-F3</f>
        <v>235.88014925373136</v>
      </c>
      <c r="H3" s="14"/>
      <c r="I3" s="14"/>
      <c r="J3" s="14"/>
      <c r="K3" s="13"/>
      <c r="L3" s="16">
        <f t="shared" ca="1" si="0"/>
        <v>6839.91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-55.754999999999995</v>
      </c>
      <c r="Q3" s="16" cm="1">
        <f t="array" aca="1" ref="Q3" ca="1">INDIRECT("'data'!$G$" &amp; $A$1)*parameters!$B$13</f>
        <v>6787.9349999999995</v>
      </c>
      <c r="R3" s="16">
        <f t="shared" ref="R3:R10" ca="1" si="2">SUM(L3:P3)</f>
        <v>6787.9349999999995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178.48000000000002</v>
      </c>
      <c r="H4" s="14"/>
      <c r="I4" s="14"/>
      <c r="J4" s="14"/>
      <c r="K4" s="13"/>
      <c r="L4" s="16">
        <f t="shared" ca="1" si="0"/>
        <v>178.48000000000002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-178.48000000000002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Q6/parameters!$B$5*16%</f>
        <v>1257.9104477611941</v>
      </c>
      <c r="G5" s="14">
        <f ca="1">Q7/parameters!$B$7-(G3+G4)</f>
        <v>1689.0045320419845</v>
      </c>
      <c r="H5" s="14"/>
      <c r="I5" s="14"/>
      <c r="J5" s="14"/>
      <c r="K5" s="13"/>
      <c r="L5" s="16">
        <f t="shared" ca="1" si="0"/>
        <v>2946.9149798031785</v>
      </c>
      <c r="M5" s="16"/>
      <c r="N5" s="16"/>
      <c r="O5" s="11" cm="1">
        <f t="array" aca="1" ref="O5" ca="1">INDIRECT("'data'!$M$" &amp; $A$1)*parameters!$B$15</f>
        <v>7153.0199999999995</v>
      </c>
      <c r="P5" s="13" cm="1">
        <f t="array" aca="1" ref="P5" ca="1">-INDIRECT("'data'!$N$" &amp; $A$1)*parameters!$B$15</f>
        <v>-280.27999999999997</v>
      </c>
      <c r="Q5" s="16">
        <f ca="1">SUM(L5:P5)</f>
        <v>9819.6549798031774</v>
      </c>
      <c r="R5" s="16">
        <f t="shared" ca="1" si="2"/>
        <v>9819.6549798031774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7374.5</v>
      </c>
      <c r="I6" s="14"/>
      <c r="J6" s="14"/>
      <c r="K6" s="13"/>
      <c r="L6" s="16">
        <f t="shared" ca="1" si="0"/>
        <v>7374.5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7374.5</v>
      </c>
      <c r="R6" s="16">
        <f t="shared" ca="1" si="2"/>
        <v>7374.5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2012.92</v>
      </c>
      <c r="I7" s="14"/>
      <c r="J7" s="14"/>
      <c r="K7" s="13"/>
      <c r="L7" s="16">
        <f t="shared" ca="1" si="0"/>
        <v>2012.92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2012.92</v>
      </c>
      <c r="R7" s="16">
        <f t="shared" ca="1" si="2"/>
        <v>2012.92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3529.1021349019916</v>
      </c>
      <c r="J8" s="14">
        <f ca="1">Q10/J18</f>
        <v>4633.3178650980071</v>
      </c>
      <c r="K8" s="13"/>
      <c r="L8" s="16">
        <f t="shared" ca="1" si="0"/>
        <v>8162.4199999999983</v>
      </c>
      <c r="M8" s="16"/>
      <c r="N8" s="16">
        <f t="shared" ca="1" si="3"/>
        <v>0</v>
      </c>
      <c r="O8" s="11" cm="1">
        <f t="array" aca="1" ref="O8" ca="1">INDIRECT("'data'!$R$" &amp; $A$1)*parameters!$B$15</f>
        <v>2036.44</v>
      </c>
      <c r="P8" s="13" cm="1">
        <f t="array" aca="1" ref="P8" ca="1">-INDIRECT("'data'!$S$" &amp; $A$1)*parameters!$B$15</f>
        <v>-811.43999999999994</v>
      </c>
      <c r="Q8" s="16">
        <f ca="1">SUM(Q6:Q7)</f>
        <v>9387.42</v>
      </c>
      <c r="R8" s="16">
        <f t="shared" ca="1" si="2"/>
        <v>9387.4199999999983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2881.2</v>
      </c>
      <c r="L9" s="16">
        <f t="shared" ca="1" si="0"/>
        <v>2881.2</v>
      </c>
      <c r="M9" s="16"/>
      <c r="N9" s="16">
        <f t="shared" ca="1" si="3"/>
        <v>0</v>
      </c>
      <c r="O9" s="11" cm="1">
        <f t="array" aca="1" ref="O9" ca="1">INDIRECT("'data'!$U$" &amp; $A$1)*parameters!$B$15</f>
        <v>1795.36</v>
      </c>
      <c r="P9" s="13" cm="1">
        <f t="array" aca="1" ref="P9" ca="1">-INDIRECT("'data'!$V$" &amp; $A$1)*parameters!$B$15</f>
        <v>-1736.56</v>
      </c>
      <c r="Q9" s="16" cm="1">
        <f t="array" aca="1" ref="Q9" ca="1">INDIRECT("'data'!$T$" &amp; $A$1)*parameters!$B$15</f>
        <v>2940</v>
      </c>
      <c r="R9" s="16">
        <f t="shared" ca="1" si="2"/>
        <v>2939.9999999999995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5631.73240398293</v>
      </c>
      <c r="L10" s="16">
        <f t="shared" ca="1" si="0"/>
        <v>5631.73240398293</v>
      </c>
      <c r="M10" s="16"/>
      <c r="N10" s="16">
        <f t="shared" ca="1" si="3"/>
        <v>0</v>
      </c>
      <c r="O10" s="11" cm="1">
        <f t="array" aca="1" ref="O10" ca="1">INDIRECT("'data'!$X$" &amp; $A$1)*parameters!$B$15</f>
        <v>1693.44</v>
      </c>
      <c r="P10" s="13" cm="1">
        <f t="array" aca="1" ref="P10" ca="1">-INDIRECT("'data'!$Y$" &amp; $A$1)*parameters!$B$15</f>
        <v>-3465.2799999999997</v>
      </c>
      <c r="Q10" s="16" cm="1">
        <f t="array" aca="1" ref="Q10" ca="1">INDIRECT("'data'!$W$" &amp; $A$1)*parameters!$B$15</f>
        <v>3859.8924039829303</v>
      </c>
      <c r="R10" s="16">
        <f t="shared" ca="1" si="2"/>
        <v>3859.8924039829299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11167.817867425321</v>
      </c>
      <c r="N11" s="19"/>
      <c r="O11" s="21" cm="1">
        <f t="array" aca="1" ref="O11" ca="1">INDIRECT("'data'!$Z$" &amp; $A$1)*parameters!$B$15</f>
        <v>5877.0599999999995</v>
      </c>
      <c r="P11" s="27" cm="1">
        <f t="array" aca="1" ref="P11" ca="1">-INDIRECT("'data'!$AA$" &amp; $A$1)*parameters!$B$15</f>
        <v>-9493.26</v>
      </c>
      <c r="Q11" s="16">
        <f ca="1">K9*parameters!$B$10+K10*parameters!$B$11</f>
        <v>7551.6178674253197</v>
      </c>
      <c r="R11" s="16">
        <f t="shared" ref="R11:R17" ca="1" si="4">SUM(L11:P11)</f>
        <v>7551.6178674253188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-43.035111703733492</v>
      </c>
      <c r="D12" s="9">
        <f ca="1">-(D17-Q4)</f>
        <v>0</v>
      </c>
      <c r="E12" s="9">
        <f ca="1">-(E17-Q5)</f>
        <v>-1213.665222222864</v>
      </c>
      <c r="F12" s="9">
        <f ca="1">-(F17-Q6)</f>
        <v>-487.44029850746301</v>
      </c>
      <c r="G12" s="9">
        <f ca="1">-(G17-Q7)</f>
        <v>-90.444681295715782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-1834.5853137297763</v>
      </c>
      <c r="M12" s="17"/>
      <c r="N12" s="17"/>
      <c r="O12" s="10"/>
      <c r="P12" s="12"/>
      <c r="Q12" s="9">
        <f t="shared" ref="Q12:Q17" ca="1" si="6">SUM(L12:P12)</f>
        <v>-1834.5853137297763</v>
      </c>
      <c r="R12" s="17">
        <f t="shared" ca="1" si="4"/>
        <v>-1834.5853137297763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-589.10213490199158</v>
      </c>
      <c r="J13" s="14">
        <f ca="1">-(J17-Q10)</f>
        <v>-773.42546111507681</v>
      </c>
      <c r="K13" s="13">
        <f ca="1">-(K17-Q11)</f>
        <v>-961.31453655761015</v>
      </c>
      <c r="L13" s="14">
        <f t="shared" ca="1" si="5"/>
        <v>-2323.8421325746785</v>
      </c>
      <c r="M13" s="16">
        <f ca="1">-E15</f>
        <v>-8709.4780694513629</v>
      </c>
      <c r="N13" s="16"/>
      <c r="O13" s="11"/>
      <c r="P13" s="13"/>
      <c r="Q13" s="14">
        <f t="shared" ca="1" si="6"/>
        <v>-11033.320202026041</v>
      </c>
      <c r="R13" s="16">
        <f t="shared" ca="1" si="4"/>
        <v>-11033.320202026041</v>
      </c>
    </row>
    <row r="14" spans="1:20">
      <c r="A14" s="18" t="s">
        <v>78</v>
      </c>
      <c r="B14" s="11"/>
      <c r="C14" s="14"/>
      <c r="D14" s="14"/>
      <c r="E14" s="14">
        <f ca="1">-(I13+J13)-K13</f>
        <v>2323.8421325746785</v>
      </c>
      <c r="F14" s="14"/>
      <c r="G14" s="14"/>
      <c r="H14" s="14"/>
      <c r="I14" s="14"/>
      <c r="J14" s="14"/>
      <c r="K14" s="13"/>
      <c r="L14" s="14">
        <f t="shared" ca="1" si="5"/>
        <v>2323.8421325746785</v>
      </c>
      <c r="M14" s="16"/>
      <c r="N14" s="16"/>
      <c r="O14" s="11"/>
      <c r="P14" s="13"/>
      <c r="Q14" s="14">
        <f t="shared" ca="1" si="6"/>
        <v>2323.8421325746785</v>
      </c>
      <c r="R14" s="16">
        <f t="shared" ca="1" si="4"/>
        <v>2323.8421325746785</v>
      </c>
    </row>
    <row r="15" spans="1:20">
      <c r="A15" s="18" t="s">
        <v>79</v>
      </c>
      <c r="B15" s="11"/>
      <c r="C15" s="14"/>
      <c r="D15" s="14"/>
      <c r="E15" s="14">
        <f ca="1">E17-E14</f>
        <v>8709.4780694513629</v>
      </c>
      <c r="F15" s="14"/>
      <c r="G15" s="14"/>
      <c r="H15" s="14"/>
      <c r="I15" s="14"/>
      <c r="J15" s="14"/>
      <c r="K15" s="13"/>
      <c r="L15" s="14">
        <f t="shared" ca="1" si="5"/>
        <v>8709.4780694513629</v>
      </c>
      <c r="M15" s="16"/>
      <c r="N15" s="16"/>
      <c r="O15" s="11"/>
      <c r="P15" s="13"/>
      <c r="Q15" s="14">
        <f t="shared" ca="1" si="6"/>
        <v>8709.4780694513629</v>
      </c>
      <c r="R15" s="16">
        <f t="shared" ca="1" si="4"/>
        <v>8709.4780694513629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6830.970111703733</v>
      </c>
      <c r="D17" s="9">
        <f ca="1">SUM(D$2:D$11)</f>
        <v>0</v>
      </c>
      <c r="E17" s="9">
        <f ca="1">$Q$5/parameters!$B$4</f>
        <v>11033.320202026041</v>
      </c>
      <c r="F17" s="9">
        <f t="shared" ref="F17:K17" ca="1" si="7">SUM(F$2:F$11)</f>
        <v>7861.940298507463</v>
      </c>
      <c r="G17" s="9">
        <f t="shared" ca="1" si="7"/>
        <v>2103.3646812957159</v>
      </c>
      <c r="H17" s="9">
        <f t="shared" ca="1" si="7"/>
        <v>9387.42</v>
      </c>
      <c r="I17" s="9">
        <f t="shared" ca="1" si="7"/>
        <v>3529.1021349019916</v>
      </c>
      <c r="J17" s="9">
        <f t="shared" ca="1" si="7"/>
        <v>4633.3178650980071</v>
      </c>
      <c r="K17" s="9">
        <f t="shared" ca="1" si="7"/>
        <v>8512.9324039829298</v>
      </c>
      <c r="L17" s="17">
        <f t="shared" ca="1" si="5"/>
        <v>53892.367697515881</v>
      </c>
      <c r="M17" s="17"/>
      <c r="N17" s="17"/>
      <c r="O17" s="9"/>
      <c r="P17" s="14"/>
      <c r="Q17" s="11">
        <f t="shared" ca="1" si="6"/>
        <v>53892.367697515881</v>
      </c>
      <c r="R17" s="17">
        <f t="shared" ca="1" si="4"/>
        <v>53892.367697515881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0.83307308420577864</v>
      </c>
      <c r="J18" s="39">
        <f ca="1">I18</f>
        <v>0.83307308420577864</v>
      </c>
      <c r="K18" s="40">
        <f ca="1">1-(-K13)/K17</f>
        <v>0.88707598146699229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5181.3457853755326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5181.3457853755326</v>
      </c>
      <c r="M2" s="17"/>
      <c r="N2" s="17">
        <f ca="1">Q2-(L2+O2+P2)</f>
        <v>0</v>
      </c>
      <c r="O2" s="11" cm="1">
        <f t="array" aca="1" ref="O2" ca="1">INDIRECT("'data'!$F$" &amp; $A$1)</f>
        <v>13605.15</v>
      </c>
      <c r="P2" s="13">
        <f ca="1">IF(-(L2-Q2+O2)&lt;0, -(L2-Q2+O2), 0)</f>
        <v>-18786.495785375533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5139.7447761194035</v>
      </c>
      <c r="G3" s="14">
        <f ca="1">Q3-O3-P3-F3</f>
        <v>57.153530808262985</v>
      </c>
      <c r="H3" s="14"/>
      <c r="I3" s="14"/>
      <c r="J3" s="14"/>
      <c r="K3" s="13"/>
      <c r="L3" s="16">
        <f t="shared" ca="1" si="0"/>
        <v>5196.8983069276665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254.20499999999998</v>
      </c>
      <c r="P3" s="13" cm="1">
        <f t="array" aca="1" ref="P3" ca="1">-INDIRECT("'data'!$I$" &amp; $A$1)*parameters!$B$13</f>
        <v>-302.39999999999998</v>
      </c>
      <c r="Q3" s="16" cm="1">
        <f t="array" aca="1" ref="Q3" ca="1">INDIRECT("'data'!$G$" &amp; $A$1)*parameters!$B$13</f>
        <v>5148.7033069276667</v>
      </c>
      <c r="R3" s="16">
        <f t="shared" ref="R3:R10" ca="1" si="2">SUM(L3:P3)</f>
        <v>5148.7033069276667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380.88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-380.88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107</v>
      </c>
      <c r="B5" s="11"/>
      <c r="C5" s="14"/>
      <c r="D5" s="14"/>
      <c r="E5" s="14"/>
      <c r="F5" s="14">
        <f ca="1">Q6/parameters!$B$5*27%</f>
        <v>1901.0014925373137</v>
      </c>
      <c r="G5" s="14">
        <f ca="1">Q7/parameters!$B$7-(G3+G4)</f>
        <v>87.235183925279358</v>
      </c>
      <c r="H5" s="14"/>
      <c r="I5" s="14"/>
      <c r="J5" s="14"/>
      <c r="K5" s="13"/>
      <c r="L5" s="16">
        <f t="shared" ca="1" si="0"/>
        <v>1988.2366764625931</v>
      </c>
      <c r="M5" s="16"/>
      <c r="N5" s="16"/>
      <c r="O5" s="11" cm="1">
        <f t="array" aca="1" ref="O5" ca="1">INDIRECT("'data'!$M$" &amp; $A$1)*parameters!$B$15</f>
        <v>4702.04</v>
      </c>
      <c r="P5" s="13" cm="1">
        <f t="array" aca="1" ref="P5" ca="1">-INDIRECT("'data'!$N$" &amp; $A$1)*parameters!$B$15</f>
        <v>-1834.56</v>
      </c>
      <c r="Q5" s="16">
        <f ca="1">SUM(L5:P5)</f>
        <v>4855.7166764625927</v>
      </c>
      <c r="R5" s="16">
        <f t="shared" ca="1" si="2"/>
        <v>4855.7166764625927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6604.22</v>
      </c>
      <c r="I6" s="14"/>
      <c r="J6" s="14"/>
      <c r="K6" s="13"/>
      <c r="L6" s="16">
        <f t="shared" ca="1" si="0"/>
        <v>6604.22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6604.22</v>
      </c>
      <c r="R6" s="16">
        <f t="shared" ca="1" si="2"/>
        <v>6604.22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138.18</v>
      </c>
      <c r="I7" s="14"/>
      <c r="J7" s="14"/>
      <c r="K7" s="13"/>
      <c r="L7" s="16">
        <f t="shared" ca="1" si="0"/>
        <v>138.18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138.18</v>
      </c>
      <c r="R7" s="16">
        <f t="shared" ca="1" si="2"/>
        <v>138.18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174.93882778630592</v>
      </c>
      <c r="J8" s="14">
        <f ca="1">Q10/J18</f>
        <v>6441.041172213696</v>
      </c>
      <c r="K8" s="13"/>
      <c r="L8" s="16">
        <f t="shared" ca="1" si="0"/>
        <v>6615.9800000000023</v>
      </c>
      <c r="M8" s="16"/>
      <c r="N8" s="16">
        <f t="shared" ca="1" si="3"/>
        <v>0</v>
      </c>
      <c r="O8" s="11" cm="1">
        <f t="array" aca="1" ref="O8" ca="1">INDIRECT("'data'!$R$" &amp; $A$1)*parameters!$B$15</f>
        <v>1150.52</v>
      </c>
      <c r="P8" s="13" cm="1">
        <f t="array" aca="1" ref="P8" ca="1">-INDIRECT("'data'!$S$" &amp; $A$1)*parameters!$B$15</f>
        <v>-1024.0999999999999</v>
      </c>
      <c r="Q8" s="16">
        <f ca="1">SUM(Q6:Q7)</f>
        <v>6742.4000000000005</v>
      </c>
      <c r="R8" s="16">
        <f t="shared" ca="1" si="2"/>
        <v>6742.4000000000015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1859.06</v>
      </c>
      <c r="L9" s="16">
        <f t="shared" ca="1" si="0"/>
        <v>1859.06</v>
      </c>
      <c r="M9" s="16"/>
      <c r="N9" s="16">
        <f t="shared" ca="1" si="3"/>
        <v>0</v>
      </c>
      <c r="O9" s="11" cm="1">
        <f t="array" aca="1" ref="O9" ca="1">INDIRECT("'data'!$U$" &amp; $A$1)*parameters!$B$15</f>
        <v>844.76</v>
      </c>
      <c r="P9" s="13" cm="1">
        <f t="array" aca="1" ref="P9" ca="1">-INDIRECT("'data'!$V$" &amp; $A$1)*parameters!$B$15</f>
        <v>-2542.12</v>
      </c>
      <c r="Q9" s="16" cm="1">
        <f t="array" aca="1" ref="Q9" ca="1">INDIRECT("'data'!$T$" &amp; $A$1)*parameters!$B$15</f>
        <v>161.69999999999999</v>
      </c>
      <c r="R9" s="16">
        <f t="shared" ca="1" si="2"/>
        <v>161.69999999999982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2031.6431578947372</v>
      </c>
      <c r="L10" s="16">
        <f t="shared" ca="1" si="0"/>
        <v>2031.6431578947372</v>
      </c>
      <c r="M10" s="16"/>
      <c r="N10" s="16">
        <f t="shared" ca="1" si="3"/>
        <v>0</v>
      </c>
      <c r="O10" s="11" cm="1">
        <f t="array" aca="1" ref="O10" ca="1">INDIRECT("'data'!$X$" &amp; $A$1)*parameters!$B$15</f>
        <v>7011.9</v>
      </c>
      <c r="P10" s="13" cm="1">
        <f t="array" aca="1" ref="P10" ca="1">-INDIRECT("'data'!$Y$" &amp; $A$1)*parameters!$B$15</f>
        <v>-3089.94</v>
      </c>
      <c r="Q10" s="16" cm="1">
        <f t="array" aca="1" ref="Q10" ca="1">INDIRECT("'data'!$W$" &amp; $A$1)*parameters!$B$15</f>
        <v>5953.6031578947368</v>
      </c>
      <c r="R10" s="16">
        <f t="shared" ca="1" si="2"/>
        <v>5953.6031578947368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2888.1095157894738</v>
      </c>
      <c r="N11" s="19"/>
      <c r="O11" s="21" cm="1">
        <f t="array" aca="1" ref="O11" ca="1">INDIRECT("'data'!$Z$" &amp; $A$1)*parameters!$B$15</f>
        <v>6744.36</v>
      </c>
      <c r="P11" s="27" cm="1">
        <f t="array" aca="1" ref="P11" ca="1">-INDIRECT("'data'!$AA$" &amp; $A$1)*parameters!$B$15</f>
        <v>-6137.74</v>
      </c>
      <c r="Q11" s="16">
        <f ca="1">K9*parameters!$B$10+K10*parameters!$B$11</f>
        <v>3494.7295157894737</v>
      </c>
      <c r="R11" s="16">
        <f t="shared" ref="R11:R17" ca="1" si="4">SUM(L11:P11)</f>
        <v>3494.7295157894732</v>
      </c>
    </row>
    <row r="12" spans="1:19">
      <c r="A12" s="29" t="s">
        <v>86</v>
      </c>
      <c r="B12" s="10">
        <f ca="1">-(B17-Q2)</f>
        <v>0</v>
      </c>
      <c r="C12" s="9">
        <f ca="1">-(C17-Q3)</f>
        <v>-32.642478447865869</v>
      </c>
      <c r="D12" s="9">
        <f ca="1">-(D17-Q4)</f>
        <v>0</v>
      </c>
      <c r="E12" s="9">
        <f ca="1">-(E17-Q5)</f>
        <v>-600.14475776503969</v>
      </c>
      <c r="F12" s="9">
        <f ca="1">-(F17-Q6)</f>
        <v>-436.52626865671664</v>
      </c>
      <c r="G12" s="9">
        <f ca="1">-(G17-Q7)</f>
        <v>-6.2087147335423367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-1075.5222196031646</v>
      </c>
      <c r="M12" s="17"/>
      <c r="N12" s="17"/>
      <c r="O12" s="10"/>
      <c r="P12" s="12"/>
      <c r="Q12" s="9">
        <f t="shared" ref="Q12:Q17" ca="1" si="6">SUM(L12:P12)</f>
        <v>-1075.5222196031646</v>
      </c>
      <c r="R12" s="17">
        <f t="shared" ca="1" si="4"/>
        <v>-1075.5222196031646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-13.238827786305933</v>
      </c>
      <c r="J13" s="14">
        <f ca="1">-(J17-Q10)</f>
        <v>-487.43801431895918</v>
      </c>
      <c r="K13" s="13">
        <f ca="1">-(K17-Q11)</f>
        <v>-395.97364210526348</v>
      </c>
      <c r="L13" s="14">
        <f t="shared" ca="1" si="5"/>
        <v>-896.65048421052859</v>
      </c>
      <c r="M13" s="16">
        <f ca="1">-E15</f>
        <v>-4559.2109500171036</v>
      </c>
      <c r="N13" s="16"/>
      <c r="O13" s="11"/>
      <c r="P13" s="13"/>
      <c r="Q13" s="14">
        <f t="shared" ca="1" si="6"/>
        <v>-5455.8614342276323</v>
      </c>
      <c r="R13" s="16">
        <f t="shared" ca="1" si="4"/>
        <v>-5455.8614342276323</v>
      </c>
    </row>
    <row r="14" spans="1:19">
      <c r="A14" s="18" t="s">
        <v>78</v>
      </c>
      <c r="B14" s="11"/>
      <c r="C14" s="14"/>
      <c r="D14" s="14"/>
      <c r="E14" s="14">
        <f ca="1">-(I13+J13)-K13</f>
        <v>896.65048421052859</v>
      </c>
      <c r="F14" s="14"/>
      <c r="G14" s="14"/>
      <c r="H14" s="14"/>
      <c r="I14" s="14"/>
      <c r="J14" s="14"/>
      <c r="K14" s="13"/>
      <c r="L14" s="14">
        <f t="shared" ca="1" si="5"/>
        <v>896.65048421052859</v>
      </c>
      <c r="M14" s="16"/>
      <c r="N14" s="16"/>
      <c r="O14" s="11"/>
      <c r="P14" s="13"/>
      <c r="Q14" s="14">
        <f t="shared" ca="1" si="6"/>
        <v>896.65048421052859</v>
      </c>
      <c r="R14" s="16">
        <f t="shared" ca="1" si="4"/>
        <v>896.65048421052859</v>
      </c>
    </row>
    <row r="15" spans="1:19">
      <c r="A15" s="18" t="s">
        <v>79</v>
      </c>
      <c r="B15" s="11"/>
      <c r="C15" s="14"/>
      <c r="D15" s="14"/>
      <c r="E15" s="14">
        <f ca="1">E17-E14</f>
        <v>4559.2109500171036</v>
      </c>
      <c r="F15" s="14"/>
      <c r="G15" s="14"/>
      <c r="H15" s="14"/>
      <c r="I15" s="14"/>
      <c r="J15" s="14"/>
      <c r="K15" s="13"/>
      <c r="L15" s="14">
        <f t="shared" ca="1" si="5"/>
        <v>4559.2109500171036</v>
      </c>
      <c r="M15" s="16"/>
      <c r="N15" s="16"/>
      <c r="O15" s="11"/>
      <c r="P15" s="13"/>
      <c r="Q15" s="14">
        <f t="shared" ca="1" si="6"/>
        <v>4559.2109500171036</v>
      </c>
      <c r="R15" s="16">
        <f t="shared" ca="1" si="4"/>
        <v>4559.2109500171036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5181.3457853755326</v>
      </c>
      <c r="D17" s="9">
        <f ca="1">SUM(D$2:D$11)</f>
        <v>0</v>
      </c>
      <c r="E17" s="9">
        <f ca="1">$Q$5/parameters!$B$4</f>
        <v>5455.8614342276323</v>
      </c>
      <c r="F17" s="9">
        <f t="shared" ref="F17:K17" ca="1" si="7">SUM(F$2:F$11)</f>
        <v>7040.7462686567169</v>
      </c>
      <c r="G17" s="9">
        <f t="shared" ca="1" si="7"/>
        <v>144.38871473354234</v>
      </c>
      <c r="H17" s="9">
        <f t="shared" ca="1" si="7"/>
        <v>6742.4000000000005</v>
      </c>
      <c r="I17" s="9">
        <f t="shared" ca="1" si="7"/>
        <v>174.93882778630592</v>
      </c>
      <c r="J17" s="9">
        <f t="shared" ca="1" si="7"/>
        <v>6441.041172213696</v>
      </c>
      <c r="K17" s="9">
        <f t="shared" ca="1" si="7"/>
        <v>3890.7031578947372</v>
      </c>
      <c r="L17" s="17">
        <f t="shared" ca="1" si="5"/>
        <v>35071.425360888163</v>
      </c>
      <c r="M17" s="17"/>
      <c r="N17" s="17"/>
      <c r="O17" s="9"/>
      <c r="P17" s="14"/>
      <c r="Q17" s="11">
        <f t="shared" ca="1" si="6"/>
        <v>35071.425360888163</v>
      </c>
      <c r="R17" s="17">
        <f t="shared" ca="1" si="4"/>
        <v>35071.425360888163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0.92432310223046854</v>
      </c>
      <c r="J18" s="39">
        <f ca="1">I18</f>
        <v>0.92432310223046854</v>
      </c>
      <c r="K18" s="40">
        <f ca="1">1-(-K13)/K17</f>
        <v>0.89822568671121006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3528.1775183657037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3528.1775183657037</v>
      </c>
      <c r="M2" s="17"/>
      <c r="N2" s="17">
        <f ca="1">Q2-(L2+O2+P2)</f>
        <v>0</v>
      </c>
      <c r="O2" s="11" cm="1">
        <f t="array" aca="1" ref="O2" ca="1">INDIRECT("'data'!$F$" &amp; $A$1)</f>
        <v>340636.4</v>
      </c>
      <c r="P2" s="13">
        <f ca="1">IF(-(L2-Q2+O2)&lt;0, -(L2-Q2+O2), 0)</f>
        <v>-8164.5775183657533</v>
      </c>
      <c r="Q2" s="17" cm="1">
        <f t="array" aca="1" ref="Q2" ca="1">INDIRECT("'data'!$D$" &amp; $A$1)</f>
        <v>336000</v>
      </c>
      <c r="R2" s="17">
        <f ca="1">SUM(L2:P2)</f>
        <v>336000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3156.8955223880598</v>
      </c>
      <c r="G3" s="14">
        <f ca="1">Q3-O3-P3-F3</f>
        <v>355.66947761193978</v>
      </c>
      <c r="H3" s="14"/>
      <c r="I3" s="14"/>
      <c r="J3" s="14"/>
      <c r="K3" s="13"/>
      <c r="L3" s="16">
        <f t="shared" ca="1" si="0"/>
        <v>3512.5649999999996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-6.6149999999999993</v>
      </c>
      <c r="Q3" s="16" cm="1">
        <f t="array" aca="1" ref="Q3" ca="1">INDIRECT("'data'!$G$" &amp; $A$1)*parameters!$B$13</f>
        <v>3505.95</v>
      </c>
      <c r="R3" s="16">
        <f t="shared" ref="R3:R10" ca="1" si="2">SUM(L3:P3)</f>
        <v>3505.95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789.22388059701507</v>
      </c>
      <c r="G5" s="14">
        <f ca="1">Q7/parameters!$B$7-(G3+G4)</f>
        <v>786.23183900248023</v>
      </c>
      <c r="H5" s="14"/>
      <c r="I5" s="14"/>
      <c r="J5" s="14"/>
      <c r="K5" s="13"/>
      <c r="L5" s="16">
        <f t="shared" ca="1" si="0"/>
        <v>1575.4557195994953</v>
      </c>
      <c r="M5" s="16"/>
      <c r="N5" s="16"/>
      <c r="O5" s="11" cm="1">
        <f t="array" aca="1" ref="O5" ca="1">INDIRECT("'data'!$M$" &amp; $A$1)*parameters!$B$15</f>
        <v>2200.1</v>
      </c>
      <c r="P5" s="13" cm="1">
        <f t="array" aca="1" ref="P5" ca="1">-INDIRECT("'data'!$N$" &amp; $A$1)*parameters!$B$15</f>
        <v>-4.9000000000000004</v>
      </c>
      <c r="Q5" s="16">
        <f ca="1">SUM(L5:P5)</f>
        <v>3770.6557195994951</v>
      </c>
      <c r="R5" s="16">
        <f t="shared" ca="1" si="2"/>
        <v>3770.6557195994951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3701.46</v>
      </c>
      <c r="I6" s="14"/>
      <c r="J6" s="14"/>
      <c r="K6" s="13"/>
      <c r="L6" s="16">
        <f t="shared" ca="1" si="0"/>
        <v>3701.46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3701.46</v>
      </c>
      <c r="R6" s="16">
        <f t="shared" ca="1" si="2"/>
        <v>3701.46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1093.68</v>
      </c>
      <c r="I7" s="14"/>
      <c r="J7" s="14"/>
      <c r="K7" s="13"/>
      <c r="L7" s="16">
        <f t="shared" ca="1" si="0"/>
        <v>1093.68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1093.68</v>
      </c>
      <c r="R7" s="16">
        <f t="shared" ca="1" si="2"/>
        <v>1093.68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1827.3264144034158</v>
      </c>
      <c r="J8" s="14">
        <f ca="1">Q10/J18</f>
        <v>2960.9535855965837</v>
      </c>
      <c r="K8" s="13"/>
      <c r="L8" s="16">
        <f t="shared" ca="1" si="0"/>
        <v>4788.28</v>
      </c>
      <c r="M8" s="16"/>
      <c r="N8" s="16">
        <f t="shared" ca="1" si="3"/>
        <v>0</v>
      </c>
      <c r="O8" s="11" cm="1">
        <f t="array" aca="1" ref="O8" ca="1">INDIRECT("'data'!$R$" &amp; $A$1)*parameters!$B$15</f>
        <v>11.76</v>
      </c>
      <c r="P8" s="13" cm="1">
        <f t="array" aca="1" ref="P8" ca="1">-INDIRECT("'data'!$S$" &amp; $A$1)*parameters!$B$15</f>
        <v>-4.9000000000000004</v>
      </c>
      <c r="Q8" s="16">
        <f ca="1">SUM(Q6:Q7)</f>
        <v>4795.1400000000003</v>
      </c>
      <c r="R8" s="16">
        <f t="shared" ca="1" si="2"/>
        <v>4795.1400000000003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2706.7599999999998</v>
      </c>
      <c r="L9" s="16">
        <f t="shared" ca="1" si="0"/>
        <v>2706.7599999999998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100.94</v>
      </c>
      <c r="P9" s="13" cm="1">
        <f t="array" aca="1" ref="P9" ca="1">-INDIRECT("'data'!$V$" &amp; $A$1)*parameters!$B$15</f>
        <v>-831.04</v>
      </c>
      <c r="Q9" s="16" cm="1">
        <f t="array" aca="1" ref="Q9" ca="1">INDIRECT("'data'!$T$" &amp; $A$1)*parameters!$B$15</f>
        <v>1976.6599999999999</v>
      </c>
      <c r="R9" s="16">
        <f t="shared" ca="1" si="2"/>
        <v>1976.6599999999999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3729.1899573257469</v>
      </c>
      <c r="L10" s="16">
        <f t="shared" ca="1" si="0"/>
        <v>3729.1899573257469</v>
      </c>
      <c r="M10" s="16"/>
      <c r="N10" s="16">
        <f t="shared" ca="1" si="3"/>
        <v>0</v>
      </c>
      <c r="O10" s="11" cm="1">
        <f t="array" aca="1" ref="O10" ca="1">INDIRECT("'data'!$X$" &amp; $A$1)*parameters!$B$15</f>
        <v>434.14</v>
      </c>
      <c r="P10" s="13" cm="1">
        <f t="array" aca="1" ref="P10" ca="1">-INDIRECT("'data'!$Y$" &amp; $A$1)*parameters!$B$15</f>
        <v>-960.4</v>
      </c>
      <c r="Q10" s="16" cm="1">
        <f t="array" aca="1" ref="Q10" ca="1">INDIRECT("'data'!$W$" &amp; $A$1)*parameters!$B$15</f>
        <v>3202.9299573257467</v>
      </c>
      <c r="R10" s="16">
        <f t="shared" ca="1" si="2"/>
        <v>3202.9299573257472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11031.697763300142</v>
      </c>
      <c r="N11" s="19"/>
      <c r="O11" s="21" cm="1">
        <f t="array" aca="1" ref="O11" ca="1">INDIRECT("'data'!$Z$" &amp; $A$1)*parameters!$B$15</f>
        <v>818.3</v>
      </c>
      <c r="P11" s="27" cm="1">
        <f t="array" aca="1" ref="P11" ca="1">-INDIRECT("'data'!$AA$" &amp; $A$1)*parameters!$B$15</f>
        <v>-6098.54</v>
      </c>
      <c r="Q11" s="16">
        <f ca="1">K9*parameters!$B$10+K10*parameters!$B$11</f>
        <v>5751.4577633001427</v>
      </c>
      <c r="R11" s="16">
        <f t="shared" ref="R11:R17" ca="1" si="4">SUM(L11:P11)</f>
        <v>5751.4577633001418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-22.227518365703872</v>
      </c>
      <c r="D12" s="9">
        <f ca="1">-(D17-Q4)</f>
        <v>0</v>
      </c>
      <c r="E12" s="9">
        <f ca="1">-(E17-Q5)</f>
        <v>-466.03610017521851</v>
      </c>
      <c r="F12" s="9">
        <f ca="1">-(F17-Q6)</f>
        <v>-244.65940298507485</v>
      </c>
      <c r="G12" s="9">
        <f ca="1">-(G17-Q7)</f>
        <v>-49.14131661442002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-782.06433814041725</v>
      </c>
      <c r="M12" s="17"/>
      <c r="N12" s="17"/>
      <c r="O12" s="10"/>
      <c r="P12" s="12"/>
      <c r="Q12" s="9">
        <f t="shared" ref="Q12:Q17" ca="1" si="6">SUM(L12:P12)</f>
        <v>-782.06433814041725</v>
      </c>
      <c r="R12" s="17">
        <f t="shared" ca="1" si="4"/>
        <v>-782.06433814041725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149.33358559658404</v>
      </c>
      <c r="J13" s="14">
        <f ca="1">-(J17-Q10)</f>
        <v>241.97637172916302</v>
      </c>
      <c r="K13" s="13">
        <f ca="1">-(K17-Q11)</f>
        <v>-684.49219402560448</v>
      </c>
      <c r="L13" s="14">
        <f t="shared" ca="1" si="5"/>
        <v>-293.18223669985741</v>
      </c>
      <c r="M13" s="16">
        <f ca="1">-E15</f>
        <v>-3943.509583074856</v>
      </c>
      <c r="N13" s="16"/>
      <c r="O13" s="11"/>
      <c r="P13" s="13"/>
      <c r="Q13" s="14">
        <f t="shared" ca="1" si="6"/>
        <v>-4236.6918197747136</v>
      </c>
      <c r="R13" s="16">
        <f t="shared" ca="1" si="4"/>
        <v>-4236.6918197747136</v>
      </c>
    </row>
    <row r="14" spans="1:19">
      <c r="A14" s="18" t="s">
        <v>78</v>
      </c>
      <c r="B14" s="11"/>
      <c r="C14" s="14"/>
      <c r="D14" s="14"/>
      <c r="E14" s="14">
        <f ca="1">-(I13+J13)-K13</f>
        <v>293.18223669985741</v>
      </c>
      <c r="F14" s="14"/>
      <c r="G14" s="14"/>
      <c r="H14" s="14"/>
      <c r="I14" s="14"/>
      <c r="J14" s="14"/>
      <c r="K14" s="13"/>
      <c r="L14" s="14">
        <f t="shared" ca="1" si="5"/>
        <v>293.18223669985741</v>
      </c>
      <c r="M14" s="16"/>
      <c r="N14" s="16"/>
      <c r="O14" s="11"/>
      <c r="P14" s="13"/>
      <c r="Q14" s="14">
        <f t="shared" ca="1" si="6"/>
        <v>293.18223669985741</v>
      </c>
      <c r="R14" s="16">
        <f t="shared" ca="1" si="4"/>
        <v>293.18223669985741</v>
      </c>
    </row>
    <row r="15" spans="1:19">
      <c r="A15" s="18" t="s">
        <v>79</v>
      </c>
      <c r="B15" s="11"/>
      <c r="C15" s="14"/>
      <c r="D15" s="14"/>
      <c r="E15" s="14">
        <f ca="1">E17-E14</f>
        <v>3943.509583074856</v>
      </c>
      <c r="F15" s="14"/>
      <c r="G15" s="14"/>
      <c r="H15" s="14"/>
      <c r="I15" s="14"/>
      <c r="J15" s="14"/>
      <c r="K15" s="13"/>
      <c r="L15" s="14">
        <f t="shared" ca="1" si="5"/>
        <v>3943.509583074856</v>
      </c>
      <c r="M15" s="16"/>
      <c r="N15" s="16"/>
      <c r="O15" s="11"/>
      <c r="P15" s="13"/>
      <c r="Q15" s="14">
        <f t="shared" ca="1" si="6"/>
        <v>3943.509583074856</v>
      </c>
      <c r="R15" s="16">
        <f t="shared" ca="1" si="4"/>
        <v>3943.509583074856</v>
      </c>
    </row>
    <row r="16" spans="1:19">
      <c r="A16" s="30" t="s">
        <v>89</v>
      </c>
      <c r="B16" s="21">
        <f ca="1">Q2</f>
        <v>336000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336000</v>
      </c>
      <c r="M16" s="19"/>
      <c r="N16" s="19"/>
      <c r="O16" s="21"/>
      <c r="P16" s="27"/>
      <c r="Q16" s="22">
        <f t="shared" ca="1" si="6"/>
        <v>336000</v>
      </c>
      <c r="R16" s="19">
        <f t="shared" ca="1" si="4"/>
        <v>336000</v>
      </c>
    </row>
    <row r="17" spans="1:18">
      <c r="A17" s="29" t="s">
        <v>88</v>
      </c>
      <c r="B17" s="9">
        <f ca="1">B16</f>
        <v>336000</v>
      </c>
      <c r="C17" s="9">
        <f ca="1">SUM(C$2:C$11)</f>
        <v>3528.1775183657037</v>
      </c>
      <c r="D17" s="9">
        <f ca="1">SUM(D$2:D$11)</f>
        <v>0</v>
      </c>
      <c r="E17" s="9">
        <f ca="1">$Q$5/parameters!$B$4</f>
        <v>4236.6918197747136</v>
      </c>
      <c r="F17" s="9">
        <f t="shared" ref="F17:K17" ca="1" si="7">SUM(F$2:F$11)</f>
        <v>3946.1194029850749</v>
      </c>
      <c r="G17" s="9">
        <f t="shared" ca="1" si="7"/>
        <v>1142.8213166144201</v>
      </c>
      <c r="H17" s="9">
        <f t="shared" ca="1" si="7"/>
        <v>4795.1400000000003</v>
      </c>
      <c r="I17" s="9">
        <f t="shared" ca="1" si="7"/>
        <v>1827.3264144034158</v>
      </c>
      <c r="J17" s="9">
        <f t="shared" ca="1" si="7"/>
        <v>2960.9535855965837</v>
      </c>
      <c r="K17" s="9">
        <f t="shared" ca="1" si="7"/>
        <v>6435.9499573257472</v>
      </c>
      <c r="L17" s="17">
        <f t="shared" ca="1" si="5"/>
        <v>364873.18001506565</v>
      </c>
      <c r="M17" s="17"/>
      <c r="N17" s="17"/>
      <c r="O17" s="9"/>
      <c r="P17" s="14"/>
      <c r="Q17" s="11">
        <f t="shared" ca="1" si="6"/>
        <v>364873.18001506565</v>
      </c>
      <c r="R17" s="17">
        <f t="shared" ca="1" si="4"/>
        <v>364873.18001506565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1.0817224467503461</v>
      </c>
      <c r="J18" s="39">
        <f ca="1">I18</f>
        <v>1.0817224467503461</v>
      </c>
      <c r="K18" s="40">
        <f ca="1">1-(-K13)/K17</f>
        <v>0.89364550710241641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4373.6087350306925</v>
      </c>
      <c r="D2" s="9">
        <f ca="1">Q4/parameters!$B$3</f>
        <v>1382.2682902284394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5755.8770252591321</v>
      </c>
      <c r="M2" s="17"/>
      <c r="N2" s="17">
        <f ca="1">Q2-(L2+O2+P2)</f>
        <v>2042.8229747408623</v>
      </c>
      <c r="O2" s="11" cm="1">
        <f t="array" aca="1" ref="O2" ca="1">INDIRECT("'data'!$F$" &amp; $A$1)</f>
        <v>35101.300000000003</v>
      </c>
      <c r="P2" s="13">
        <f ca="1">IF(-(L2-Q2+O2)&lt;0, -(L2-Q2+O2), 0)</f>
        <v>0</v>
      </c>
      <c r="Q2" s="17" cm="1">
        <f t="array" aca="1" ref="Q2" ca="1">INDIRECT("'data'!$D$" &amp; $A$1)</f>
        <v>42900</v>
      </c>
      <c r="R2" s="17">
        <f ca="1">SUM(L2:P2)</f>
        <v>42900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3263.0447761194032</v>
      </c>
      <c r="G3" s="14">
        <f ca="1">Q3-O3-P3-F3</f>
        <v>502.78022388059617</v>
      </c>
      <c r="H3" s="14"/>
      <c r="I3" s="14"/>
      <c r="J3" s="14"/>
      <c r="K3" s="13"/>
      <c r="L3" s="16">
        <f t="shared" ca="1" si="0"/>
        <v>3765.8249999999994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580.23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4346.0549999999994</v>
      </c>
      <c r="R3" s="16">
        <f t="shared" ref="R3:R10" ca="1" si="2">SUM(L3:P3)</f>
        <v>4346.0549999999994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1373.5600000000002</v>
      </c>
      <c r="H4" s="14"/>
      <c r="I4" s="14"/>
      <c r="J4" s="14"/>
      <c r="K4" s="13"/>
      <c r="L4" s="16">
        <f t="shared" ca="1" si="0"/>
        <v>1373.5600000000002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1373.5600000000002</v>
      </c>
      <c r="R4" s="16">
        <f t="shared" ca="1" si="2"/>
        <v>1373.5600000000002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815.7611940298508</v>
      </c>
      <c r="G5" s="14">
        <f ca="1">Q7/parameters!$B$7-(G3+G4)</f>
        <v>1230.57722648513</v>
      </c>
      <c r="H5" s="14"/>
      <c r="I5" s="14"/>
      <c r="J5" s="14"/>
      <c r="K5" s="13"/>
      <c r="L5" s="16">
        <f t="shared" ca="1" si="0"/>
        <v>2046.338420514981</v>
      </c>
      <c r="M5" s="16"/>
      <c r="N5" s="16"/>
      <c r="O5" s="11" cm="1">
        <f t="array" aca="1" ref="O5" ca="1">INDIRECT("'data'!$M$" &amp; $A$1)*parameters!$B$15</f>
        <v>1599.36</v>
      </c>
      <c r="P5" s="13" cm="1">
        <f t="array" aca="1" ref="P5" ca="1">-INDIRECT("'data'!$N$" &amp; $A$1)*parameters!$B$15</f>
        <v>-10.78</v>
      </c>
      <c r="Q5" s="16">
        <f ca="1">SUM(L5:P5)</f>
        <v>3634.9184205149809</v>
      </c>
      <c r="R5" s="16">
        <f t="shared" ca="1" si="2"/>
        <v>3634.9184205149809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3825.92</v>
      </c>
      <c r="I6" s="14"/>
      <c r="J6" s="14"/>
      <c r="K6" s="13"/>
      <c r="L6" s="16">
        <f t="shared" ca="1" si="0"/>
        <v>3825.92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3825.92</v>
      </c>
      <c r="R6" s="16">
        <f t="shared" ca="1" si="2"/>
        <v>3825.92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2973.32</v>
      </c>
      <c r="I7" s="14"/>
      <c r="J7" s="14"/>
      <c r="K7" s="13"/>
      <c r="L7" s="16">
        <f t="shared" ca="1" si="0"/>
        <v>2973.32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2973.32</v>
      </c>
      <c r="R7" s="16">
        <f t="shared" ca="1" si="2"/>
        <v>2973.32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2776.5452323026639</v>
      </c>
      <c r="J8" s="14">
        <f ca="1">Q10/J18</f>
        <v>3923.7147676973373</v>
      </c>
      <c r="K8" s="13"/>
      <c r="L8" s="16">
        <f t="shared" ca="1" si="0"/>
        <v>6700.2600000000011</v>
      </c>
      <c r="M8" s="16"/>
      <c r="N8" s="16">
        <f t="shared" ca="1" si="3"/>
        <v>0</v>
      </c>
      <c r="O8" s="11" cm="1">
        <f t="array" aca="1" ref="O8" ca="1">INDIRECT("'data'!$R$" &amp; $A$1)*parameters!$B$15</f>
        <v>108.78</v>
      </c>
      <c r="P8" s="13" cm="1">
        <f t="array" aca="1" ref="P8" ca="1">-INDIRECT("'data'!$S$" &amp; $A$1)*parameters!$B$15</f>
        <v>-9.8000000000000007</v>
      </c>
      <c r="Q8" s="16">
        <f ca="1">SUM(Q6:Q7)</f>
        <v>6799.24</v>
      </c>
      <c r="R8" s="16">
        <f t="shared" ca="1" si="2"/>
        <v>6799.2400000000007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1964.9</v>
      </c>
      <c r="L9" s="16">
        <f t="shared" ca="1" si="0"/>
        <v>1964.9</v>
      </c>
      <c r="M9" s="16"/>
      <c r="N9" s="16">
        <f t="shared" ca="1" si="3"/>
        <v>0</v>
      </c>
      <c r="O9" s="11" cm="1">
        <f t="array" aca="1" ref="O9" ca="1">INDIRECT("'data'!$U$" &amp; $A$1)*parameters!$B$15</f>
        <v>466.48</v>
      </c>
      <c r="P9" s="13" cm="1">
        <f t="array" aca="1" ref="P9" ca="1">-INDIRECT("'data'!$V$" &amp; $A$1)*parameters!$B$15</f>
        <v>-275.38</v>
      </c>
      <c r="Q9" s="16" cm="1">
        <f t="array" aca="1" ref="Q9" ca="1">INDIRECT("'data'!$T$" &amp; $A$1)*parameters!$B$15</f>
        <v>2156</v>
      </c>
      <c r="R9" s="16">
        <f t="shared" ca="1" si="2"/>
        <v>2156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2232.402361308677</v>
      </c>
      <c r="L10" s="16">
        <f t="shared" ca="1" si="0"/>
        <v>2232.402361308677</v>
      </c>
      <c r="M10" s="16"/>
      <c r="N10" s="16">
        <f t="shared" ca="1" si="3"/>
        <v>0</v>
      </c>
      <c r="O10" s="11" cm="1">
        <f t="array" aca="1" ref="O10" ca="1">INDIRECT("'data'!$X$" &amp; $A$1)*parameters!$B$15</f>
        <v>1447.46</v>
      </c>
      <c r="P10" s="13" cm="1">
        <f t="array" aca="1" ref="P10" ca="1">-INDIRECT("'data'!$Y$" &amp; $A$1)*parameters!$B$15</f>
        <v>-633.08000000000004</v>
      </c>
      <c r="Q10" s="16" cm="1">
        <f t="array" aca="1" ref="Q10" ca="1">INDIRECT("'data'!$W$" &amp; $A$1)*parameters!$B$15</f>
        <v>3046.7823613086771</v>
      </c>
      <c r="R10" s="16">
        <f t="shared" ca="1" si="2"/>
        <v>3046.7823613086771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4377.4120307254625</v>
      </c>
      <c r="N11" s="19"/>
      <c r="O11" s="21" cm="1">
        <f t="array" aca="1" ref="O11" ca="1">INDIRECT("'data'!$Z$" &amp; $A$1)*parameters!$B$15</f>
        <v>1407.28</v>
      </c>
      <c r="P11" s="27" cm="1">
        <f t="array" aca="1" ref="P11" ca="1">-INDIRECT("'data'!$AA$" &amp; $A$1)*parameters!$B$15</f>
        <v>-2017.82</v>
      </c>
      <c r="Q11" s="16">
        <f ca="1">K9*parameters!$B$10+K10*parameters!$B$11</f>
        <v>3766.8720307254625</v>
      </c>
      <c r="R11" s="16">
        <f t="shared" ref="R11:R17" ca="1" si="4">SUM(L11:P11)</f>
        <v>3766.8720307254625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-27.553735030693133</v>
      </c>
      <c r="D12" s="9">
        <f ca="1">-(D17-Q4)</f>
        <v>-8.7082902284391821</v>
      </c>
      <c r="E12" s="9">
        <f ca="1">-(E17-Q5)</f>
        <v>-449.25958006364908</v>
      </c>
      <c r="F12" s="9">
        <f ca="1">-(F17-Q6)</f>
        <v>-252.88597014925381</v>
      </c>
      <c r="G12" s="9">
        <f ca="1">-(G17-Q7)</f>
        <v>-133.59745036572622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-872.00502583776142</v>
      </c>
      <c r="M12" s="17"/>
      <c r="N12" s="17"/>
      <c r="O12" s="10"/>
      <c r="P12" s="12"/>
      <c r="Q12" s="9">
        <f t="shared" ref="Q12:Q17" ca="1" si="6">SUM(L12:P12)</f>
        <v>-872.00502583776142</v>
      </c>
      <c r="R12" s="17">
        <f t="shared" ca="1" si="4"/>
        <v>-872.00502583776142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-620.54523230266386</v>
      </c>
      <c r="J13" s="14">
        <f ca="1">-(J17-Q10)</f>
        <v>-876.93240638866018</v>
      </c>
      <c r="K13" s="13">
        <f ca="1">-(K17-Q11)</f>
        <v>-430.43033058321453</v>
      </c>
      <c r="L13" s="14">
        <f t="shared" ca="1" si="5"/>
        <v>-1927.9079692745386</v>
      </c>
      <c r="M13" s="16">
        <f ca="1">-E15</f>
        <v>-2156.2700313040914</v>
      </c>
      <c r="N13" s="16"/>
      <c r="O13" s="11"/>
      <c r="P13" s="13"/>
      <c r="Q13" s="14">
        <f t="shared" ca="1" si="6"/>
        <v>-4084.17800057863</v>
      </c>
      <c r="R13" s="16">
        <f t="shared" ca="1" si="4"/>
        <v>-4084.17800057863</v>
      </c>
    </row>
    <row r="14" spans="1:20">
      <c r="A14" s="18" t="s">
        <v>78</v>
      </c>
      <c r="B14" s="11"/>
      <c r="C14" s="14"/>
      <c r="D14" s="14"/>
      <c r="E14" s="14">
        <f ca="1">-(I13+J13)-K13</f>
        <v>1927.9079692745386</v>
      </c>
      <c r="F14" s="14"/>
      <c r="G14" s="14"/>
      <c r="H14" s="14"/>
      <c r="I14" s="14"/>
      <c r="J14" s="14"/>
      <c r="K14" s="13"/>
      <c r="L14" s="14">
        <f t="shared" ca="1" si="5"/>
        <v>1927.9079692745386</v>
      </c>
      <c r="M14" s="16"/>
      <c r="N14" s="16"/>
      <c r="O14" s="11"/>
      <c r="P14" s="13"/>
      <c r="Q14" s="14">
        <f t="shared" ca="1" si="6"/>
        <v>1927.9079692745386</v>
      </c>
      <c r="R14" s="16">
        <f t="shared" ca="1" si="4"/>
        <v>1927.9079692745386</v>
      </c>
    </row>
    <row r="15" spans="1:20">
      <c r="A15" s="18" t="s">
        <v>79</v>
      </c>
      <c r="B15" s="11"/>
      <c r="C15" s="14"/>
      <c r="D15" s="14"/>
      <c r="E15" s="14">
        <f ca="1">E17-E14</f>
        <v>2156.2700313040914</v>
      </c>
      <c r="F15" s="14"/>
      <c r="G15" s="14"/>
      <c r="H15" s="14"/>
      <c r="I15" s="14"/>
      <c r="J15" s="14"/>
      <c r="K15" s="13"/>
      <c r="L15" s="14">
        <f t="shared" ca="1" si="5"/>
        <v>2156.2700313040914</v>
      </c>
      <c r="M15" s="16"/>
      <c r="N15" s="16"/>
      <c r="O15" s="11"/>
      <c r="P15" s="13"/>
      <c r="Q15" s="14">
        <f t="shared" ca="1" si="6"/>
        <v>2156.2700313040914</v>
      </c>
      <c r="R15" s="16">
        <f t="shared" ca="1" si="4"/>
        <v>2156.2700313040914</v>
      </c>
    </row>
    <row r="16" spans="1:20">
      <c r="A16" s="30" t="s">
        <v>89</v>
      </c>
      <c r="B16" s="21">
        <f ca="1">Q2</f>
        <v>42900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42900</v>
      </c>
      <c r="M16" s="19"/>
      <c r="N16" s="19"/>
      <c r="O16" s="21"/>
      <c r="P16" s="27"/>
      <c r="Q16" s="22">
        <f t="shared" ca="1" si="6"/>
        <v>42900</v>
      </c>
      <c r="R16" s="19">
        <f t="shared" ca="1" si="4"/>
        <v>42900</v>
      </c>
    </row>
    <row r="17" spans="1:18">
      <c r="A17" s="29" t="s">
        <v>88</v>
      </c>
      <c r="B17" s="9">
        <f ca="1">B16</f>
        <v>42900</v>
      </c>
      <c r="C17" s="9">
        <f ca="1">SUM(C$2:C$11)</f>
        <v>4373.6087350306925</v>
      </c>
      <c r="D17" s="9">
        <f ca="1">SUM(D$2:D$11)</f>
        <v>1382.2682902284394</v>
      </c>
      <c r="E17" s="9">
        <f ca="1">$Q$5/parameters!$B$4</f>
        <v>4084.17800057863</v>
      </c>
      <c r="F17" s="9">
        <f t="shared" ref="F17:K17" ca="1" si="7">SUM(F$2:F$11)</f>
        <v>4078.8059701492539</v>
      </c>
      <c r="G17" s="9">
        <f t="shared" ca="1" si="7"/>
        <v>3106.9174503657264</v>
      </c>
      <c r="H17" s="9">
        <f t="shared" ca="1" si="7"/>
        <v>6799.24</v>
      </c>
      <c r="I17" s="9">
        <f t="shared" ca="1" si="7"/>
        <v>2776.5452323026639</v>
      </c>
      <c r="J17" s="9">
        <f t="shared" ca="1" si="7"/>
        <v>3923.7147676973373</v>
      </c>
      <c r="K17" s="9">
        <f t="shared" ca="1" si="7"/>
        <v>4197.3023613086771</v>
      </c>
      <c r="L17" s="17">
        <f t="shared" ca="1" si="5"/>
        <v>77622.580807661434</v>
      </c>
      <c r="M17" s="17"/>
      <c r="N17" s="17"/>
      <c r="O17" s="9"/>
      <c r="P17" s="14"/>
      <c r="Q17" s="11">
        <f t="shared" ca="1" si="6"/>
        <v>77622.580807661434</v>
      </c>
      <c r="R17" s="17">
        <f t="shared" ca="1" si="4"/>
        <v>77622.580807661434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0.77650454778003786</v>
      </c>
      <c r="J18" s="39">
        <f ca="1">I18</f>
        <v>0.77650454778003786</v>
      </c>
      <c r="K18" s="40">
        <f ca="1">1-(-K13)/K17</f>
        <v>0.89745072107480706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2156.2644661366612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2156.2644661366612</v>
      </c>
      <c r="M2" s="17"/>
      <c r="N2" s="17">
        <f ca="1">Q2-(L2+O2+P2)</f>
        <v>0</v>
      </c>
      <c r="O2" s="11" cm="1">
        <f t="array" aca="1" ref="O2" ca="1">INDIRECT("'data'!$F$" &amp; $A$1)</f>
        <v>5805.1500000000005</v>
      </c>
      <c r="P2" s="13">
        <f ca="1">IF(-(L2-Q2+O2)&lt;0, -(L2-Q2+O2), 0)</f>
        <v>-371.41446613666176</v>
      </c>
      <c r="Q2" s="17" cm="1">
        <f t="array" aca="1" ref="Q2" ca="1">INDIRECT("'data'!$D$" &amp; $A$1)</f>
        <v>7590</v>
      </c>
      <c r="R2" s="17">
        <f ca="1">SUM(L2:P2)</f>
        <v>7590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54.809999999999995</v>
      </c>
      <c r="H3" s="14"/>
      <c r="I3" s="14"/>
      <c r="J3" s="14"/>
      <c r="K3" s="13"/>
      <c r="L3" s="16">
        <f t="shared" ca="1" si="0"/>
        <v>54.809999999999995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-54.809999999999995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1363.4400000000005</v>
      </c>
      <c r="H4" s="14"/>
      <c r="I4" s="14"/>
      <c r="J4" s="14"/>
      <c r="K4" s="13"/>
      <c r="L4" s="16">
        <f t="shared" ca="1" si="0"/>
        <v>1363.4400000000005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792.12</v>
      </c>
      <c r="P4" s="13" cm="1">
        <f t="array" aca="1" ref="P4" ca="1">-INDIRECT("'data'!$L$" &amp; $A$1)*parameters!$B$14</f>
        <v>-12.88</v>
      </c>
      <c r="Q4" s="16" cm="1">
        <f t="array" aca="1" ref="Q4" ca="1">INDIRECT("'data'!$J$" &amp; $A$1)*parameters!$B$14</f>
        <v>2142.6800000000003</v>
      </c>
      <c r="R4" s="16">
        <f t="shared" ca="1" si="2"/>
        <v>2142.6800000000003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4328.6256530825503</v>
      </c>
      <c r="H5" s="14"/>
      <c r="I5" s="14"/>
      <c r="J5" s="14"/>
      <c r="K5" s="13"/>
      <c r="L5" s="16">
        <f t="shared" ca="1" si="0"/>
        <v>4328.6256530825503</v>
      </c>
      <c r="M5" s="16"/>
      <c r="N5" s="16"/>
      <c r="O5" s="11" cm="1">
        <f t="array" aca="1" ref="O5" ca="1">INDIRECT("'data'!$M$" &amp; $A$1)*parameters!$B$15</f>
        <v>78.400000000000006</v>
      </c>
      <c r="P5" s="13" cm="1">
        <f t="array" aca="1" ref="P5" ca="1">-INDIRECT("'data'!$N$" &amp; $A$1)*parameters!$B$15</f>
        <v>-1779.68</v>
      </c>
      <c r="Q5" s="16">
        <f ca="1">SUM(L5:P5)</f>
        <v>2627.3456530825497</v>
      </c>
      <c r="R5" s="16">
        <f t="shared" ca="1" si="2"/>
        <v>2627.3456530825497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5499.76</v>
      </c>
      <c r="I7" s="14"/>
      <c r="J7" s="14"/>
      <c r="K7" s="13"/>
      <c r="L7" s="16">
        <f t="shared" ca="1" si="0"/>
        <v>5499.76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5499.76</v>
      </c>
      <c r="R7" s="16">
        <f t="shared" ca="1" si="2"/>
        <v>5499.76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3949.3902443738903</v>
      </c>
      <c r="J8" s="14">
        <f ca="1">Q10/J18</f>
        <v>1206.3897556261097</v>
      </c>
      <c r="K8" s="13"/>
      <c r="L8" s="16">
        <f t="shared" ca="1" si="0"/>
        <v>5155.78</v>
      </c>
      <c r="M8" s="16"/>
      <c r="N8" s="16">
        <f t="shared" ca="1" si="3"/>
        <v>0</v>
      </c>
      <c r="O8" s="11" cm="1">
        <f t="array" aca="1" ref="O8" ca="1">INDIRECT("'data'!$R$" &amp; $A$1)*parameters!$B$15</f>
        <v>589.96</v>
      </c>
      <c r="P8" s="13" cm="1">
        <f t="array" aca="1" ref="P8" ca="1">-INDIRECT("'data'!$S$" &amp; $A$1)*parameters!$B$15</f>
        <v>-245.98</v>
      </c>
      <c r="Q8" s="16">
        <f ca="1">SUM(Q6:Q7)</f>
        <v>5499.76</v>
      </c>
      <c r="R8" s="16">
        <f t="shared" ca="1" si="2"/>
        <v>5499.76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4790.24</v>
      </c>
      <c r="L9" s="16">
        <f t="shared" ca="1" si="0"/>
        <v>4790.24</v>
      </c>
      <c r="M9" s="16"/>
      <c r="N9" s="16">
        <f t="shared" ca="1" si="3"/>
        <v>0</v>
      </c>
      <c r="O9" s="11" cm="1">
        <f t="array" aca="1" ref="O9" ca="1">INDIRECT("'data'!$U$" &amp; $A$1)*parameters!$B$15</f>
        <v>483.14</v>
      </c>
      <c r="P9" s="13" cm="1">
        <f t="array" aca="1" ref="P9" ca="1">-INDIRECT("'data'!$V$" &amp; $A$1)*parameters!$B$15</f>
        <v>-1579.76</v>
      </c>
      <c r="Q9" s="16" cm="1">
        <f t="array" aca="1" ref="Q9" ca="1">INDIRECT("'data'!$T$" &amp; $A$1)*parameters!$B$15</f>
        <v>3693.62</v>
      </c>
      <c r="R9" s="16">
        <f t="shared" ca="1" si="2"/>
        <v>3693.62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3868.3415931721192</v>
      </c>
      <c r="L10" s="16">
        <f t="shared" ca="1" si="0"/>
        <v>3868.3415931721192</v>
      </c>
      <c r="M10" s="16"/>
      <c r="N10" s="16">
        <f t="shared" ca="1" si="3"/>
        <v>0</v>
      </c>
      <c r="O10" s="11" cm="1">
        <f t="array" aca="1" ref="O10" ca="1">INDIRECT("'data'!$X$" &amp; $A$1)*parameters!$B$15</f>
        <v>383.18</v>
      </c>
      <c r="P10" s="13" cm="1">
        <f t="array" aca="1" ref="P10" ca="1">-INDIRECT("'data'!$Y$" &amp; $A$1)*parameters!$B$15</f>
        <v>-3123.2599999999998</v>
      </c>
      <c r="Q10" s="16" cm="1">
        <f t="array" aca="1" ref="Q10" ca="1">INDIRECT("'data'!$W$" &amp; $A$1)*parameters!$B$15</f>
        <v>1128.2615931721193</v>
      </c>
      <c r="R10" s="16">
        <f t="shared" ca="1" si="2"/>
        <v>1128.2615931721198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8445.0393701280227</v>
      </c>
      <c r="N11" s="19"/>
      <c r="O11" s="21" cm="1">
        <f t="array" aca="1" ref="O11" ca="1">INDIRECT("'data'!$Z$" &amp; $A$1)*parameters!$B$15</f>
        <v>1772.82</v>
      </c>
      <c r="P11" s="27" cm="1">
        <f t="array" aca="1" ref="P11" ca="1">-INDIRECT("'data'!$AA$" &amp; $A$1)*parameters!$B$15</f>
        <v>-2388.2599999999998</v>
      </c>
      <c r="Q11" s="16">
        <f ca="1">K9*parameters!$B$10+K10*parameters!$B$11</f>
        <v>7829.5993701280222</v>
      </c>
      <c r="R11" s="16">
        <f t="shared" ref="R11:R17" ca="1" si="4">SUM(L11:P11)</f>
        <v>7829.5993701280222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-13.584466136660922</v>
      </c>
      <c r="E12" s="9">
        <f ca="1">-(E17-Q5)</f>
        <v>-324.7281144259332</v>
      </c>
      <c r="F12" s="9">
        <f ca="1">-(F17-Q6)</f>
        <v>0</v>
      </c>
      <c r="G12" s="9">
        <f ca="1">-(G17-Q7)</f>
        <v>-247.11565308255012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-585.42823364514425</v>
      </c>
      <c r="M12" s="17"/>
      <c r="N12" s="17"/>
      <c r="O12" s="10"/>
      <c r="P12" s="12"/>
      <c r="Q12" s="9">
        <f t="shared" ref="Q12:Q17" ca="1" si="6">SUM(L12:P12)</f>
        <v>-585.42823364514425</v>
      </c>
      <c r="R12" s="17">
        <f t="shared" ca="1" si="4"/>
        <v>-585.42823364514425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-255.77024437389036</v>
      </c>
      <c r="J13" s="14">
        <f ca="1">-(J17-Q10)</f>
        <v>-78.128162453990399</v>
      </c>
      <c r="K13" s="13">
        <f ca="1">-(K17-Q11)</f>
        <v>-828.98222304409683</v>
      </c>
      <c r="L13" s="14">
        <f t="shared" ca="1" si="5"/>
        <v>-1162.8806298719776</v>
      </c>
      <c r="M13" s="16">
        <f ca="1">-E15</f>
        <v>-1789.1931376365053</v>
      </c>
      <c r="N13" s="16"/>
      <c r="O13" s="11"/>
      <c r="P13" s="13"/>
      <c r="Q13" s="14">
        <f t="shared" ca="1" si="6"/>
        <v>-2952.0737675084829</v>
      </c>
      <c r="R13" s="16">
        <f t="shared" ca="1" si="4"/>
        <v>-2952.0737675084829</v>
      </c>
    </row>
    <row r="14" spans="1:19">
      <c r="A14" s="18" t="s">
        <v>78</v>
      </c>
      <c r="B14" s="11"/>
      <c r="C14" s="14"/>
      <c r="D14" s="14"/>
      <c r="E14" s="14">
        <f ca="1">-(I13+J13)-K13</f>
        <v>1162.8806298719776</v>
      </c>
      <c r="F14" s="14"/>
      <c r="G14" s="14"/>
      <c r="H14" s="14"/>
      <c r="I14" s="14"/>
      <c r="J14" s="14"/>
      <c r="K14" s="13"/>
      <c r="L14" s="14">
        <f t="shared" ca="1" si="5"/>
        <v>1162.8806298719776</v>
      </c>
      <c r="M14" s="16"/>
      <c r="N14" s="16"/>
      <c r="O14" s="11"/>
      <c r="P14" s="13"/>
      <c r="Q14" s="14">
        <f t="shared" ca="1" si="6"/>
        <v>1162.8806298719776</v>
      </c>
      <c r="R14" s="16">
        <f t="shared" ca="1" si="4"/>
        <v>1162.8806298719776</v>
      </c>
    </row>
    <row r="15" spans="1:19">
      <c r="A15" s="18" t="s">
        <v>79</v>
      </c>
      <c r="B15" s="11"/>
      <c r="C15" s="14"/>
      <c r="D15" s="14"/>
      <c r="E15" s="14">
        <f ca="1">E17-E14</f>
        <v>1789.1931376365053</v>
      </c>
      <c r="F15" s="14"/>
      <c r="G15" s="14"/>
      <c r="H15" s="14"/>
      <c r="I15" s="14"/>
      <c r="J15" s="14"/>
      <c r="K15" s="13"/>
      <c r="L15" s="14">
        <f t="shared" ca="1" si="5"/>
        <v>1789.1931376365053</v>
      </c>
      <c r="M15" s="16"/>
      <c r="N15" s="16"/>
      <c r="O15" s="11"/>
      <c r="P15" s="13"/>
      <c r="Q15" s="14">
        <f t="shared" ca="1" si="6"/>
        <v>1789.1931376365053</v>
      </c>
      <c r="R15" s="16">
        <f t="shared" ca="1" si="4"/>
        <v>1789.1931376365053</v>
      </c>
    </row>
    <row r="16" spans="1:19">
      <c r="A16" s="30" t="s">
        <v>89</v>
      </c>
      <c r="B16" s="21">
        <f ca="1">Q2</f>
        <v>7590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7590</v>
      </c>
      <c r="M16" s="19"/>
      <c r="N16" s="19"/>
      <c r="O16" s="21"/>
      <c r="P16" s="27"/>
      <c r="Q16" s="22">
        <f t="shared" ca="1" si="6"/>
        <v>7590</v>
      </c>
      <c r="R16" s="19">
        <f t="shared" ca="1" si="4"/>
        <v>7590</v>
      </c>
    </row>
    <row r="17" spans="1:18">
      <c r="A17" s="29" t="s">
        <v>88</v>
      </c>
      <c r="B17" s="9">
        <f ca="1">B16</f>
        <v>7590</v>
      </c>
      <c r="C17" s="9">
        <f ca="1">SUM(C$2:C$11)</f>
        <v>0</v>
      </c>
      <c r="D17" s="9">
        <f ca="1">SUM(D$2:D$11)</f>
        <v>2156.2644661366612</v>
      </c>
      <c r="E17" s="9">
        <f ca="1">$Q$5/parameters!$B$4</f>
        <v>2952.0737675084829</v>
      </c>
      <c r="F17" s="9">
        <f t="shared" ref="F17:K17" ca="1" si="7">SUM(F$2:F$11)</f>
        <v>0</v>
      </c>
      <c r="G17" s="9">
        <f t="shared" ca="1" si="7"/>
        <v>5746.8756530825503</v>
      </c>
      <c r="H17" s="9">
        <f t="shared" ca="1" si="7"/>
        <v>5499.76</v>
      </c>
      <c r="I17" s="9">
        <f t="shared" ca="1" si="7"/>
        <v>3949.3902443738903</v>
      </c>
      <c r="J17" s="9">
        <f t="shared" ca="1" si="7"/>
        <v>1206.3897556261097</v>
      </c>
      <c r="K17" s="9">
        <f t="shared" ca="1" si="7"/>
        <v>8658.581593172119</v>
      </c>
      <c r="L17" s="17">
        <f t="shared" ca="1" si="5"/>
        <v>37759.335479899819</v>
      </c>
      <c r="M17" s="17"/>
      <c r="N17" s="17"/>
      <c r="O17" s="9"/>
      <c r="P17" s="14"/>
      <c r="Q17" s="11">
        <f t="shared" ca="1" si="6"/>
        <v>37759.335479899819</v>
      </c>
      <c r="R17" s="17">
        <f t="shared" ca="1" si="4"/>
        <v>37759.335479899819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0.93523804219189322</v>
      </c>
      <c r="J18" s="39">
        <f ca="1">I18</f>
        <v>0.93523804219189322</v>
      </c>
      <c r="K18" s="40">
        <f ca="1">1-(-K13)/K17</f>
        <v>0.90425888881178806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155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155</v>
      </c>
      <c r="R2" s="17">
        <f ca="1">SUM(L2:P2)</f>
        <v>155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191.83500000000001</v>
      </c>
      <c r="H3" s="14"/>
      <c r="I3" s="14"/>
      <c r="J3" s="14"/>
      <c r="K3" s="13"/>
      <c r="L3" s="16">
        <f t="shared" ca="1" si="0"/>
        <v>191.83500000000001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-192.78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3536.6707471264367</v>
      </c>
      <c r="H5" s="14"/>
      <c r="I5" s="14"/>
      <c r="J5" s="14"/>
      <c r="K5" s="13"/>
      <c r="L5" s="16">
        <f t="shared" ca="1" si="0"/>
        <v>3536.6707471264367</v>
      </c>
      <c r="M5" s="16"/>
      <c r="N5" s="48">
        <f ca="1">$E$14*parameters!$B$4-$P$5-$L$5-$O$5</f>
        <v>41.737891490917377</v>
      </c>
      <c r="O5" s="11" cm="1">
        <f t="array" aca="1" ref="O5" ca="1">INDIRECT("'data'!$M$" &amp; $A$1)*parameters!$B$15</f>
        <v>471.38</v>
      </c>
      <c r="P5" s="13" cm="1">
        <f t="array" aca="1" ref="P5" ca="1">-INDIRECT("'data'!$N$" &amp; $A$1)*parameters!$B$15</f>
        <v>-1666.98</v>
      </c>
      <c r="Q5" s="16">
        <f ca="1">SUM(L5:P5)</f>
        <v>2382.8086386173541</v>
      </c>
      <c r="R5" s="16">
        <f t="shared" ca="1" si="2"/>
        <v>2382.8086386173541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3568.18</v>
      </c>
      <c r="I7" s="14"/>
      <c r="J7" s="14"/>
      <c r="K7" s="13"/>
      <c r="L7" s="16">
        <f t="shared" ca="1" si="0"/>
        <v>3568.18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3568.18</v>
      </c>
      <c r="R7" s="16">
        <f t="shared" ca="1" si="2"/>
        <v>3568.18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4177.905514598765</v>
      </c>
      <c r="J8" s="14">
        <f ca="1">Q10/J18</f>
        <v>3190.7144854012349</v>
      </c>
      <c r="K8" s="13"/>
      <c r="L8" s="16">
        <f t="shared" ca="1" si="0"/>
        <v>7368.62</v>
      </c>
      <c r="M8" s="16"/>
      <c r="N8" s="16">
        <f t="shared" ca="1" si="3"/>
        <v>0</v>
      </c>
      <c r="O8" s="11" cm="1">
        <f t="array" aca="1" ref="O8" ca="1">INDIRECT("'data'!$R$" &amp; $A$1)*parameters!$B$15</f>
        <v>110.74</v>
      </c>
      <c r="P8" s="13" cm="1">
        <f t="array" aca="1" ref="P8" ca="1">-INDIRECT("'data'!$S$" &amp; $A$1)*parameters!$B$15</f>
        <v>-3911.18</v>
      </c>
      <c r="Q8" s="16">
        <f ca="1">SUM(Q6:Q7)</f>
        <v>3568.18</v>
      </c>
      <c r="R8" s="16">
        <f t="shared" ca="1" si="2"/>
        <v>3568.18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4939.2</v>
      </c>
      <c r="L9" s="16">
        <f t="shared" ca="1" si="0"/>
        <v>4939.2</v>
      </c>
      <c r="M9" s="16"/>
      <c r="N9" s="16">
        <f t="shared" ca="1" si="3"/>
        <v>0</v>
      </c>
      <c r="O9" s="11" cm="1">
        <f t="array" aca="1" ref="O9" ca="1">INDIRECT("'data'!$U$" &amp; $A$1)*parameters!$B$15</f>
        <v>815.36</v>
      </c>
      <c r="P9" s="13" cm="1">
        <f t="array" aca="1" ref="P9" ca="1">-INDIRECT("'data'!$V$" &amp; $A$1)*parameters!$B$15</f>
        <v>-2066.8200000000002</v>
      </c>
      <c r="Q9" s="16" cm="1">
        <f t="array" aca="1" ref="Q9" ca="1">INDIRECT("'data'!$T$" &amp; $A$1)*parameters!$B$15</f>
        <v>3687.74</v>
      </c>
      <c r="R9" s="16">
        <f t="shared" ca="1" si="2"/>
        <v>3687.7399999999993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10831.789445234708</v>
      </c>
      <c r="L10" s="16">
        <f t="shared" ca="1" si="0"/>
        <v>10831.789445234708</v>
      </c>
      <c r="M10" s="16"/>
      <c r="N10" s="16">
        <f t="shared" ca="1" si="3"/>
        <v>0</v>
      </c>
      <c r="O10" s="11" cm="1">
        <f t="array" aca="1" ref="O10" ca="1">INDIRECT("'data'!$X$" &amp; $A$1)*parameters!$B$15</f>
        <v>244.01999999999998</v>
      </c>
      <c r="P10" s="13" cm="1">
        <f t="array" aca="1" ref="P10" ca="1">-INDIRECT("'data'!$Y$" &amp; $A$1)*parameters!$B$15</f>
        <v>-8259.44</v>
      </c>
      <c r="Q10" s="16" cm="1">
        <f t="array" aca="1" ref="Q10" ca="1">INDIRECT("'data'!$W$" &amp; $A$1)*parameters!$B$15</f>
        <v>2816.3694452347081</v>
      </c>
      <c r="R10" s="16">
        <f t="shared" ca="1" si="2"/>
        <v>2816.3694452347081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13051.686922901848</v>
      </c>
      <c r="N11" s="19"/>
      <c r="O11" s="21" cm="1">
        <f t="array" aca="1" ref="O11" ca="1">INDIRECT("'data'!$Z$" &amp; $A$1)*parameters!$B$15</f>
        <v>4655.9799999999996</v>
      </c>
      <c r="P11" s="27" cm="1">
        <f t="array" aca="1" ref="P11" ca="1">-INDIRECT("'data'!$AA$" &amp; $A$1)*parameters!$B$15</f>
        <v>-3749.48</v>
      </c>
      <c r="Q11" s="16">
        <f ca="1">K9*parameters!$B$10+K10*parameters!$B$11</f>
        <v>13958.186922901848</v>
      </c>
      <c r="R11" s="16">
        <f t="shared" ref="R11:R17" ca="1" si="4">SUM(L11:P11)</f>
        <v>13958.186922901848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-294.50443848079658</v>
      </c>
      <c r="F12" s="9">
        <f ca="1">-(F17-Q6)</f>
        <v>0</v>
      </c>
      <c r="G12" s="9">
        <f ca="1">-(G17-Q7)</f>
        <v>-160.32574712643691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-454.83018560723349</v>
      </c>
      <c r="M12" s="17"/>
      <c r="N12" s="17"/>
      <c r="O12" s="10"/>
      <c r="P12" s="12"/>
      <c r="Q12" s="9">
        <f t="shared" ref="Q12:Q17" ca="1" si="6">SUM(L12:P12)</f>
        <v>-454.83018560723349</v>
      </c>
      <c r="R12" s="17">
        <f t="shared" ca="1" si="4"/>
        <v>-454.83018560723349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-490.16551459876518</v>
      </c>
      <c r="J13" s="14">
        <f ca="1">-(J17-Q10)</f>
        <v>-374.34504016652681</v>
      </c>
      <c r="K13" s="13">
        <f ca="1">-(K17-Q11)</f>
        <v>-1812.8025223328586</v>
      </c>
      <c r="L13" s="14">
        <f t="shared" ca="1" si="5"/>
        <v>-2677.3130770981506</v>
      </c>
      <c r="M13" s="16">
        <f ca="1">-E15</f>
        <v>0</v>
      </c>
      <c r="N13" s="16"/>
      <c r="O13" s="11"/>
      <c r="P13" s="13"/>
      <c r="Q13" s="14">
        <f t="shared" ca="1" si="6"/>
        <v>-2677.3130770981506</v>
      </c>
      <c r="R13" s="16">
        <f t="shared" ca="1" si="4"/>
        <v>-2677.3130770981506</v>
      </c>
    </row>
    <row r="14" spans="1:20">
      <c r="A14" s="18" t="s">
        <v>78</v>
      </c>
      <c r="B14" s="11"/>
      <c r="C14" s="14"/>
      <c r="D14" s="14"/>
      <c r="E14" s="14">
        <f ca="1">-(I13+J13)-K13</f>
        <v>2677.3130770981506</v>
      </c>
      <c r="F14" s="14"/>
      <c r="G14" s="14"/>
      <c r="H14" s="14"/>
      <c r="I14" s="14"/>
      <c r="J14" s="14"/>
      <c r="K14" s="13"/>
      <c r="L14" s="14">
        <f t="shared" ca="1" si="5"/>
        <v>2677.3130770981506</v>
      </c>
      <c r="M14" s="16"/>
      <c r="N14" s="16"/>
      <c r="O14" s="11"/>
      <c r="P14" s="13"/>
      <c r="Q14" s="14">
        <f t="shared" ca="1" si="6"/>
        <v>2677.3130770981506</v>
      </c>
      <c r="R14" s="16">
        <f t="shared" ca="1" si="4"/>
        <v>2677.3130770981506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155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155</v>
      </c>
      <c r="M16" s="19"/>
      <c r="N16" s="19"/>
      <c r="O16" s="21"/>
      <c r="P16" s="27"/>
      <c r="Q16" s="22">
        <f t="shared" ca="1" si="6"/>
        <v>155</v>
      </c>
      <c r="R16" s="19">
        <f t="shared" ca="1" si="4"/>
        <v>155</v>
      </c>
    </row>
    <row r="17" spans="1:18">
      <c r="A17" s="29" t="s">
        <v>88</v>
      </c>
      <c r="B17" s="9">
        <f ca="1">B16</f>
        <v>155</v>
      </c>
      <c r="C17" s="9">
        <f ca="1">SUM(C$2:C$11)</f>
        <v>0</v>
      </c>
      <c r="D17" s="9">
        <f ca="1">SUM(D$2:D$11)</f>
        <v>0</v>
      </c>
      <c r="E17" s="9">
        <f ca="1">$Q$5/parameters!$B$4</f>
        <v>2677.3130770981506</v>
      </c>
      <c r="F17" s="9">
        <f t="shared" ref="F17:K17" ca="1" si="7">SUM(F$2:F$11)</f>
        <v>0</v>
      </c>
      <c r="G17" s="9">
        <f t="shared" ca="1" si="7"/>
        <v>3728.5057471264367</v>
      </c>
      <c r="H17" s="9">
        <f t="shared" ca="1" si="7"/>
        <v>3568.18</v>
      </c>
      <c r="I17" s="9">
        <f t="shared" ca="1" si="7"/>
        <v>4177.905514598765</v>
      </c>
      <c r="J17" s="9">
        <f t="shared" ca="1" si="7"/>
        <v>3190.7144854012349</v>
      </c>
      <c r="K17" s="9">
        <f t="shared" ca="1" si="7"/>
        <v>15770.989445234707</v>
      </c>
      <c r="L17" s="17">
        <f t="shared" ca="1" si="5"/>
        <v>33268.608269459291</v>
      </c>
      <c r="M17" s="17"/>
      <c r="N17" s="17"/>
      <c r="O17" s="9"/>
      <c r="P17" s="14"/>
      <c r="Q17" s="11">
        <f t="shared" ca="1" si="6"/>
        <v>33268.608269459291</v>
      </c>
      <c r="R17" s="17">
        <f t="shared" ca="1" si="4"/>
        <v>33268.608269459291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0.88267673529571455</v>
      </c>
      <c r="J18" s="39">
        <f ca="1">I18</f>
        <v>0.88267673529571455</v>
      </c>
      <c r="K18" s="40">
        <f ca="1">1-(-K13)/K17</f>
        <v>0.8850546106426691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2667.5304417832344</v>
      </c>
      <c r="D2" s="9">
        <f ca="1">Q4/parameters!$B$3</f>
        <v>97.212438361678579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2764.7428801449132</v>
      </c>
      <c r="M2" s="17"/>
      <c r="N2" s="17">
        <f ca="1">Q2-(L2+O2+P2)</f>
        <v>0</v>
      </c>
      <c r="O2" s="11" cm="1">
        <f t="array" aca="1" ref="O2" ca="1">INDIRECT("'data'!$F$" &amp; $A$1)</f>
        <v>14855.75</v>
      </c>
      <c r="P2" s="13">
        <f ca="1">IF(-(L2-Q2+O2)&lt;0, -(L2-Q2+O2), 0)</f>
        <v>-1920.4928801449132</v>
      </c>
      <c r="Q2" s="17" cm="1">
        <f t="array" aca="1" ref="Q2" ca="1">INDIRECT("'data'!$D$" &amp; $A$1)</f>
        <v>15700</v>
      </c>
      <c r="R2" s="17">
        <f ca="1">SUM(L2:P2)</f>
        <v>15700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2409.6716417910452</v>
      </c>
      <c r="G3" s="14">
        <f ca="1">Q3-O3-P3-F3</f>
        <v>209.86835820895476</v>
      </c>
      <c r="H3" s="14"/>
      <c r="I3" s="14"/>
      <c r="J3" s="14"/>
      <c r="K3" s="13"/>
      <c r="L3" s="16">
        <f t="shared" ca="1" si="0"/>
        <v>2619.54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83.16</v>
      </c>
      <c r="P3" s="13" cm="1">
        <f t="array" aca="1" ref="P3" ca="1">-INDIRECT("'data'!$I$" &amp; $A$1)*parameters!$B$13</f>
        <v>-51.974999999999994</v>
      </c>
      <c r="Q3" s="16" cm="1">
        <f t="array" aca="1" ref="Q3" ca="1">INDIRECT("'data'!$G$" &amp; $A$1)*parameters!$B$13</f>
        <v>2650.7249999999999</v>
      </c>
      <c r="R3" s="16">
        <f t="shared" ref="R3:R10" ca="1" si="2">SUM(L3:P3)</f>
        <v>2650.7249999999999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125.12</v>
      </c>
      <c r="H4" s="14"/>
      <c r="I4" s="14"/>
      <c r="J4" s="14"/>
      <c r="K4" s="13"/>
      <c r="L4" s="16">
        <f t="shared" ca="1" si="0"/>
        <v>125.12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-30.360000000000003</v>
      </c>
      <c r="Q4" s="16" cm="1">
        <f t="array" aca="1" ref="Q4" ca="1">INDIRECT("'data'!$J$" &amp; $A$1)*parameters!$B$14</f>
        <v>96.600000000000009</v>
      </c>
      <c r="R4" s="16">
        <f t="shared" ca="1" si="2"/>
        <v>96.600000000000009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602.4179104477613</v>
      </c>
      <c r="G5" s="14">
        <f ca="1">Q7/parameters!$B$7-(G3+G4)</f>
        <v>1142.6918925747441</v>
      </c>
      <c r="H5" s="14"/>
      <c r="I5" s="14"/>
      <c r="J5" s="14"/>
      <c r="K5" s="13"/>
      <c r="L5" s="16">
        <f t="shared" ca="1" si="0"/>
        <v>1745.1098030225053</v>
      </c>
      <c r="M5" s="16"/>
      <c r="N5" s="16"/>
      <c r="O5" s="11" cm="1">
        <f t="array" aca="1" ref="O5" ca="1">INDIRECT("'data'!$M$" &amp; $A$1)*parameters!$B$15</f>
        <v>1494.5</v>
      </c>
      <c r="P5" s="13" cm="1">
        <f t="array" aca="1" ref="P5" ca="1">-INDIRECT("'data'!$N$" &amp; $A$1)*parameters!$B$15</f>
        <v>-231.28</v>
      </c>
      <c r="Q5" s="16">
        <f ca="1">SUM(L5:P5)</f>
        <v>3008.3298030225051</v>
      </c>
      <c r="R5" s="16">
        <f t="shared" ca="1" si="2"/>
        <v>3008.3298030225051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2825.34</v>
      </c>
      <c r="I6" s="14"/>
      <c r="J6" s="14"/>
      <c r="K6" s="13"/>
      <c r="L6" s="16">
        <f t="shared" ca="1" si="0"/>
        <v>2825.34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2825.34</v>
      </c>
      <c r="R6" s="16">
        <f t="shared" ca="1" si="2"/>
        <v>2825.34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1414.1399999999999</v>
      </c>
      <c r="I7" s="14"/>
      <c r="J7" s="14"/>
      <c r="K7" s="13"/>
      <c r="L7" s="16">
        <f t="shared" ca="1" si="0"/>
        <v>1414.1399999999999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1414.1399999999999</v>
      </c>
      <c r="R7" s="16">
        <f t="shared" ca="1" si="2"/>
        <v>1414.1399999999999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881.15427758352257</v>
      </c>
      <c r="J8" s="14">
        <f ca="1">Q10/J18</f>
        <v>3047.6657224164769</v>
      </c>
      <c r="K8" s="13"/>
      <c r="L8" s="16">
        <f t="shared" ca="1" si="0"/>
        <v>3928.8199999999997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439.03999999999996</v>
      </c>
      <c r="P8" s="13" cm="1">
        <f t="array" aca="1" ref="P8" ca="1">-INDIRECT("'data'!$S$" &amp; $A$1)*parameters!$B$15</f>
        <v>-128.38</v>
      </c>
      <c r="Q8" s="16">
        <f ca="1">SUM(Q6:Q7)</f>
        <v>4239.4799999999996</v>
      </c>
      <c r="R8" s="16">
        <f t="shared" ca="1" si="2"/>
        <v>4239.4799999999996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973.14</v>
      </c>
      <c r="L9" s="16">
        <f t="shared" ca="1" si="0"/>
        <v>973.14</v>
      </c>
      <c r="M9" s="16"/>
      <c r="N9" s="16">
        <f t="shared" ca="1" si="3"/>
        <v>0</v>
      </c>
      <c r="O9" s="11" cm="1">
        <f t="array" aca="1" ref="O9" ca="1">INDIRECT("'data'!$U$" &amp; $A$1)*parameters!$B$15</f>
        <v>557.62</v>
      </c>
      <c r="P9" s="13" cm="1">
        <f t="array" aca="1" ref="P9" ca="1">-INDIRECT("'data'!$V$" &amp; $A$1)*parameters!$B$15</f>
        <v>-795.76</v>
      </c>
      <c r="Q9" s="16" cm="1">
        <f t="array" aca="1" ref="Q9" ca="1">INDIRECT("'data'!$T$" &amp; $A$1)*parameters!$B$15</f>
        <v>735</v>
      </c>
      <c r="R9" s="16">
        <f t="shared" ca="1" si="2"/>
        <v>735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2317.7390327169278</v>
      </c>
      <c r="L10" s="16">
        <f t="shared" ca="1" si="0"/>
        <v>2317.7390327169278</v>
      </c>
      <c r="M10" s="16"/>
      <c r="N10" s="16">
        <f t="shared" ca="1" si="3"/>
        <v>0</v>
      </c>
      <c r="O10" s="11" cm="1">
        <f t="array" aca="1" ref="O10" ca="1">INDIRECT("'data'!$X$" &amp; $A$1)*parameters!$B$15</f>
        <v>2248.12</v>
      </c>
      <c r="P10" s="13" cm="1">
        <f t="array" aca="1" ref="P10" ca="1">-INDIRECT("'data'!$Y$" &amp; $A$1)*parameters!$B$15</f>
        <v>-2023.7</v>
      </c>
      <c r="Q10" s="16" cm="1">
        <f t="array" aca="1" ref="Q10" ca="1">INDIRECT("'data'!$W$" &amp; $A$1)*parameters!$B$15</f>
        <v>2542.1590327169274</v>
      </c>
      <c r="R10" s="16">
        <f t="shared" ca="1" si="2"/>
        <v>2542.1590327169279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3267.6671681365578</v>
      </c>
      <c r="N11" s="19"/>
      <c r="O11" s="21" cm="1">
        <f t="array" aca="1" ref="O11" ca="1">INDIRECT("'data'!$Z$" &amp; $A$1)*parameters!$B$15</f>
        <v>2691.08</v>
      </c>
      <c r="P11" s="27" cm="1">
        <f t="array" aca="1" ref="P11" ca="1">-INDIRECT("'data'!$AA$" &amp; $A$1)*parameters!$B$15</f>
        <v>-3050.74</v>
      </c>
      <c r="Q11" s="16">
        <f ca="1">K9*parameters!$B$10+K10*parameters!$B$11</f>
        <v>2908.007168136558</v>
      </c>
      <c r="R11" s="16">
        <f t="shared" ref="R11:R17" ca="1" si="4">SUM(L11:P11)</f>
        <v>2908.007168136558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-16.805441783234528</v>
      </c>
      <c r="D12" s="9">
        <f ca="1">-(D17-Q4)</f>
        <v>-0.61243836167857069</v>
      </c>
      <c r="E12" s="9">
        <f ca="1">-(E17-Q5)</f>
        <v>-371.81604307019734</v>
      </c>
      <c r="F12" s="9">
        <f ca="1">-(F17-Q6)</f>
        <v>-186.74955223880625</v>
      </c>
      <c r="G12" s="9">
        <f ca="1">-(G17-Q7)</f>
        <v>-63.540250783698866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-639.52372623761562</v>
      </c>
      <c r="M12" s="17"/>
      <c r="N12" s="17"/>
      <c r="O12" s="10"/>
      <c r="P12" s="12"/>
      <c r="Q12" s="9">
        <f t="shared" ref="Q12:Q17" ca="1" si="6">SUM(L12:P12)</f>
        <v>-639.52372623761562</v>
      </c>
      <c r="R12" s="17">
        <f t="shared" ca="1" si="4"/>
        <v>-639.52372623761562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-146.15427758352257</v>
      </c>
      <c r="J13" s="14">
        <f ca="1">-(J17-Q10)</f>
        <v>-505.5066896995495</v>
      </c>
      <c r="K13" s="13">
        <f ca="1">-(K17-Q11)</f>
        <v>-382.87186458036967</v>
      </c>
      <c r="L13" s="14">
        <f t="shared" ca="1" si="5"/>
        <v>-1034.5328318634417</v>
      </c>
      <c r="M13" s="16">
        <f ca="1">-E15</f>
        <v>-2345.6130142292604</v>
      </c>
      <c r="N13" s="16"/>
      <c r="O13" s="11"/>
      <c r="P13" s="13"/>
      <c r="Q13" s="14">
        <f t="shared" ca="1" si="6"/>
        <v>-3380.1458460927024</v>
      </c>
      <c r="R13" s="16">
        <f t="shared" ca="1" si="4"/>
        <v>-3380.1458460927024</v>
      </c>
    </row>
    <row r="14" spans="1:20">
      <c r="A14" s="18" t="s">
        <v>78</v>
      </c>
      <c r="B14" s="11"/>
      <c r="C14" s="14"/>
      <c r="D14" s="14"/>
      <c r="E14" s="14">
        <f ca="1">-(I13+J13)-K13</f>
        <v>1034.5328318634417</v>
      </c>
      <c r="F14" s="14"/>
      <c r="G14" s="14"/>
      <c r="H14" s="14"/>
      <c r="I14" s="14"/>
      <c r="J14" s="14"/>
      <c r="K14" s="13"/>
      <c r="L14" s="14">
        <f t="shared" ca="1" si="5"/>
        <v>1034.5328318634417</v>
      </c>
      <c r="M14" s="16"/>
      <c r="N14" s="16"/>
      <c r="O14" s="11"/>
      <c r="P14" s="13"/>
      <c r="Q14" s="14">
        <f t="shared" ca="1" si="6"/>
        <v>1034.5328318634417</v>
      </c>
      <c r="R14" s="16">
        <f t="shared" ca="1" si="4"/>
        <v>1034.5328318634417</v>
      </c>
    </row>
    <row r="15" spans="1:20">
      <c r="A15" s="18" t="s">
        <v>79</v>
      </c>
      <c r="B15" s="11"/>
      <c r="C15" s="14"/>
      <c r="D15" s="14"/>
      <c r="E15" s="14">
        <f ca="1">E17-E14</f>
        <v>2345.6130142292604</v>
      </c>
      <c r="F15" s="14"/>
      <c r="G15" s="14"/>
      <c r="H15" s="14"/>
      <c r="I15" s="14"/>
      <c r="J15" s="14"/>
      <c r="K15" s="13"/>
      <c r="L15" s="14">
        <f t="shared" ca="1" si="5"/>
        <v>2345.6130142292604</v>
      </c>
      <c r="M15" s="16"/>
      <c r="N15" s="16"/>
      <c r="O15" s="11"/>
      <c r="P15" s="13"/>
      <c r="Q15" s="14">
        <f t="shared" ca="1" si="6"/>
        <v>2345.6130142292604</v>
      </c>
      <c r="R15" s="16">
        <f t="shared" ca="1" si="4"/>
        <v>2345.6130142292604</v>
      </c>
    </row>
    <row r="16" spans="1:20">
      <c r="A16" s="30" t="s">
        <v>89</v>
      </c>
      <c r="B16" s="21">
        <f ca="1">Q2</f>
        <v>15700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15700</v>
      </c>
      <c r="M16" s="19"/>
      <c r="N16" s="19"/>
      <c r="O16" s="21"/>
      <c r="P16" s="27"/>
      <c r="Q16" s="22">
        <f t="shared" ca="1" si="6"/>
        <v>15700</v>
      </c>
      <c r="R16" s="19">
        <f t="shared" ca="1" si="4"/>
        <v>15700</v>
      </c>
    </row>
    <row r="17" spans="1:18">
      <c r="A17" s="29" t="s">
        <v>88</v>
      </c>
      <c r="B17" s="9">
        <f ca="1">B16</f>
        <v>15700</v>
      </c>
      <c r="C17" s="9">
        <f ca="1">SUM(C$2:C$11)</f>
        <v>2667.5304417832344</v>
      </c>
      <c r="D17" s="9">
        <f ca="1">SUM(D$2:D$11)</f>
        <v>97.212438361678579</v>
      </c>
      <c r="E17" s="9">
        <f ca="1">$Q$5/parameters!$B$4</f>
        <v>3380.1458460927024</v>
      </c>
      <c r="F17" s="9">
        <f t="shared" ref="F17:K17" ca="1" si="7">SUM(F$2:F$11)</f>
        <v>3012.0895522388064</v>
      </c>
      <c r="G17" s="9">
        <f t="shared" ca="1" si="7"/>
        <v>1477.6802507836987</v>
      </c>
      <c r="H17" s="9">
        <f t="shared" ca="1" si="7"/>
        <v>4239.4799999999996</v>
      </c>
      <c r="I17" s="9">
        <f t="shared" ca="1" si="7"/>
        <v>881.15427758352257</v>
      </c>
      <c r="J17" s="9">
        <f t="shared" ca="1" si="7"/>
        <v>3047.6657224164769</v>
      </c>
      <c r="K17" s="9">
        <f t="shared" ca="1" si="7"/>
        <v>3290.8790327169277</v>
      </c>
      <c r="L17" s="17">
        <f t="shared" ca="1" si="5"/>
        <v>37793.837561977045</v>
      </c>
      <c r="M17" s="17"/>
      <c r="N17" s="17"/>
      <c r="O17" s="9"/>
      <c r="P17" s="14"/>
      <c r="Q17" s="11">
        <f t="shared" ca="1" si="6"/>
        <v>37793.837561977045</v>
      </c>
      <c r="R17" s="17">
        <f t="shared" ca="1" si="4"/>
        <v>37793.837561977045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0.83413315772087493</v>
      </c>
      <c r="J18" s="39">
        <f ca="1">I18</f>
        <v>0.83413315772087493</v>
      </c>
      <c r="K18" s="40">
        <f ca="1">1-(-K13)/K17</f>
        <v>0.88365665806188165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2024-08-12T07:50:49Z</dcterms:modified>
</cp:coreProperties>
</file>