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15D6E030-B03E-2B47-A166-1011FB85A198}" xr6:coauthVersionLast="47" xr6:coauthVersionMax="47" xr10:uidLastSave="{00000000-0000-0000-0000-000000000000}"/>
  <bookViews>
    <workbookView xWindow="0" yWindow="500" windowWidth="38400" windowHeight="21100" firstSheet="13" activeTab="3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1" l="1"/>
  <c r="J18" i="41" s="1"/>
  <c r="I18" i="35"/>
  <c r="J18" i="35" s="1"/>
  <c r="I18" i="15"/>
  <c r="J18" i="15"/>
  <c r="I18" i="20"/>
  <c r="J18" i="20"/>
  <c r="I18" i="19"/>
  <c r="J18" i="19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5" i="49" l="1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C4" i="49"/>
  <c r="D4" i="49"/>
  <c r="D3" i="49"/>
  <c r="C3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8" i="49"/>
  <c r="J9" i="49"/>
  <c r="J4" i="49"/>
  <c r="J5" i="49"/>
  <c r="J6" i="49"/>
  <c r="J7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6" i="24" a="1"/>
  <c r="Q6" i="34" a="1"/>
  <c r="Q6" i="11" a="1"/>
  <c r="Q6" i="21" a="1"/>
  <c r="Q6" i="17" a="1"/>
  <c r="Q6" i="30" a="1"/>
  <c r="Q6" i="23" a="1"/>
  <c r="Q6" i="33" a="1"/>
  <c r="Q6" i="42" a="1"/>
  <c r="Q6" i="31" a="1"/>
  <c r="Q6" i="16" a="1"/>
  <c r="Q6" i="15" a="1"/>
  <c r="Q6" i="38" a="1"/>
  <c r="Q6" i="37" a="1"/>
  <c r="Q6" i="14" a="1"/>
  <c r="Q6" i="35" a="1"/>
  <c r="Q6" i="36" a="1"/>
  <c r="Q6" i="18" a="1"/>
  <c r="Q6" i="29" a="1"/>
  <c r="Q6" i="32" a="1"/>
  <c r="Q6" i="40" a="1"/>
  <c r="Q6" i="43" a="1"/>
  <c r="Q6" i="26" a="1"/>
  <c r="Q6" i="22" a="1"/>
  <c r="Q6" i="28" a="1"/>
  <c r="Q6" i="41" a="1"/>
  <c r="Q6" i="39" a="1"/>
  <c r="Q6" i="19" a="1"/>
  <c r="Q6" i="27" a="1"/>
  <c r="Q6" i="42" l="1"/>
  <c r="Q6" i="33"/>
  <c r="Q6" i="14"/>
  <c r="Q6" i="34"/>
  <c r="Q6" i="41"/>
  <c r="Q6" i="18"/>
  <c r="F5" i="18" s="1"/>
  <c r="Q6" i="24"/>
  <c r="Q6" i="40"/>
  <c r="Q6" i="32"/>
  <c r="F5" i="32" s="1"/>
  <c r="Q6" i="23"/>
  <c r="Q6" i="43"/>
  <c r="Q6" i="16"/>
  <c r="Q6" i="31"/>
  <c r="Q6" i="22"/>
  <c r="Q6" i="19"/>
  <c r="F5" i="19" s="1"/>
  <c r="Q6" i="15"/>
  <c r="F5" i="15" s="1"/>
  <c r="Q6" i="39"/>
  <c r="F5" i="39" s="1"/>
  <c r="Q6" i="30"/>
  <c r="Q6" i="21"/>
  <c r="Q6" i="26"/>
  <c r="Q6" i="38"/>
  <c r="Q6" i="29"/>
  <c r="Q6" i="11"/>
  <c r="Q6" i="35"/>
  <c r="Q6" i="37"/>
  <c r="Q6" i="28"/>
  <c r="Q6" i="17"/>
  <c r="F5" i="17" s="1"/>
  <c r="Q6" i="36"/>
  <c r="F5" i="36" s="1"/>
  <c r="Q6" i="27"/>
  <c r="F5" i="27" s="1"/>
  <c r="Q6" i="20"/>
  <c r="F3" i="18" l="1"/>
  <c r="F3" i="39"/>
  <c r="F5" i="34"/>
  <c r="F3" i="34" s="1"/>
  <c r="F17" i="34" s="1"/>
  <c r="F12" i="34" s="1"/>
  <c r="F18" i="34" s="1"/>
  <c r="H6" i="34"/>
  <c r="F5" i="29"/>
  <c r="F3" i="29" s="1"/>
  <c r="F17" i="29" s="1"/>
  <c r="F12" i="29" s="1"/>
  <c r="F18" i="29" s="1"/>
  <c r="H6" i="29"/>
  <c r="O2" i="19" a="1"/>
  <c r="Q2" i="31" a="1"/>
  <c r="O9" i="19" a="1"/>
  <c r="O5" i="32" a="1"/>
  <c r="Q9" i="39" a="1"/>
  <c r="Q7" i="14" a="1"/>
  <c r="P10" i="22" a="1"/>
  <c r="Q9" i="24" a="1"/>
  <c r="P11" i="15" a="1"/>
  <c r="P8" i="18" a="1"/>
  <c r="P9" i="19" a="1"/>
  <c r="Q10" i="23" a="1"/>
  <c r="P4" i="37" a="1"/>
  <c r="Q9" i="35" a="1"/>
  <c r="P5" i="17" a="1"/>
  <c r="P11" i="31" a="1"/>
  <c r="O4" i="27" a="1"/>
  <c r="O11" i="35" a="1"/>
  <c r="Q7" i="24" a="1"/>
  <c r="O3" i="34" a="1"/>
  <c r="O11" i="31" a="1"/>
  <c r="O2" i="36" a="1"/>
  <c r="Q9" i="14" a="1"/>
  <c r="O3" i="31" a="1"/>
  <c r="O8" i="42" a="1"/>
  <c r="P4" i="22" a="1"/>
  <c r="Q10" i="43" a="1"/>
  <c r="O11" i="26" a="1"/>
  <c r="O2" i="22" a="1"/>
  <c r="Q9" i="30" a="1"/>
  <c r="O9" i="41" a="1"/>
  <c r="P11" i="29" a="1"/>
  <c r="O11" i="38" a="1"/>
  <c r="Q7" i="26" a="1"/>
  <c r="O3" i="22" a="1"/>
  <c r="Q9" i="19" a="1"/>
  <c r="O3" i="30" a="1"/>
  <c r="O8" i="34" a="1"/>
  <c r="Q4" i="33" a="1"/>
  <c r="O5" i="24" a="1"/>
  <c r="P11" i="14" a="1"/>
  <c r="P5" i="15" a="1"/>
  <c r="O8" i="16" a="1"/>
  <c r="P3" i="32" a="1"/>
  <c r="Q10" i="36" a="1"/>
  <c r="Q7" i="36" a="1"/>
  <c r="Q10" i="11" a="1"/>
  <c r="Q3" i="29" a="1"/>
  <c r="Q2" i="23" a="1"/>
  <c r="P8" i="31" a="1"/>
  <c r="O10" i="26" a="1"/>
  <c r="O11" i="43" a="1"/>
  <c r="P8" i="15" a="1"/>
  <c r="O5" i="39" a="1"/>
  <c r="O5" i="19" a="1"/>
  <c r="O5" i="14" a="1"/>
  <c r="O4" i="17" a="1"/>
  <c r="Q3" i="27" a="1"/>
  <c r="P5" i="24" a="1"/>
  <c r="Q3" i="39" a="1"/>
  <c r="O3" i="32" a="1"/>
  <c r="Q10" i="22" a="1"/>
  <c r="O4" i="21" a="1"/>
  <c r="Q9" i="18" a="1"/>
  <c r="O8" i="29" a="1"/>
  <c r="O10" i="42" a="1"/>
  <c r="P8" i="27" a="1"/>
  <c r="P10" i="30" a="1"/>
  <c r="O5" i="36" a="1"/>
  <c r="Q4" i="19" a="1"/>
  <c r="P5" i="37" a="1"/>
  <c r="P4" i="29" a="1"/>
  <c r="O2" i="26" a="1"/>
  <c r="Q2" i="17" a="1"/>
  <c r="Q3" i="33" a="1"/>
  <c r="P3" i="27" a="1"/>
  <c r="O3" i="11" a="1"/>
  <c r="P8" i="11" a="1"/>
  <c r="P5" i="14" a="1"/>
  <c r="Q7" i="21" a="1"/>
  <c r="Q4" i="35" a="1"/>
  <c r="Q7" i="40" a="1"/>
  <c r="Q4" i="15" a="1"/>
  <c r="P4" i="31" a="1"/>
  <c r="O2" i="30" a="1"/>
  <c r="P5" i="35" a="1"/>
  <c r="O9" i="36" a="1"/>
  <c r="O11" i="20" a="1"/>
  <c r="O11" i="32" a="1"/>
  <c r="O4" i="18" a="1"/>
  <c r="O2" i="37" a="1"/>
  <c r="Q7" i="38" a="1"/>
  <c r="O3" i="27" a="1"/>
  <c r="P8" i="21" a="1"/>
  <c r="P5" i="43" a="1"/>
  <c r="P3" i="14" a="1"/>
  <c r="P11" i="11" a="1"/>
  <c r="O5" i="34" a="1"/>
  <c r="Q4" i="38" a="1"/>
  <c r="Q10" i="21" a="1"/>
  <c r="O10" i="15" a="1"/>
  <c r="Q4" i="41" a="1"/>
  <c r="P9" i="18" a="1"/>
  <c r="O11" i="14" a="1"/>
  <c r="O11" i="42" a="1"/>
  <c r="O10" i="36" a="1"/>
  <c r="P10" i="24" a="1"/>
  <c r="O5" i="18" a="1"/>
  <c r="O5" i="29" a="1"/>
  <c r="P4" i="32" a="1"/>
  <c r="Q7" i="19" a="1"/>
  <c r="O11" i="41" a="1"/>
  <c r="P4" i="38" a="1"/>
  <c r="O9" i="33" a="1"/>
  <c r="O8" i="28" a="1"/>
  <c r="Q7" i="20" a="1"/>
  <c r="P10" i="36" a="1"/>
  <c r="O3" i="35" a="1"/>
  <c r="Q3" i="43" a="1"/>
  <c r="Q9" i="34" a="1"/>
  <c r="Q2" i="11" a="1"/>
  <c r="O10" i="21" a="1"/>
  <c r="Q10" i="20" a="1"/>
  <c r="O3" i="29" a="1"/>
  <c r="P11" i="38" a="1"/>
  <c r="O4" i="29" a="1"/>
  <c r="Q3" i="22" a="1"/>
  <c r="Q7" i="37" a="1"/>
  <c r="P8" i="32" a="1"/>
  <c r="O4" i="16" a="1"/>
  <c r="O10" i="34" a="1"/>
  <c r="O4" i="34" a="1"/>
  <c r="O4" i="24" a="1"/>
  <c r="O3" i="33" a="1"/>
  <c r="Q3" i="26" a="1"/>
  <c r="O5" i="28" a="1"/>
  <c r="O10" i="41" a="1"/>
  <c r="O10" i="32" a="1"/>
  <c r="P9" i="22" a="1"/>
  <c r="Q3" i="18" a="1"/>
  <c r="P3" i="17" a="1"/>
  <c r="P5" i="19" a="1"/>
  <c r="O8" i="17" a="1"/>
  <c r="O9" i="32" a="1"/>
  <c r="O11" i="40" a="1"/>
  <c r="O8" i="36" a="1"/>
  <c r="O2" i="29" a="1"/>
  <c r="Q7" i="28" a="1"/>
  <c r="P5" i="23" a="1"/>
  <c r="Q4" i="31" a="1"/>
  <c r="P8" i="30" a="1"/>
  <c r="P9" i="42" a="1"/>
  <c r="P4" i="18" a="1"/>
  <c r="Q2" i="42" a="1"/>
  <c r="Q9" i="15" a="1"/>
  <c r="O4" i="28" a="1"/>
  <c r="Q7" i="22" a="1"/>
  <c r="Q9" i="27" a="1"/>
  <c r="O10" i="40" a="1"/>
  <c r="Q2" i="28" a="1"/>
  <c r="Q3" i="21" a="1"/>
  <c r="Q2" i="14" a="1"/>
  <c r="O4" i="20" a="1"/>
  <c r="Q7" i="34" a="1"/>
  <c r="Q9" i="28" a="1"/>
  <c r="P5" i="41" a="1"/>
  <c r="P9" i="15" a="1"/>
  <c r="O9" i="31" a="1"/>
  <c r="O5" i="30" a="1"/>
  <c r="Q7" i="41" a="1"/>
  <c r="P11" i="18" a="1"/>
  <c r="P10" i="28" a="1"/>
  <c r="O10" i="43" a="1"/>
  <c r="O8" i="14" a="1"/>
  <c r="Q4" i="43" a="1"/>
  <c r="Q2" i="38" a="1"/>
  <c r="Q2" i="30" a="1"/>
  <c r="P9" i="16" a="1"/>
  <c r="Q3" i="32" a="1"/>
  <c r="O10" i="17" a="1"/>
  <c r="P5" i="18" a="1"/>
  <c r="Q10" i="32" a="1"/>
  <c r="Q3" i="16" a="1"/>
  <c r="P11" i="27" a="1"/>
  <c r="O8" i="27" a="1"/>
  <c r="P8" i="14" a="1"/>
  <c r="Q2" i="35" a="1"/>
  <c r="P10" i="39" a="1"/>
  <c r="P8" i="35" a="1"/>
  <c r="O2" i="28" a="1"/>
  <c r="O11" i="23" a="1"/>
  <c r="P4" i="36" a="1"/>
  <c r="P10" i="40" a="1"/>
  <c r="O4" i="15" a="1"/>
  <c r="Q3" i="42" a="1"/>
  <c r="Q10" i="26" a="1"/>
  <c r="P4" i="35" a="1"/>
  <c r="O11" i="28" a="1"/>
  <c r="P5" i="39" a="1"/>
  <c r="P5" i="30" a="1"/>
  <c r="Q2" i="18" a="1"/>
  <c r="P11" i="40" a="1"/>
  <c r="O10" i="39" a="1"/>
  <c r="Q3" i="11" a="1"/>
  <c r="P8" i="38" a="1"/>
  <c r="O9" i="21" a="1"/>
  <c r="P3" i="43" a="1"/>
  <c r="Q2" i="20" a="1"/>
  <c r="P4" i="39" a="1"/>
  <c r="O9" i="26" a="1"/>
  <c r="P3" i="24" a="1"/>
  <c r="O11" i="11" a="1"/>
  <c r="O5" i="35" a="1"/>
  <c r="Q10" i="34" a="1"/>
  <c r="P4" i="28" a="1"/>
  <c r="O4" i="33" a="1"/>
  <c r="P9" i="14" a="1"/>
  <c r="O5" i="23" a="1"/>
  <c r="O10" i="18" a="1"/>
  <c r="O8" i="22" a="1"/>
  <c r="Q4" i="24" a="1"/>
  <c r="O4" i="14" a="1"/>
  <c r="Q10" i="33" a="1"/>
  <c r="P4" i="14" a="1"/>
  <c r="Q2" i="22" a="1"/>
  <c r="O5" i="43" a="1"/>
  <c r="P10" i="42" a="1"/>
  <c r="Q4" i="29" a="1"/>
  <c r="P4" i="26" a="1"/>
  <c r="O4" i="26" a="1"/>
  <c r="O9" i="38" a="1"/>
  <c r="O10" i="11" a="1"/>
  <c r="Q4" i="21" a="1"/>
  <c r="P4" i="42" a="1"/>
  <c r="Q9" i="11" a="1"/>
  <c r="Q10" i="14" a="1"/>
  <c r="P4" i="43" a="1"/>
  <c r="Q7" i="39" a="1"/>
  <c r="O11" i="22" a="1"/>
  <c r="P11" i="41" a="1"/>
  <c r="Q9" i="41" a="1"/>
  <c r="Q7" i="18" a="1"/>
  <c r="P8" i="17" a="1"/>
  <c r="O3" i="39" a="1"/>
  <c r="Q3" i="41" a="1"/>
  <c r="O10" i="30" a="1"/>
  <c r="O10" i="16" a="1"/>
  <c r="P4" i="16" a="1"/>
  <c r="O2" i="14" a="1"/>
  <c r="P5" i="29" a="1"/>
  <c r="P3" i="36" a="1"/>
  <c r="O9" i="16" a="1"/>
  <c r="O9" i="17" a="1"/>
  <c r="O8" i="39" a="1"/>
  <c r="Q3" i="40" a="1"/>
  <c r="O10" i="27" a="1"/>
  <c r="Q9" i="23" a="1"/>
  <c r="Q9" i="36" a="1"/>
  <c r="O8" i="19" a="1"/>
  <c r="Q2" i="24" a="1"/>
  <c r="O2" i="20" a="1"/>
  <c r="Q2" i="19" a="1"/>
  <c r="P10" i="16" a="1"/>
  <c r="Q7" i="42" a="1"/>
  <c r="O11" i="36" a="1"/>
  <c r="Q3" i="24" a="1"/>
  <c r="P8" i="43" a="1"/>
  <c r="O11" i="33" a="1"/>
  <c r="P8" i="26" a="1"/>
  <c r="P4" i="30" a="1"/>
  <c r="O11" i="21" a="1"/>
  <c r="Q10" i="28" a="1"/>
  <c r="O9" i="39" a="1"/>
  <c r="Q7" i="32" a="1"/>
  <c r="O9" i="20" a="1"/>
  <c r="P5" i="33" a="1"/>
  <c r="P5" i="16" a="1"/>
  <c r="P9" i="40" a="1"/>
  <c r="Q3" i="17" a="1"/>
  <c r="P3" i="19" a="1"/>
  <c r="P10" i="35" a="1"/>
  <c r="O2" i="40" a="1"/>
  <c r="Q10" i="31" a="1"/>
  <c r="P10" i="18" a="1"/>
  <c r="Q9" i="17" a="1"/>
  <c r="O4" i="42" a="1"/>
  <c r="O8" i="30" a="1"/>
  <c r="Q3" i="36" a="1"/>
  <c r="P10" i="17" a="1"/>
  <c r="P3" i="28" a="1"/>
  <c r="Q4" i="34" a="1"/>
  <c r="O3" i="23" a="1"/>
  <c r="P9" i="17" a="1"/>
  <c r="Q3" i="19" a="1"/>
  <c r="P3" i="39" a="1"/>
  <c r="P11" i="42" a="1"/>
  <c r="P11" i="24" a="1"/>
  <c r="O3" i="42" a="1"/>
  <c r="Q4" i="40" a="1"/>
  <c r="P4" i="40" a="1"/>
  <c r="P11" i="28" a="1"/>
  <c r="P3" i="41" a="1"/>
  <c r="P3" i="38" a="1"/>
  <c r="P11" i="19" a="1"/>
  <c r="Q3" i="31" a="1"/>
  <c r="O8" i="23" a="1"/>
  <c r="O5" i="11" a="1"/>
  <c r="Q4" i="22" a="1"/>
  <c r="O9" i="15" a="1"/>
  <c r="Q9" i="43" a="1"/>
  <c r="O11" i="29" a="1"/>
  <c r="P10" i="37" a="1"/>
  <c r="O3" i="17" a="1"/>
  <c r="O3" i="16" a="1"/>
  <c r="P9" i="11" a="1"/>
  <c r="P8" i="16" a="1"/>
  <c r="O9" i="27" a="1"/>
  <c r="Q9" i="33" a="1"/>
  <c r="O5" i="42" a="1"/>
  <c r="Q3" i="15" a="1"/>
  <c r="P8" i="39" a="1"/>
  <c r="P9" i="29" a="1"/>
  <c r="O8" i="24" a="1"/>
  <c r="P8" i="24" a="1"/>
  <c r="Q7" i="33" a="1"/>
  <c r="Q3" i="34" a="1"/>
  <c r="P4" i="20" a="1"/>
  <c r="O3" i="41" a="1"/>
  <c r="O5" i="22" a="1"/>
  <c r="P5" i="28" a="1"/>
  <c r="Q10" i="30" a="1"/>
  <c r="O11" i="27" a="1"/>
  <c r="Q2" i="27" a="1"/>
  <c r="O9" i="42" a="1"/>
  <c r="O2" i="38" a="1"/>
  <c r="O8" i="18" a="1"/>
  <c r="O4" i="41" a="1"/>
  <c r="O2" i="41" a="1"/>
  <c r="P9" i="38" a="1"/>
  <c r="O10" i="31" a="1"/>
  <c r="O2" i="18" a="1"/>
  <c r="O5" i="16" a="1"/>
  <c r="O11" i="34" a="1"/>
  <c r="O2" i="43" a="1"/>
  <c r="Q4" i="11" a="1"/>
  <c r="P10" i="11" a="1"/>
  <c r="O8" i="40" a="1"/>
  <c r="O2" i="27" a="1"/>
  <c r="Q10" i="24" a="1"/>
  <c r="P3" i="18" a="1"/>
  <c r="O4" i="22" a="1"/>
  <c r="O3" i="40" a="1"/>
  <c r="O2" i="34" a="1"/>
  <c r="O11" i="24" a="1"/>
  <c r="Q4" i="20" a="1"/>
  <c r="O9" i="22" a="1"/>
  <c r="P5" i="34" a="1"/>
  <c r="P4" i="23" a="1"/>
  <c r="P11" i="43" a="1"/>
  <c r="O4" i="19" a="1"/>
  <c r="P3" i="15" a="1"/>
  <c r="P3" i="29" a="1"/>
  <c r="O11" i="37" a="1"/>
  <c r="P3" i="16" a="1"/>
  <c r="P8" i="23" a="1"/>
  <c r="O11" i="19" a="1"/>
  <c r="Q2" i="26" a="1"/>
  <c r="Q2" i="36" a="1"/>
  <c r="Q2" i="37" a="1"/>
  <c r="Q9" i="38" a="1"/>
  <c r="O4" i="39" a="1"/>
  <c r="P9" i="37" a="1"/>
  <c r="O10" i="20" a="1"/>
  <c r="Q4" i="39" a="1"/>
  <c r="P3" i="42" a="1"/>
  <c r="Q2" i="32" a="1"/>
  <c r="O11" i="30" a="1"/>
  <c r="O10" i="35" a="1"/>
  <c r="O10" i="38" a="1"/>
  <c r="O9" i="40" a="1"/>
  <c r="O8" i="37" a="1"/>
  <c r="O9" i="29" a="1"/>
  <c r="P4" i="27" a="1"/>
  <c r="P11" i="33" a="1"/>
  <c r="Q10" i="18" a="1"/>
  <c r="Q10" i="29" a="1"/>
  <c r="P10" i="41" a="1"/>
  <c r="Q9" i="29" a="1"/>
  <c r="Q2" i="43" a="1"/>
  <c r="Q2" i="39" a="1"/>
  <c r="O3" i="26" a="1"/>
  <c r="O2" i="39" a="1"/>
  <c r="P4" i="34" a="1"/>
  <c r="P3" i="23" a="1"/>
  <c r="O4" i="30" a="1"/>
  <c r="P9" i="23" a="1"/>
  <c r="Q3" i="37" a="1"/>
  <c r="P4" i="41" a="1"/>
  <c r="O2" i="24" a="1"/>
  <c r="P10" i="38" a="1"/>
  <c r="O10" i="14" a="1"/>
  <c r="O9" i="37" a="1"/>
  <c r="Q9" i="26" a="1"/>
  <c r="O8" i="41" a="1"/>
  <c r="P3" i="35" a="1"/>
  <c r="P11" i="36" a="1"/>
  <c r="P9" i="31" a="1"/>
  <c r="Q7" i="16" a="1"/>
  <c r="P9" i="32" a="1"/>
  <c r="Q9" i="20" a="1"/>
  <c r="P11" i="32" a="1"/>
  <c r="Q9" i="16" a="1"/>
  <c r="O3" i="37" a="1"/>
  <c r="Q2" i="33" a="1"/>
  <c r="Q10" i="17" a="1"/>
  <c r="P11" i="20" a="1"/>
  <c r="O5" i="20" a="1"/>
  <c r="O3" i="21" a="1"/>
  <c r="O3" i="18" a="1"/>
  <c r="P8" i="34" a="1"/>
  <c r="Q7" i="15" a="1"/>
  <c r="O5" i="15" a="1"/>
  <c r="Q10" i="35" a="1"/>
  <c r="P5" i="31" a="1"/>
  <c r="Q9" i="31" a="1"/>
  <c r="P10" i="32" a="1"/>
  <c r="P4" i="24" a="1"/>
  <c r="P9" i="34" a="1"/>
  <c r="Q3" i="23" a="1"/>
  <c r="P10" i="31" a="1"/>
  <c r="O8" i="31" a="1"/>
  <c r="O4" i="40" a="1"/>
  <c r="P3" i="21" a="1"/>
  <c r="P10" i="29" a="1"/>
  <c r="O5" i="40" a="1"/>
  <c r="Q4" i="27" a="1"/>
  <c r="Q3" i="35" a="1"/>
  <c r="Q9" i="22" a="1"/>
  <c r="O10" i="24" a="1"/>
  <c r="O3" i="28" a="1"/>
  <c r="Q4" i="30" a="1"/>
  <c r="O9" i="43" a="1"/>
  <c r="Q10" i="38" a="1"/>
  <c r="P8" i="29" a="1"/>
  <c r="Q4" i="37" a="1"/>
  <c r="O2" i="23" a="1"/>
  <c r="Q9" i="42" a="1"/>
  <c r="O2" i="35" a="1"/>
  <c r="Q4" i="36" a="1"/>
  <c r="P9" i="28" a="1"/>
  <c r="O11" i="18" a="1"/>
  <c r="O9" i="35" a="1"/>
  <c r="Q9" i="21" a="1"/>
  <c r="P4" i="15" a="1"/>
  <c r="Q9" i="32" a="1"/>
  <c r="P5" i="27" a="1"/>
  <c r="P8" i="19" a="1"/>
  <c r="P5" i="22" a="1"/>
  <c r="P8" i="36" a="1"/>
  <c r="P5" i="21" a="1"/>
  <c r="Q2" i="16" a="1"/>
  <c r="P11" i="26" a="1"/>
  <c r="O2" i="32" a="1"/>
  <c r="P8" i="33" a="1"/>
  <c r="P3" i="34" a="1"/>
  <c r="O5" i="21" a="1"/>
  <c r="O5" i="27" a="1"/>
  <c r="Q3" i="28" a="1"/>
  <c r="O8" i="35" a="1"/>
  <c r="Q4" i="18" a="1"/>
  <c r="O9" i="11" a="1"/>
  <c r="O9" i="14" a="1"/>
  <c r="Q2" i="29" a="1"/>
  <c r="P9" i="20" a="1"/>
  <c r="O11" i="15" a="1"/>
  <c r="Q7" i="29" a="1"/>
  <c r="P11" i="35" a="1"/>
  <c r="O2" i="33" a="1"/>
  <c r="P3" i="26" a="1"/>
  <c r="P11" i="23" a="1"/>
  <c r="O5" i="17" a="1"/>
  <c r="Q7" i="11" a="1"/>
  <c r="Q7" i="43" a="1"/>
  <c r="Q10" i="40" a="1"/>
  <c r="O9" i="23" a="1"/>
  <c r="O4" i="32" a="1"/>
  <c r="Q3" i="30" a="1"/>
  <c r="P4" i="33" a="1"/>
  <c r="P10" i="14" a="1"/>
  <c r="Q4" i="17" a="1"/>
  <c r="Q7" i="30" a="1"/>
  <c r="O5" i="38" a="1"/>
  <c r="P11" i="17" a="1"/>
  <c r="O8" i="38" a="1"/>
  <c r="P4" i="17" a="1"/>
  <c r="Q4" i="16" a="1"/>
  <c r="Q2" i="15" a="1"/>
  <c r="O8" i="43" a="1"/>
  <c r="P11" i="30" a="1"/>
  <c r="P10" i="19" a="1"/>
  <c r="P5" i="40" a="1"/>
  <c r="O4" i="38" a="1"/>
  <c r="O3" i="38" a="1"/>
  <c r="O2" i="31" a="1"/>
  <c r="P11" i="39" a="1"/>
  <c r="Q7" i="23" a="1"/>
  <c r="O5" i="37" a="1"/>
  <c r="O2" i="11" a="1"/>
  <c r="P10" i="15" a="1"/>
  <c r="Q2" i="41" a="1"/>
  <c r="P3" i="20" a="1"/>
  <c r="P8" i="20" a="1"/>
  <c r="P9" i="26" a="1"/>
  <c r="O2" i="17" a="1"/>
  <c r="P10" i="34" a="1"/>
  <c r="P10" i="33" a="1"/>
  <c r="P8" i="42" a="1"/>
  <c r="O10" i="29" a="1"/>
  <c r="O4" i="43" a="1"/>
  <c r="Q2" i="40" a="1"/>
  <c r="O9" i="34" a="1"/>
  <c r="O10" i="33" a="1"/>
  <c r="P8" i="22" a="1"/>
  <c r="O5" i="31" a="1"/>
  <c r="P11" i="34" a="1"/>
  <c r="Q4" i="28" a="1"/>
  <c r="P11" i="16" a="1"/>
  <c r="P3" i="22" a="1"/>
  <c r="Q3" i="20" a="1"/>
  <c r="P5" i="38" a="1"/>
  <c r="P9" i="43" a="1"/>
  <c r="Q10" i="27" a="1"/>
  <c r="Q7" i="17" a="1"/>
  <c r="O11" i="17" a="1"/>
  <c r="O9" i="30" a="1"/>
  <c r="P9" i="21" a="1"/>
  <c r="P10" i="27" a="1"/>
  <c r="P8" i="28" a="1"/>
  <c r="O8" i="11" a="1"/>
  <c r="O4" i="23" a="1"/>
  <c r="P4" i="11" a="1"/>
  <c r="O4" i="11" a="1"/>
  <c r="P9" i="41" a="1"/>
  <c r="P5" i="36" a="1"/>
  <c r="O4" i="35" a="1"/>
  <c r="Q10" i="16" a="1"/>
  <c r="O2" i="21" a="1"/>
  <c r="O8" i="33" a="1"/>
  <c r="Q2" i="34" a="1"/>
  <c r="O3" i="14" a="1"/>
  <c r="O4" i="37" a="1"/>
  <c r="Q10" i="42" a="1"/>
  <c r="P10" i="26" a="1"/>
  <c r="P8" i="41" a="1"/>
  <c r="O4" i="31" a="1"/>
  <c r="P4" i="21" a="1"/>
  <c r="O9" i="28" a="1"/>
  <c r="P4" i="19" a="1"/>
  <c r="P5" i="11" a="1"/>
  <c r="P9" i="24" a="1"/>
  <c r="O5" i="33" a="1"/>
  <c r="Q7" i="27" a="1"/>
  <c r="P5" i="20" a="1"/>
  <c r="O10" i="37" a="1"/>
  <c r="P3" i="40" a="1"/>
  <c r="Q3" i="14" a="1"/>
  <c r="O3" i="24" a="1"/>
  <c r="P9" i="36" a="1"/>
  <c r="Q10" i="41" a="1"/>
  <c r="O8" i="32" a="1"/>
  <c r="O10" i="23" a="1"/>
  <c r="O9" i="24" a="1"/>
  <c r="O10" i="22" a="1"/>
  <c r="O5" i="26" a="1"/>
  <c r="P9" i="30" a="1"/>
  <c r="Q4" i="14" a="1"/>
  <c r="P8" i="37" a="1"/>
  <c r="O3" i="19" a="1"/>
  <c r="O3" i="15" a="1"/>
  <c r="P8" i="40" a="1"/>
  <c r="O3" i="36" a="1"/>
  <c r="O2" i="42" a="1"/>
  <c r="Q4" i="42" a="1"/>
  <c r="Q3" i="38" a="1"/>
  <c r="Q10" i="39" a="1"/>
  <c r="P3" i="31" a="1"/>
  <c r="P3" i="30" a="1"/>
  <c r="O3" i="43" a="1"/>
  <c r="Q4" i="23" a="1"/>
  <c r="Q7" i="31" a="1"/>
  <c r="Q10" i="15" a="1"/>
  <c r="Q10" i="19" a="1"/>
  <c r="O11" i="16" a="1"/>
  <c r="Q4" i="32" a="1"/>
  <c r="O8" i="26" a="1"/>
  <c r="O3" i="20" a="1"/>
  <c r="Q9" i="40" a="1"/>
  <c r="O2" i="15" a="1"/>
  <c r="P5" i="42" a="1"/>
  <c r="O4" i="36" a="1"/>
  <c r="O8" i="21" a="1"/>
  <c r="P11" i="37" a="1"/>
  <c r="O10" i="19" a="1"/>
  <c r="Q2" i="21" a="1"/>
  <c r="P3" i="11" a="1"/>
  <c r="O5" i="41" a="1"/>
  <c r="Q9" i="37" a="1"/>
  <c r="Q7" i="35" a="1"/>
  <c r="O11" i="39" a="1"/>
  <c r="P11" i="22" a="1"/>
  <c r="P3" i="37" a="1"/>
  <c r="P5" i="26" a="1"/>
  <c r="P3" i="33" a="1"/>
  <c r="O8" i="15" a="1"/>
  <c r="P10" i="21" a="1"/>
  <c r="P9" i="35" a="1"/>
  <c r="O2" i="16" a="1"/>
  <c r="P10" i="20" a="1"/>
  <c r="P10" i="43" a="1"/>
  <c r="P9" i="27" a="1"/>
  <c r="O10" i="28" a="1"/>
  <c r="O9" i="18" a="1"/>
  <c r="Q4" i="26" a="1"/>
  <c r="P10" i="23" a="1"/>
  <c r="O8" i="20" a="1"/>
  <c r="Q10" i="37" a="1"/>
  <c r="P9" i="33" a="1"/>
  <c r="P9" i="39" a="1"/>
  <c r="P11" i="21" a="1"/>
  <c r="P5" i="32" a="1"/>
  <c r="O3" i="31" l="1"/>
  <c r="Q2" i="30"/>
  <c r="F5" i="21"/>
  <c r="P9" i="32"/>
  <c r="O10" i="27"/>
  <c r="O9" i="24"/>
  <c r="O10" i="17"/>
  <c r="Q2" i="42"/>
  <c r="P10" i="23"/>
  <c r="Q4" i="30"/>
  <c r="P4" i="27"/>
  <c r="P9" i="29"/>
  <c r="P8" i="37"/>
  <c r="Q7" i="29"/>
  <c r="O10" i="23"/>
  <c r="Q3" i="35"/>
  <c r="O4" i="22"/>
  <c r="P10" i="33"/>
  <c r="Q4" i="24"/>
  <c r="Q10" i="21"/>
  <c r="O3" i="39"/>
  <c r="P8" i="23"/>
  <c r="P8" i="42"/>
  <c r="P10" i="22"/>
  <c r="O11" i="31"/>
  <c r="Q10" i="40"/>
  <c r="O5" i="35"/>
  <c r="O8" i="19"/>
  <c r="O9" i="32"/>
  <c r="Q2" i="18"/>
  <c r="O10" i="37"/>
  <c r="P11" i="36"/>
  <c r="P9" i="16"/>
  <c r="O10" i="32"/>
  <c r="O3" i="21"/>
  <c r="O2" i="31"/>
  <c r="Q2" i="31"/>
  <c r="P4" i="22"/>
  <c r="P9" i="41"/>
  <c r="P8" i="34"/>
  <c r="O5" i="33"/>
  <c r="O4" i="43"/>
  <c r="P5" i="20"/>
  <c r="P11" i="33"/>
  <c r="O5" i="27"/>
  <c r="Q10" i="37"/>
  <c r="Q3" i="28"/>
  <c r="P9" i="31"/>
  <c r="O11" i="40"/>
  <c r="Q2" i="39"/>
  <c r="P9" i="42"/>
  <c r="Q10" i="26"/>
  <c r="P4" i="24"/>
  <c r="O3" i="32"/>
  <c r="O2" i="37"/>
  <c r="O8" i="21"/>
  <c r="P5" i="21"/>
  <c r="P4" i="38"/>
  <c r="P10" i="27"/>
  <c r="O5" i="18"/>
  <c r="O4" i="29"/>
  <c r="Q7" i="38"/>
  <c r="O5" i="16"/>
  <c r="O8" i="32"/>
  <c r="O8" i="42"/>
  <c r="O11" i="24"/>
  <c r="O5" i="30"/>
  <c r="O8" i="16"/>
  <c r="O8" i="34"/>
  <c r="Q7" i="36"/>
  <c r="P11" i="28"/>
  <c r="P10" i="31"/>
  <c r="P3" i="18"/>
  <c r="P4" i="18"/>
  <c r="P9" i="21"/>
  <c r="F5" i="28"/>
  <c r="O4" i="32"/>
  <c r="Q4" i="38"/>
  <c r="O3" i="15"/>
  <c r="P11" i="15"/>
  <c r="P10" i="38"/>
  <c r="F5" i="31"/>
  <c r="O4" i="17"/>
  <c r="O5" i="20"/>
  <c r="O3" i="38"/>
  <c r="O11" i="17"/>
  <c r="O11" i="28"/>
  <c r="P9" i="28"/>
  <c r="O4" i="11"/>
  <c r="Q4" i="42"/>
  <c r="P5" i="11"/>
  <c r="O10" i="30"/>
  <c r="P3" i="16"/>
  <c r="Q9" i="24"/>
  <c r="O5" i="32"/>
  <c r="O9" i="35"/>
  <c r="L6" i="29"/>
  <c r="N6" i="29" s="1"/>
  <c r="R6" i="29" s="1"/>
  <c r="O4" i="37"/>
  <c r="Q7" i="30"/>
  <c r="Q2" i="27"/>
  <c r="O5" i="37"/>
  <c r="Q2" i="34"/>
  <c r="B16" i="34" s="1"/>
  <c r="B17" i="34" s="1"/>
  <c r="B12" i="34" s="1"/>
  <c r="B18" i="34" s="1"/>
  <c r="O5" i="14"/>
  <c r="O3" i="17"/>
  <c r="Q4" i="28"/>
  <c r="O3" i="24"/>
  <c r="O3" i="19"/>
  <c r="Q2" i="24"/>
  <c r="P10" i="18"/>
  <c r="P8" i="30"/>
  <c r="Q10" i="35"/>
  <c r="O9" i="26"/>
  <c r="O3" i="11"/>
  <c r="O8" i="28"/>
  <c r="O9" i="43"/>
  <c r="P9" i="24"/>
  <c r="P9" i="27"/>
  <c r="O8" i="23"/>
  <c r="Q3" i="18"/>
  <c r="P4" i="41"/>
  <c r="O8" i="40"/>
  <c r="Q3" i="43"/>
  <c r="P9" i="20"/>
  <c r="Q7" i="35"/>
  <c r="Q2" i="33"/>
  <c r="Q7" i="42"/>
  <c r="O9" i="23"/>
  <c r="P3" i="39"/>
  <c r="O3" i="26"/>
  <c r="O4" i="40"/>
  <c r="O2" i="42"/>
  <c r="P5" i="42"/>
  <c r="P10" i="29"/>
  <c r="O11" i="30"/>
  <c r="P5" i="32"/>
  <c r="P4" i="19"/>
  <c r="O9" i="20"/>
  <c r="Q4" i="40"/>
  <c r="Q7" i="33"/>
  <c r="O3" i="30"/>
  <c r="Q9" i="38"/>
  <c r="Q7" i="15"/>
  <c r="H7" i="15" s="1"/>
  <c r="L7" i="15" s="1"/>
  <c r="N7" i="15" s="1"/>
  <c r="R7" i="15" s="1"/>
  <c r="P5" i="24"/>
  <c r="Q9" i="19"/>
  <c r="Q9" i="43"/>
  <c r="O2" i="39"/>
  <c r="O3" i="36"/>
  <c r="O9" i="27"/>
  <c r="Q4" i="18"/>
  <c r="Q9" i="21"/>
  <c r="Q10" i="18"/>
  <c r="Q7" i="26"/>
  <c r="P3" i="14"/>
  <c r="P9" i="37"/>
  <c r="P3" i="32"/>
  <c r="P8" i="24"/>
  <c r="O2" i="14"/>
  <c r="Q10" i="38"/>
  <c r="O5" i="11"/>
  <c r="P11" i="32"/>
  <c r="O10" i="14"/>
  <c r="O8" i="22"/>
  <c r="Q10" i="33"/>
  <c r="O11" i="32"/>
  <c r="Q2" i="17"/>
  <c r="Q9" i="37"/>
  <c r="P10" i="26"/>
  <c r="Q4" i="19"/>
  <c r="D2" i="19" s="1"/>
  <c r="D17" i="19" s="1"/>
  <c r="D12" i="19" s="1"/>
  <c r="D18" i="19" s="1"/>
  <c r="Q4" i="14"/>
  <c r="D2" i="14" s="1"/>
  <c r="D17" i="14" s="1"/>
  <c r="D12" i="14" s="1"/>
  <c r="P4" i="36"/>
  <c r="P4" i="32"/>
  <c r="O9" i="37"/>
  <c r="Q4" i="35"/>
  <c r="P5" i="40"/>
  <c r="O2" i="15"/>
  <c r="Q3" i="37"/>
  <c r="Q10" i="34"/>
  <c r="Q9" i="29"/>
  <c r="P8" i="36"/>
  <c r="P11" i="17"/>
  <c r="O10" i="22"/>
  <c r="O2" i="11"/>
  <c r="Q10" i="39"/>
  <c r="O3" i="23"/>
  <c r="O3" i="16"/>
  <c r="P8" i="22"/>
  <c r="Q4" i="16"/>
  <c r="P3" i="11"/>
  <c r="P5" i="14"/>
  <c r="O9" i="39"/>
  <c r="O4" i="38"/>
  <c r="O4" i="27"/>
  <c r="P9" i="43"/>
  <c r="Q7" i="11"/>
  <c r="O4" i="30"/>
  <c r="O10" i="24"/>
  <c r="O9" i="28"/>
  <c r="F5" i="38"/>
  <c r="O11" i="34"/>
  <c r="O10" i="19"/>
  <c r="O4" i="23"/>
  <c r="Q2" i="35"/>
  <c r="B16" i="35" s="1"/>
  <c r="Q3" i="21"/>
  <c r="O5" i="28"/>
  <c r="Q3" i="26"/>
  <c r="Q2" i="23"/>
  <c r="O3" i="40"/>
  <c r="Q10" i="15"/>
  <c r="O2" i="22"/>
  <c r="P8" i="21"/>
  <c r="P8" i="15"/>
  <c r="O5" i="29"/>
  <c r="O8" i="18"/>
  <c r="O9" i="14"/>
  <c r="O2" i="34"/>
  <c r="P3" i="30"/>
  <c r="F5" i="14"/>
  <c r="F3" i="14" s="1"/>
  <c r="F17" i="14" s="1"/>
  <c r="F12" i="14" s="1"/>
  <c r="F18" i="14" s="1"/>
  <c r="P3" i="19"/>
  <c r="O3" i="33"/>
  <c r="Q3" i="41"/>
  <c r="P3" i="22"/>
  <c r="P8" i="31"/>
  <c r="P3" i="36"/>
  <c r="Q3" i="11"/>
  <c r="O9" i="30"/>
  <c r="O5" i="23"/>
  <c r="O2" i="18"/>
  <c r="Q3" i="29"/>
  <c r="F5" i="37"/>
  <c r="P4" i="34"/>
  <c r="Q10" i="23"/>
  <c r="P4" i="28"/>
  <c r="Q4" i="22"/>
  <c r="Q9" i="42"/>
  <c r="O8" i="11"/>
  <c r="P5" i="18"/>
  <c r="O8" i="36"/>
  <c r="P8" i="41"/>
  <c r="O8" i="31"/>
  <c r="O4" i="35"/>
  <c r="Q2" i="40"/>
  <c r="P9" i="18"/>
  <c r="P5" i="43"/>
  <c r="O3" i="28"/>
  <c r="Q9" i="33"/>
  <c r="Q10" i="11"/>
  <c r="Q2" i="37"/>
  <c r="Q3" i="34"/>
  <c r="Q3" i="16"/>
  <c r="Q2" i="29"/>
  <c r="B16" i="29" s="1"/>
  <c r="B17" i="29" s="1"/>
  <c r="B12" i="29" s="1"/>
  <c r="B18" i="29" s="1"/>
  <c r="Q7" i="19"/>
  <c r="H7" i="19" s="1"/>
  <c r="L7" i="19" s="1"/>
  <c r="N7" i="19" s="1"/>
  <c r="R7" i="19" s="1"/>
  <c r="Q9" i="27"/>
  <c r="Q9" i="23"/>
  <c r="F5" i="22"/>
  <c r="P5" i="26"/>
  <c r="O4" i="33"/>
  <c r="P10" i="43"/>
  <c r="O8" i="27"/>
  <c r="Q10" i="19"/>
  <c r="Q4" i="36"/>
  <c r="Q10" i="28"/>
  <c r="O11" i="22"/>
  <c r="O11" i="39"/>
  <c r="F5" i="16"/>
  <c r="O5" i="15"/>
  <c r="Q7" i="14"/>
  <c r="H7" i="14" s="1"/>
  <c r="L7" i="14" s="1"/>
  <c r="N7" i="14" s="1"/>
  <c r="R7" i="14" s="1"/>
  <c r="P10" i="21"/>
  <c r="Q4" i="20"/>
  <c r="D2" i="20" s="1"/>
  <c r="D17" i="20" s="1"/>
  <c r="D12" i="20" s="1"/>
  <c r="D18" i="20" s="1"/>
  <c r="O4" i="19"/>
  <c r="Q9" i="14"/>
  <c r="O10" i="11"/>
  <c r="O2" i="20"/>
  <c r="O8" i="39"/>
  <c r="Q9" i="26"/>
  <c r="P4" i="37"/>
  <c r="P4" i="42"/>
  <c r="O9" i="42"/>
  <c r="Q3" i="39"/>
  <c r="O4" i="39"/>
  <c r="Q3" i="15"/>
  <c r="P8" i="28"/>
  <c r="Q2" i="28"/>
  <c r="P11" i="41"/>
  <c r="P4" i="11"/>
  <c r="O9" i="11"/>
  <c r="Q10" i="43"/>
  <c r="O5" i="38"/>
  <c r="O9" i="29"/>
  <c r="P10" i="32"/>
  <c r="O3" i="43"/>
  <c r="P3" i="21"/>
  <c r="P4" i="20"/>
  <c r="Q2" i="41"/>
  <c r="B16" i="41" s="1"/>
  <c r="B17" i="41" s="1"/>
  <c r="B12" i="41" s="1"/>
  <c r="B18" i="41" s="1"/>
  <c r="P4" i="15"/>
  <c r="P8" i="33"/>
  <c r="Q2" i="19"/>
  <c r="B16" i="19" s="1"/>
  <c r="L16" i="19" s="1"/>
  <c r="R16" i="19" s="1"/>
  <c r="P5" i="28"/>
  <c r="P8" i="20"/>
  <c r="O5" i="40"/>
  <c r="O5" i="17"/>
  <c r="P10" i="41"/>
  <c r="Q9" i="22"/>
  <c r="Q4" i="17"/>
  <c r="Q4" i="39"/>
  <c r="P10" i="15"/>
  <c r="F5" i="33"/>
  <c r="P10" i="28"/>
  <c r="Q4" i="33"/>
  <c r="P3" i="27"/>
  <c r="Q9" i="41"/>
  <c r="P10" i="30"/>
  <c r="P11" i="42"/>
  <c r="P3" i="34"/>
  <c r="F5" i="23"/>
  <c r="Q7" i="41"/>
  <c r="H7" i="41" s="1"/>
  <c r="L7" i="41" s="1"/>
  <c r="P11" i="30"/>
  <c r="P8" i="43"/>
  <c r="O11" i="26"/>
  <c r="P3" i="42"/>
  <c r="P4" i="31"/>
  <c r="Q4" i="15"/>
  <c r="D2" i="15" s="1"/>
  <c r="D17" i="15" s="1"/>
  <c r="D12" i="15" s="1"/>
  <c r="O5" i="24"/>
  <c r="P11" i="29"/>
  <c r="P8" i="17"/>
  <c r="Q10" i="27"/>
  <c r="O10" i="34"/>
  <c r="O3" i="14"/>
  <c r="P8" i="40"/>
  <c r="P9" i="34"/>
  <c r="O3" i="27"/>
  <c r="P5" i="23"/>
  <c r="Q4" i="21"/>
  <c r="P11" i="18"/>
  <c r="P5" i="33"/>
  <c r="O10" i="42"/>
  <c r="Q7" i="32"/>
  <c r="O5" i="22"/>
  <c r="O3" i="42"/>
  <c r="O8" i="26"/>
  <c r="O11" i="38"/>
  <c r="P10" i="37"/>
  <c r="O10" i="28"/>
  <c r="P3" i="33"/>
  <c r="P3" i="23"/>
  <c r="Q7" i="18"/>
  <c r="O2" i="41"/>
  <c r="P10" i="19"/>
  <c r="Q10" i="42"/>
  <c r="O9" i="22"/>
  <c r="O2" i="38"/>
  <c r="P11" i="37"/>
  <c r="P10" i="20"/>
  <c r="Q9" i="40"/>
  <c r="P9" i="14"/>
  <c r="P5" i="31"/>
  <c r="P11" i="43"/>
  <c r="Q7" i="39"/>
  <c r="Q3" i="31"/>
  <c r="P8" i="27"/>
  <c r="Q3" i="40"/>
  <c r="P4" i="16"/>
  <c r="O4" i="42"/>
  <c r="P8" i="29"/>
  <c r="Q3" i="42"/>
  <c r="O3" i="41"/>
  <c r="O8" i="33"/>
  <c r="Q2" i="22"/>
  <c r="P3" i="31"/>
  <c r="Q9" i="39"/>
  <c r="O11" i="36"/>
  <c r="Q2" i="26"/>
  <c r="P10" i="36"/>
  <c r="P3" i="26"/>
  <c r="O9" i="34"/>
  <c r="O4" i="28"/>
  <c r="Q10" i="31"/>
  <c r="Q3" i="24"/>
  <c r="Q10" i="29"/>
  <c r="Q9" i="31"/>
  <c r="Q9" i="18"/>
  <c r="P11" i="22"/>
  <c r="Q7" i="23"/>
  <c r="O4" i="20"/>
  <c r="P8" i="26"/>
  <c r="O5" i="36"/>
  <c r="O10" i="15"/>
  <c r="O11" i="33"/>
  <c r="O8" i="43"/>
  <c r="P8" i="19"/>
  <c r="O3" i="20"/>
  <c r="P5" i="19"/>
  <c r="P4" i="35"/>
  <c r="P8" i="18"/>
  <c r="P11" i="24"/>
  <c r="Q9" i="34"/>
  <c r="Q4" i="29"/>
  <c r="O10" i="31"/>
  <c r="Q9" i="35"/>
  <c r="P9" i="15"/>
  <c r="O5" i="43"/>
  <c r="P11" i="11"/>
  <c r="O11" i="16"/>
  <c r="P5" i="30"/>
  <c r="P10" i="17"/>
  <c r="O8" i="14"/>
  <c r="P3" i="20"/>
  <c r="P8" i="14"/>
  <c r="O4" i="24"/>
  <c r="Q10" i="36"/>
  <c r="O9" i="41"/>
  <c r="Q7" i="24"/>
  <c r="P11" i="38"/>
  <c r="O11" i="23"/>
  <c r="P10" i="24"/>
  <c r="P5" i="35"/>
  <c r="Q7" i="20"/>
  <c r="H7" i="20" s="1"/>
  <c r="L7" i="20" s="1"/>
  <c r="N7" i="20" s="1"/>
  <c r="P8" i="11"/>
  <c r="P4" i="14"/>
  <c r="O4" i="34"/>
  <c r="Q7" i="27"/>
  <c r="O3" i="35"/>
  <c r="P11" i="34"/>
  <c r="O9" i="31"/>
  <c r="O8" i="38"/>
  <c r="Q7" i="22"/>
  <c r="Q9" i="20"/>
  <c r="P11" i="26"/>
  <c r="O2" i="19"/>
  <c r="O4" i="14"/>
  <c r="P8" i="38"/>
  <c r="O4" i="26"/>
  <c r="O11" i="14"/>
  <c r="O10" i="36"/>
  <c r="P9" i="36"/>
  <c r="O2" i="28"/>
  <c r="Q3" i="38"/>
  <c r="O11" i="37"/>
  <c r="P9" i="38"/>
  <c r="P9" i="11"/>
  <c r="Q2" i="16"/>
  <c r="P10" i="39"/>
  <c r="O5" i="21"/>
  <c r="P9" i="33"/>
  <c r="O5" i="42"/>
  <c r="P3" i="15"/>
  <c r="P11" i="19"/>
  <c r="O4" i="36"/>
  <c r="P11" i="31"/>
  <c r="P10" i="35"/>
  <c r="Q9" i="11"/>
  <c r="P5" i="29"/>
  <c r="P11" i="39"/>
  <c r="P3" i="38"/>
  <c r="Q10" i="17"/>
  <c r="Q9" i="36"/>
  <c r="F5" i="11"/>
  <c r="Q4" i="27"/>
  <c r="Q9" i="16"/>
  <c r="O3" i="18"/>
  <c r="P3" i="29"/>
  <c r="Q3" i="17"/>
  <c r="O4" i="15"/>
  <c r="Q4" i="32"/>
  <c r="O10" i="40"/>
  <c r="P9" i="23"/>
  <c r="Q7" i="21"/>
  <c r="L6" i="34"/>
  <c r="N6" i="34" s="1"/>
  <c r="R6" i="34" s="1"/>
  <c r="Q3" i="14"/>
  <c r="Q7" i="16"/>
  <c r="Q4" i="37"/>
  <c r="Q10" i="16"/>
  <c r="Q7" i="43"/>
  <c r="O2" i="30"/>
  <c r="O11" i="19"/>
  <c r="F5" i="40"/>
  <c r="Q4" i="11"/>
  <c r="Q10" i="41"/>
  <c r="P5" i="16"/>
  <c r="O9" i="17"/>
  <c r="F5" i="43"/>
  <c r="Q9" i="15"/>
  <c r="O10" i="18"/>
  <c r="P4" i="33"/>
  <c r="Q3" i="30"/>
  <c r="O8" i="41"/>
  <c r="P8" i="32"/>
  <c r="O9" i="38"/>
  <c r="P11" i="20"/>
  <c r="Q7" i="28"/>
  <c r="Q10" i="32"/>
  <c r="P4" i="29"/>
  <c r="O11" i="20"/>
  <c r="P11" i="14"/>
  <c r="O10" i="16"/>
  <c r="Q2" i="11"/>
  <c r="Q10" i="14"/>
  <c r="P4" i="23"/>
  <c r="Q3" i="22"/>
  <c r="O11" i="21"/>
  <c r="O5" i="39"/>
  <c r="F5" i="42"/>
  <c r="O9" i="16"/>
  <c r="P9" i="22"/>
  <c r="Q2" i="14"/>
  <c r="B16" i="14" s="1"/>
  <c r="L16" i="14" s="1"/>
  <c r="Q16" i="14" s="1"/>
  <c r="Q10" i="24"/>
  <c r="F5" i="30"/>
  <c r="O4" i="16"/>
  <c r="O11" i="35"/>
  <c r="O2" i="32"/>
  <c r="O10" i="43"/>
  <c r="Q2" i="36"/>
  <c r="P10" i="14"/>
  <c r="Q7" i="34"/>
  <c r="O11" i="27"/>
  <c r="P3" i="37"/>
  <c r="P5" i="38"/>
  <c r="Q2" i="20"/>
  <c r="B16" i="20" s="1"/>
  <c r="B17" i="20" s="1"/>
  <c r="B12" i="20" s="1"/>
  <c r="Q4" i="26"/>
  <c r="P4" i="30"/>
  <c r="P10" i="34"/>
  <c r="P5" i="15"/>
  <c r="Q4" i="41"/>
  <c r="D2" i="41" s="1"/>
  <c r="D17" i="41" s="1"/>
  <c r="D12" i="41" s="1"/>
  <c r="P11" i="23"/>
  <c r="O2" i="43"/>
  <c r="P3" i="17"/>
  <c r="Q4" i="23"/>
  <c r="O2" i="24"/>
  <c r="O10" i="21"/>
  <c r="O8" i="17"/>
  <c r="Q2" i="43"/>
  <c r="P10" i="42"/>
  <c r="O10" i="26"/>
  <c r="O11" i="18"/>
  <c r="O8" i="24"/>
  <c r="P5" i="17"/>
  <c r="Q3" i="33"/>
  <c r="O2" i="40"/>
  <c r="O9" i="33"/>
  <c r="Q10" i="30"/>
  <c r="O9" i="15"/>
  <c r="P5" i="39"/>
  <c r="P9" i="19"/>
  <c r="O10" i="33"/>
  <c r="O2" i="26"/>
  <c r="Q9" i="32"/>
  <c r="P3" i="41"/>
  <c r="O2" i="21"/>
  <c r="O5" i="34"/>
  <c r="O3" i="34"/>
  <c r="O10" i="38"/>
  <c r="P9" i="26"/>
  <c r="P8" i="16"/>
  <c r="O4" i="18"/>
  <c r="O2" i="17"/>
  <c r="O8" i="35"/>
  <c r="P4" i="39"/>
  <c r="P4" i="17"/>
  <c r="F5" i="20"/>
  <c r="Q9" i="30"/>
  <c r="O4" i="41"/>
  <c r="P5" i="22"/>
  <c r="P5" i="36"/>
  <c r="O9" i="19"/>
  <c r="O11" i="43"/>
  <c r="O5" i="19"/>
  <c r="O10" i="20"/>
  <c r="Q7" i="40"/>
  <c r="O8" i="15"/>
  <c r="O11" i="29"/>
  <c r="P3" i="43"/>
  <c r="Q7" i="31"/>
  <c r="P11" i="35"/>
  <c r="Q9" i="28"/>
  <c r="O8" i="30"/>
  <c r="O10" i="29"/>
  <c r="O5" i="41"/>
  <c r="P5" i="41"/>
  <c r="P5" i="34"/>
  <c r="O11" i="41"/>
  <c r="O3" i="22"/>
  <c r="P9" i="30"/>
  <c r="F5" i="24"/>
  <c r="P4" i="40"/>
  <c r="Q2" i="32"/>
  <c r="P4" i="26"/>
  <c r="Q7" i="37"/>
  <c r="P11" i="16"/>
  <c r="P8" i="35"/>
  <c r="O9" i="21"/>
  <c r="P3" i="40"/>
  <c r="O8" i="20"/>
  <c r="Q7" i="17"/>
  <c r="P9" i="39"/>
  <c r="O3" i="37"/>
  <c r="O8" i="29"/>
  <c r="O5" i="31"/>
  <c r="O2" i="36"/>
  <c r="Q3" i="36"/>
  <c r="O2" i="33"/>
  <c r="P11" i="21"/>
  <c r="P3" i="28"/>
  <c r="P10" i="11"/>
  <c r="O10" i="35"/>
  <c r="O2" i="29"/>
  <c r="Q3" i="20"/>
  <c r="F3" i="19"/>
  <c r="F17" i="19" s="1"/>
  <c r="F12" i="19" s="1"/>
  <c r="F18" i="19" s="1"/>
  <c r="P5" i="37"/>
  <c r="P5" i="27"/>
  <c r="Q2" i="21"/>
  <c r="P10" i="40"/>
  <c r="Q4" i="34"/>
  <c r="Q2" i="15"/>
  <c r="B16" i="15" s="1"/>
  <c r="B17" i="15" s="1"/>
  <c r="B12" i="15" s="1"/>
  <c r="B18" i="15" s="1"/>
  <c r="P11" i="27"/>
  <c r="O5" i="26"/>
  <c r="Q3" i="19"/>
  <c r="F3" i="15"/>
  <c r="F17" i="15" s="1"/>
  <c r="F12" i="15" s="1"/>
  <c r="F18" i="15" s="1"/>
  <c r="P10" i="16"/>
  <c r="P9" i="35"/>
  <c r="P4" i="43"/>
  <c r="O9" i="18"/>
  <c r="O11" i="42"/>
  <c r="Q3" i="32"/>
  <c r="Q4" i="31"/>
  <c r="O4" i="21"/>
  <c r="O9" i="40"/>
  <c r="Q10" i="20"/>
  <c r="Q3" i="23"/>
  <c r="P9" i="40"/>
  <c r="O8" i="37"/>
  <c r="P9" i="17"/>
  <c r="O3" i="29"/>
  <c r="O11" i="11"/>
  <c r="P4" i="21"/>
  <c r="O2" i="35"/>
  <c r="O10" i="41"/>
  <c r="O10" i="39"/>
  <c r="Q9" i="17"/>
  <c r="Q10" i="22"/>
  <c r="P8" i="39"/>
  <c r="O2" i="23"/>
  <c r="O4" i="31"/>
  <c r="Q3" i="27"/>
  <c r="P3" i="24"/>
  <c r="Q4" i="43"/>
  <c r="Q2" i="38"/>
  <c r="O2" i="16"/>
  <c r="O11" i="15"/>
  <c r="O9" i="36"/>
  <c r="P3" i="35"/>
  <c r="O2" i="27"/>
  <c r="P11" i="40"/>
  <c r="G4" i="18" l="1"/>
  <c r="G3" i="18"/>
  <c r="G3" i="39"/>
  <c r="G5" i="39" s="1"/>
  <c r="G3" i="34"/>
  <c r="D2" i="34"/>
  <c r="D17" i="34" s="1"/>
  <c r="D12" i="34" s="1"/>
  <c r="D18" i="34" s="1"/>
  <c r="C2" i="34"/>
  <c r="C17" i="34" s="1"/>
  <c r="C12" i="34" s="1"/>
  <c r="C18" i="34" s="1"/>
  <c r="K9" i="34"/>
  <c r="L9" i="34" s="1"/>
  <c r="N9" i="34" s="1"/>
  <c r="R9" i="34" s="1"/>
  <c r="K10" i="34"/>
  <c r="L10" i="34" s="1"/>
  <c r="N10" i="34" s="1"/>
  <c r="R10" i="34" s="1"/>
  <c r="H7" i="34"/>
  <c r="H17" i="34" s="1"/>
  <c r="G4" i="35"/>
  <c r="H7" i="35"/>
  <c r="L7" i="35" s="1"/>
  <c r="N7" i="35" s="1"/>
  <c r="R7" i="35" s="1"/>
  <c r="D2" i="35"/>
  <c r="D17" i="35" s="1"/>
  <c r="D12" i="35" s="1"/>
  <c r="D18" i="35" s="1"/>
  <c r="C2" i="29"/>
  <c r="C17" i="29" s="1"/>
  <c r="C12" i="29" s="1"/>
  <c r="C18" i="29" s="1"/>
  <c r="G3" i="29"/>
  <c r="K9" i="29"/>
  <c r="L9" i="29" s="1"/>
  <c r="N9" i="29" s="1"/>
  <c r="R9" i="29" s="1"/>
  <c r="H7" i="29"/>
  <c r="H17" i="29" s="1"/>
  <c r="K10" i="29"/>
  <c r="L10" i="29" s="1"/>
  <c r="N10" i="29" s="1"/>
  <c r="R10" i="29" s="1"/>
  <c r="G4" i="29"/>
  <c r="L4" i="29" s="1"/>
  <c r="N4" i="29" s="1"/>
  <c r="R4" i="29" s="1"/>
  <c r="D2" i="29"/>
  <c r="D17" i="29" s="1"/>
  <c r="D12" i="29" s="1"/>
  <c r="D18" i="29" s="1"/>
  <c r="C2" i="35"/>
  <c r="C17" i="35" s="1"/>
  <c r="C12" i="35" s="1"/>
  <c r="C18" i="35" s="1"/>
  <c r="C2" i="14"/>
  <c r="C17" i="14" s="1"/>
  <c r="C12" i="14" s="1"/>
  <c r="C18" i="14" s="1"/>
  <c r="G3" i="14"/>
  <c r="C2" i="15"/>
  <c r="C17" i="15" s="1"/>
  <c r="C12" i="15" s="1"/>
  <c r="C18" i="15" s="1"/>
  <c r="G3" i="15"/>
  <c r="C2" i="41"/>
  <c r="C17" i="41" s="1"/>
  <c r="C12" i="41" s="1"/>
  <c r="C18" i="41" s="1"/>
  <c r="C2" i="19"/>
  <c r="C17" i="19" s="1"/>
  <c r="C12" i="19" s="1"/>
  <c r="C18" i="19" s="1"/>
  <c r="G3" i="19"/>
  <c r="C2" i="20"/>
  <c r="C17" i="20" s="1"/>
  <c r="C12" i="20" s="1"/>
  <c r="C18" i="20" s="1"/>
  <c r="H6" i="20"/>
  <c r="L6" i="20" s="1"/>
  <c r="N6" i="20" s="1"/>
  <c r="R6" i="20" s="1"/>
  <c r="F3" i="20"/>
  <c r="F17" i="20" s="1"/>
  <c r="F12" i="20" s="1"/>
  <c r="F18" i="20" s="1"/>
  <c r="H6" i="14"/>
  <c r="L6" i="14" s="1"/>
  <c r="N6" i="14" s="1"/>
  <c r="R6" i="14" s="1"/>
  <c r="Q8" i="26"/>
  <c r="Q8" i="41"/>
  <c r="B17" i="19"/>
  <c r="B12" i="19" s="1"/>
  <c r="B18" i="19" s="1"/>
  <c r="N7" i="41"/>
  <c r="R7" i="41" s="1"/>
  <c r="G4" i="20"/>
  <c r="L4" i="20" s="1"/>
  <c r="N4" i="20" s="1"/>
  <c r="R4" i="20" s="1"/>
  <c r="Q16" i="19"/>
  <c r="L16" i="29"/>
  <c r="R16" i="29" s="1"/>
  <c r="K10" i="35"/>
  <c r="L10" i="35" s="1"/>
  <c r="N10" i="35" s="1"/>
  <c r="R10" i="35" s="1"/>
  <c r="G4" i="19"/>
  <c r="L4" i="19" s="1"/>
  <c r="N4" i="19" s="1"/>
  <c r="R4" i="19" s="1"/>
  <c r="Q8" i="33"/>
  <c r="K9" i="41"/>
  <c r="L9" i="41" s="1"/>
  <c r="N9" i="41" s="1"/>
  <c r="R9" i="41" s="1"/>
  <c r="K9" i="20"/>
  <c r="L9" i="20" s="1"/>
  <c r="N9" i="20" s="1"/>
  <c r="R9" i="20" s="1"/>
  <c r="R7" i="20"/>
  <c r="Q8" i="36"/>
  <c r="Q8" i="38"/>
  <c r="K9" i="14"/>
  <c r="L9" i="14" s="1"/>
  <c r="N9" i="14" s="1"/>
  <c r="R9" i="14" s="1"/>
  <c r="Q8" i="16"/>
  <c r="Q8" i="31"/>
  <c r="Q8" i="32"/>
  <c r="Q8" i="20"/>
  <c r="Q8" i="43"/>
  <c r="Q8" i="22"/>
  <c r="K10" i="20"/>
  <c r="L10" i="20" s="1"/>
  <c r="N10" i="20" s="1"/>
  <c r="K10" i="15"/>
  <c r="L10" i="15" s="1"/>
  <c r="N10" i="15" s="1"/>
  <c r="R10" i="15" s="1"/>
  <c r="K10" i="19"/>
  <c r="L10" i="19" s="1"/>
  <c r="N10" i="19" s="1"/>
  <c r="R10" i="19" s="1"/>
  <c r="Q8" i="39"/>
  <c r="L16" i="15"/>
  <c r="Q16" i="15" s="1"/>
  <c r="Q8" i="17"/>
  <c r="Q8" i="18"/>
  <c r="I18" i="18" s="1"/>
  <c r="J18" i="18" s="1"/>
  <c r="Q8" i="21"/>
  <c r="Q8" i="19"/>
  <c r="J8" i="19" s="1"/>
  <c r="J17" i="19" s="1"/>
  <c r="J13" i="19" s="1"/>
  <c r="K10" i="14"/>
  <c r="L10" i="14" s="1"/>
  <c r="N10" i="14" s="1"/>
  <c r="R10" i="14" s="1"/>
  <c r="G4" i="14"/>
  <c r="L4" i="14" s="1"/>
  <c r="N4" i="14" s="1"/>
  <c r="R4" i="14" s="1"/>
  <c r="K9" i="15"/>
  <c r="L9" i="15" s="1"/>
  <c r="N9" i="15" s="1"/>
  <c r="R9" i="15" s="1"/>
  <c r="G4" i="15"/>
  <c r="Q8" i="42"/>
  <c r="Q8" i="28"/>
  <c r="Q8" i="11"/>
  <c r="Q8" i="34"/>
  <c r="I18" i="34" s="1"/>
  <c r="J18" i="34" s="1"/>
  <c r="L16" i="41"/>
  <c r="R16" i="41" s="1"/>
  <c r="K10" i="41"/>
  <c r="L10" i="41" s="1"/>
  <c r="N10" i="41" s="1"/>
  <c r="R10" i="41" s="1"/>
  <c r="Q8" i="40"/>
  <c r="K9" i="19"/>
  <c r="L9" i="19" s="1"/>
  <c r="N9" i="19" s="1"/>
  <c r="R9" i="19" s="1"/>
  <c r="K9" i="35"/>
  <c r="L9" i="35" s="1"/>
  <c r="N9" i="35" s="1"/>
  <c r="R9" i="35" s="1"/>
  <c r="F5" i="26"/>
  <c r="Q8" i="23"/>
  <c r="L16" i="20"/>
  <c r="Q16" i="20" s="1"/>
  <c r="Q8" i="37"/>
  <c r="R16" i="14"/>
  <c r="Q8" i="27"/>
  <c r="Q8" i="14"/>
  <c r="B17" i="14"/>
  <c r="B12" i="14" s="1"/>
  <c r="B18" i="14" s="1"/>
  <c r="Q8" i="15"/>
  <c r="G4" i="41"/>
  <c r="L4" i="41" s="1"/>
  <c r="N4" i="41" s="1"/>
  <c r="R4" i="41" s="1"/>
  <c r="H6" i="19"/>
  <c r="H17" i="19" s="1"/>
  <c r="Q8" i="29"/>
  <c r="I18" i="29" s="1"/>
  <c r="Q8" i="30"/>
  <c r="L16" i="35"/>
  <c r="B17" i="35"/>
  <c r="B12" i="35" s="1"/>
  <c r="B18" i="35" s="1"/>
  <c r="H6" i="35"/>
  <c r="L6" i="35" s="1"/>
  <c r="N6" i="35" s="1"/>
  <c r="R6" i="35" s="1"/>
  <c r="F5" i="35"/>
  <c r="F3" i="35" s="1"/>
  <c r="F17" i="35" s="1"/>
  <c r="F12" i="35" s="1"/>
  <c r="F18" i="35" s="1"/>
  <c r="Q8" i="35"/>
  <c r="Q8" i="24"/>
  <c r="H6" i="41"/>
  <c r="L6" i="41" s="1"/>
  <c r="N6" i="41" s="1"/>
  <c r="R6" i="41" s="1"/>
  <c r="F5" i="41"/>
  <c r="F3" i="41" s="1"/>
  <c r="G3" i="41" s="1"/>
  <c r="H6" i="15"/>
  <c r="L6" i="15" s="1"/>
  <c r="N6" i="15" s="1"/>
  <c r="R6" i="15" s="1"/>
  <c r="D18" i="41"/>
  <c r="D18" i="15"/>
  <c r="D18" i="14"/>
  <c r="B18" i="20"/>
  <c r="G5" i="18" l="1"/>
  <c r="J8" i="41"/>
  <c r="J17" i="41" s="1"/>
  <c r="J13" i="41" s="1"/>
  <c r="I8" i="41"/>
  <c r="J8" i="34"/>
  <c r="J17" i="34" s="1"/>
  <c r="J13" i="34" s="1"/>
  <c r="I8" i="34"/>
  <c r="I17" i="34" s="1"/>
  <c r="I13" i="34" s="1"/>
  <c r="H12" i="34"/>
  <c r="H18" i="34" s="1"/>
  <c r="L7" i="34"/>
  <c r="N7" i="34" s="1"/>
  <c r="R7" i="34" s="1"/>
  <c r="K17" i="34"/>
  <c r="L16" i="34"/>
  <c r="G3" i="35"/>
  <c r="G5" i="35" s="1"/>
  <c r="L3" i="34"/>
  <c r="N3" i="34" s="1"/>
  <c r="R3" i="34" s="1"/>
  <c r="G5" i="29"/>
  <c r="G17" i="29" s="1"/>
  <c r="G12" i="29" s="1"/>
  <c r="G18" i="29" s="1"/>
  <c r="L7" i="29"/>
  <c r="N7" i="29" s="1"/>
  <c r="R7" i="29" s="1"/>
  <c r="J18" i="29"/>
  <c r="J8" i="29" s="1"/>
  <c r="J17" i="29" s="1"/>
  <c r="J13" i="29" s="1"/>
  <c r="I8" i="29"/>
  <c r="H12" i="29"/>
  <c r="H18" i="29" s="1"/>
  <c r="K17" i="29"/>
  <c r="I8" i="19"/>
  <c r="L2" i="19"/>
  <c r="P2" i="19" s="1"/>
  <c r="N2" i="19" s="1"/>
  <c r="R2" i="19" s="1"/>
  <c r="L2" i="29"/>
  <c r="P2" i="29" s="1"/>
  <c r="N2" i="29" s="1"/>
  <c r="R2" i="29" s="1"/>
  <c r="L2" i="14"/>
  <c r="P2" i="14" s="1"/>
  <c r="N2" i="14" s="1"/>
  <c r="R2" i="14" s="1"/>
  <c r="L2" i="34"/>
  <c r="P2" i="34" s="1"/>
  <c r="N2" i="34" s="1"/>
  <c r="R2" i="34" s="1"/>
  <c r="L2" i="41"/>
  <c r="P2" i="41" s="1"/>
  <c r="N2" i="41" s="1"/>
  <c r="R2" i="41" s="1"/>
  <c r="L2" i="20"/>
  <c r="P2" i="20" s="1"/>
  <c r="N2" i="20" s="1"/>
  <c r="R2" i="20" s="1"/>
  <c r="L2" i="15"/>
  <c r="P2" i="15" s="1"/>
  <c r="N2" i="15" s="1"/>
  <c r="R2" i="15" s="1"/>
  <c r="L2" i="35"/>
  <c r="P2" i="35" s="1"/>
  <c r="N2" i="35" s="1"/>
  <c r="R2" i="35" s="1"/>
  <c r="G3" i="20"/>
  <c r="L3" i="20" s="1"/>
  <c r="N3" i="20" s="1"/>
  <c r="R3" i="20" s="1"/>
  <c r="H17" i="20"/>
  <c r="H12" i="20" s="1"/>
  <c r="H18" i="20" s="1"/>
  <c r="H17" i="14"/>
  <c r="H12" i="14" s="1"/>
  <c r="H18" i="14" s="1"/>
  <c r="I8" i="35"/>
  <c r="I17" i="35" s="1"/>
  <c r="I13" i="35" s="1"/>
  <c r="J8" i="15"/>
  <c r="J17" i="15" s="1"/>
  <c r="J13" i="15" s="1"/>
  <c r="I18" i="14"/>
  <c r="J18" i="14" s="1"/>
  <c r="J8" i="14" s="1"/>
  <c r="J17" i="14" s="1"/>
  <c r="J13" i="14" s="1"/>
  <c r="J8" i="20"/>
  <c r="J17" i="20" s="1"/>
  <c r="J13" i="20" s="1"/>
  <c r="L3" i="14"/>
  <c r="N3" i="14" s="1"/>
  <c r="R3" i="14" s="1"/>
  <c r="G5" i="19"/>
  <c r="L5" i="19" s="1"/>
  <c r="Q16" i="29"/>
  <c r="Q11" i="20"/>
  <c r="M11" i="20" s="1"/>
  <c r="R10" i="20"/>
  <c r="Q11" i="34"/>
  <c r="M11" i="34" s="1"/>
  <c r="Q11" i="19"/>
  <c r="M11" i="19" s="1"/>
  <c r="K17" i="41"/>
  <c r="K17" i="19"/>
  <c r="Q11" i="35"/>
  <c r="M11" i="35" s="1"/>
  <c r="R16" i="15"/>
  <c r="G5" i="15"/>
  <c r="Q11" i="29"/>
  <c r="M11" i="29" s="1"/>
  <c r="Q16" i="41"/>
  <c r="K17" i="20"/>
  <c r="Q11" i="14"/>
  <c r="M11" i="14" s="1"/>
  <c r="K17" i="35"/>
  <c r="H12" i="19"/>
  <c r="H18" i="19" s="1"/>
  <c r="K17" i="15"/>
  <c r="L3" i="15"/>
  <c r="N3" i="15" s="1"/>
  <c r="R3" i="15" s="1"/>
  <c r="K17" i="14"/>
  <c r="Q11" i="15"/>
  <c r="M11" i="15" s="1"/>
  <c r="Q11" i="41"/>
  <c r="M11" i="41" s="1"/>
  <c r="H17" i="41"/>
  <c r="H12" i="41" s="1"/>
  <c r="H18" i="41" s="1"/>
  <c r="R16" i="20"/>
  <c r="H17" i="35"/>
  <c r="H12" i="35" s="1"/>
  <c r="H18" i="35" s="1"/>
  <c r="R16" i="35"/>
  <c r="Q16" i="35"/>
  <c r="H17" i="15"/>
  <c r="H12" i="15" s="1"/>
  <c r="H18" i="15" s="1"/>
  <c r="F17" i="41"/>
  <c r="F12" i="41" s="1"/>
  <c r="F18" i="41" s="1"/>
  <c r="L6" i="19"/>
  <c r="N6" i="19" s="1"/>
  <c r="R6" i="19" s="1"/>
  <c r="I17" i="41" l="1"/>
  <c r="I13" i="41" s="1"/>
  <c r="L8" i="41"/>
  <c r="N8" i="41" s="1"/>
  <c r="R8" i="41" s="1"/>
  <c r="L3" i="35"/>
  <c r="N3" i="35" s="1"/>
  <c r="R3" i="35" s="1"/>
  <c r="K13" i="34"/>
  <c r="K18" i="34" s="1"/>
  <c r="R16" i="34"/>
  <c r="Q16" i="34"/>
  <c r="K13" i="29"/>
  <c r="K18" i="29" s="1"/>
  <c r="I17" i="29"/>
  <c r="I13" i="29" s="1"/>
  <c r="L8" i="29"/>
  <c r="N8" i="29" s="1"/>
  <c r="R8" i="29" s="1"/>
  <c r="I17" i="19"/>
  <c r="I13" i="19" s="1"/>
  <c r="L8" i="19"/>
  <c r="N8" i="19" s="1"/>
  <c r="R8" i="19" s="1"/>
  <c r="R5" i="19"/>
  <c r="I8" i="20"/>
  <c r="L8" i="20" s="1"/>
  <c r="N8" i="20" s="1"/>
  <c r="R8" i="20" s="1"/>
  <c r="G5" i="14"/>
  <c r="L5" i="14" s="1"/>
  <c r="J8" i="35"/>
  <c r="J17" i="35" s="1"/>
  <c r="J13" i="35" s="1"/>
  <c r="I8" i="15"/>
  <c r="I17" i="15" s="1"/>
  <c r="I13" i="15" s="1"/>
  <c r="I8" i="14"/>
  <c r="I17" i="14" s="1"/>
  <c r="I13" i="14" s="1"/>
  <c r="R11" i="34"/>
  <c r="R11" i="15"/>
  <c r="R11" i="14"/>
  <c r="R11" i="35"/>
  <c r="R11" i="20"/>
  <c r="R11" i="41"/>
  <c r="R11" i="29"/>
  <c r="R11" i="19"/>
  <c r="L3" i="19"/>
  <c r="K13" i="20"/>
  <c r="K18" i="20" s="1"/>
  <c r="G17" i="19"/>
  <c r="G12" i="19" s="1"/>
  <c r="G18" i="19" s="1"/>
  <c r="Q5" i="19"/>
  <c r="E17" i="19" s="1"/>
  <c r="E12" i="19" s="1"/>
  <c r="E18" i="19" s="1"/>
  <c r="K13" i="19"/>
  <c r="K18" i="19" s="1"/>
  <c r="K13" i="35"/>
  <c r="K18" i="35" s="1"/>
  <c r="K13" i="14"/>
  <c r="K18" i="14" s="1"/>
  <c r="G5" i="20"/>
  <c r="L5" i="20" s="1"/>
  <c r="K13" i="15"/>
  <c r="K18" i="15" s="1"/>
  <c r="K13" i="41"/>
  <c r="K18" i="41" s="1"/>
  <c r="L3" i="41"/>
  <c r="N3" i="41" s="1"/>
  <c r="R3" i="41" s="1"/>
  <c r="G5" i="41"/>
  <c r="L5" i="41" s="1"/>
  <c r="L5" i="15"/>
  <c r="E14" i="34" l="1"/>
  <c r="E14" i="29"/>
  <c r="R5" i="20"/>
  <c r="Q5" i="14"/>
  <c r="E17" i="14" s="1"/>
  <c r="E12" i="14" s="1"/>
  <c r="E18" i="14" s="1"/>
  <c r="N3" i="19"/>
  <c r="R3" i="19" s="1"/>
  <c r="L8" i="34"/>
  <c r="N8" i="34" s="1"/>
  <c r="R8" i="34" s="1"/>
  <c r="R5" i="14"/>
  <c r="I17" i="20"/>
  <c r="I13" i="20" s="1"/>
  <c r="E14" i="20" s="1"/>
  <c r="L8" i="14"/>
  <c r="N8" i="14" s="1"/>
  <c r="R8" i="14" s="1"/>
  <c r="G17" i="14"/>
  <c r="G12" i="14" s="1"/>
  <c r="G18" i="14" s="1"/>
  <c r="L8" i="15"/>
  <c r="N8" i="15" s="1"/>
  <c r="R8" i="15" s="1"/>
  <c r="L8" i="35"/>
  <c r="N8" i="35" s="1"/>
  <c r="R8" i="35" s="1"/>
  <c r="L12" i="19"/>
  <c r="R12" i="19" s="1"/>
  <c r="L17" i="19"/>
  <c r="R17" i="19" s="1"/>
  <c r="E14" i="19"/>
  <c r="L13" i="19"/>
  <c r="L13" i="34"/>
  <c r="G17" i="41"/>
  <c r="G12" i="41" s="1"/>
  <c r="G18" i="41" s="1"/>
  <c r="L13" i="14"/>
  <c r="E14" i="14"/>
  <c r="L13" i="35"/>
  <c r="E14" i="35"/>
  <c r="G17" i="20"/>
  <c r="G12" i="20" s="1"/>
  <c r="G18" i="20" s="1"/>
  <c r="Q5" i="20"/>
  <c r="E17" i="20" s="1"/>
  <c r="E12" i="20" s="1"/>
  <c r="E18" i="20" s="1"/>
  <c r="E14" i="15"/>
  <c r="L13" i="15"/>
  <c r="L13" i="41"/>
  <c r="L13" i="29"/>
  <c r="E14" i="41"/>
  <c r="R5" i="41"/>
  <c r="Q5" i="41"/>
  <c r="E17" i="41" s="1"/>
  <c r="G17" i="15"/>
  <c r="G12" i="15" s="1"/>
  <c r="G18" i="15" s="1"/>
  <c r="L4" i="15"/>
  <c r="Q5" i="15"/>
  <c r="E17" i="15" s="1"/>
  <c r="R5" i="15"/>
  <c r="G5" i="34" l="1"/>
  <c r="G4" i="34" s="1"/>
  <c r="G17" i="34" s="1"/>
  <c r="G12" i="34" s="1"/>
  <c r="G18" i="34" s="1"/>
  <c r="L13" i="20"/>
  <c r="L4" i="35"/>
  <c r="N4" i="35" s="1"/>
  <c r="R4" i="35" s="1"/>
  <c r="L14" i="20"/>
  <c r="R14" i="20" s="1"/>
  <c r="L14" i="41"/>
  <c r="Q14" i="41" s="1"/>
  <c r="L14" i="14"/>
  <c r="Q14" i="14" s="1"/>
  <c r="L14" i="15"/>
  <c r="R14" i="15" s="1"/>
  <c r="L12" i="14"/>
  <c r="R12" i="14" s="1"/>
  <c r="L17" i="14"/>
  <c r="R17" i="14" s="1"/>
  <c r="L14" i="19"/>
  <c r="Q14" i="19" s="1"/>
  <c r="E15" i="19"/>
  <c r="Q17" i="19"/>
  <c r="Q12" i="19"/>
  <c r="L14" i="34"/>
  <c r="R14" i="34" s="1"/>
  <c r="E15" i="14"/>
  <c r="L14" i="35"/>
  <c r="Q14" i="35" s="1"/>
  <c r="E15" i="20"/>
  <c r="L17" i="20"/>
  <c r="R17" i="20" s="1"/>
  <c r="L12" i="20"/>
  <c r="Q12" i="20" s="1"/>
  <c r="E15" i="41"/>
  <c r="L14" i="29"/>
  <c r="Q14" i="29" s="1"/>
  <c r="E12" i="41"/>
  <c r="L17" i="41"/>
  <c r="N4" i="15"/>
  <c r="R4" i="15" s="1"/>
  <c r="E12" i="15"/>
  <c r="E15" i="15"/>
  <c r="L17" i="15"/>
  <c r="L4" i="34" l="1"/>
  <c r="N4" i="34" s="1"/>
  <c r="R4" i="34" s="1"/>
  <c r="Q14" i="20"/>
  <c r="R14" i="14"/>
  <c r="L5" i="35"/>
  <c r="L5" i="34"/>
  <c r="M13" i="14"/>
  <c r="L15" i="41"/>
  <c r="Q15" i="41" s="1"/>
  <c r="R14" i="41"/>
  <c r="Q14" i="15"/>
  <c r="Q17" i="14"/>
  <c r="L15" i="20"/>
  <c r="Q15" i="20" s="1"/>
  <c r="Q12" i="14"/>
  <c r="G17" i="35"/>
  <c r="G12" i="35" s="1"/>
  <c r="G18" i="35" s="1"/>
  <c r="R14" i="19"/>
  <c r="L15" i="19"/>
  <c r="R15" i="19" s="1"/>
  <c r="M13" i="19"/>
  <c r="Q14" i="34"/>
  <c r="L15" i="14"/>
  <c r="Q15" i="14" s="1"/>
  <c r="M13" i="20"/>
  <c r="R14" i="35"/>
  <c r="R14" i="29"/>
  <c r="R12" i="20"/>
  <c r="M13" i="41"/>
  <c r="Q17" i="20"/>
  <c r="R17" i="41"/>
  <c r="Q17" i="41"/>
  <c r="E18" i="41"/>
  <c r="L12" i="41"/>
  <c r="M13" i="15"/>
  <c r="L15" i="15"/>
  <c r="E18" i="15"/>
  <c r="L12" i="15"/>
  <c r="R17" i="15"/>
  <c r="Q17" i="15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R5" i="34" l="1"/>
  <c r="Q5" i="35"/>
  <c r="E17" i="35" s="1"/>
  <c r="E12" i="35" s="1"/>
  <c r="E18" i="35" s="1"/>
  <c r="Q13" i="14"/>
  <c r="Q13" i="20"/>
  <c r="Q13" i="41"/>
  <c r="R13" i="19"/>
  <c r="R5" i="35"/>
  <c r="Q15" i="19"/>
  <c r="Q5" i="34"/>
  <c r="E17" i="34" s="1"/>
  <c r="R13" i="14"/>
  <c r="R15" i="20"/>
  <c r="R15" i="41"/>
  <c r="Q13" i="19"/>
  <c r="R15" i="14"/>
  <c r="R13" i="20"/>
  <c r="R13" i="41"/>
  <c r="Q12" i="41"/>
  <c r="R12" i="41"/>
  <c r="N4" i="39"/>
  <c r="R4" i="39" s="1"/>
  <c r="R12" i="15"/>
  <c r="Q12" i="15"/>
  <c r="Q15" i="15"/>
  <c r="R15" i="15"/>
  <c r="Q13" i="15"/>
  <c r="R13" i="15"/>
  <c r="D17" i="39"/>
  <c r="D12" i="39" s="1"/>
  <c r="D17" i="38"/>
  <c r="D12" i="38" s="1"/>
  <c r="D17" i="40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E15" i="34" l="1"/>
  <c r="L15" i="34" s="1"/>
  <c r="Q15" i="34" s="1"/>
  <c r="E12" i="34"/>
  <c r="E18" i="34" s="1"/>
  <c r="L17" i="35"/>
  <c r="R17" i="35" s="1"/>
  <c r="E15" i="35"/>
  <c r="L12" i="35"/>
  <c r="R12" i="35" s="1"/>
  <c r="L17" i="34"/>
  <c r="R17" i="34" s="1"/>
  <c r="D18" i="36"/>
  <c r="D18" i="38"/>
  <c r="D18" i="39"/>
  <c r="D12" i="43"/>
  <c r="D12" i="42"/>
  <c r="D12" i="40"/>
  <c r="M13" i="34" l="1"/>
  <c r="Q13" i="34" s="1"/>
  <c r="R15" i="34"/>
  <c r="M13" i="35"/>
  <c r="R13" i="35" s="1"/>
  <c r="Q17" i="35"/>
  <c r="L15" i="35"/>
  <c r="R15" i="35" s="1"/>
  <c r="Q12" i="35"/>
  <c r="Q17" i="34"/>
  <c r="L12" i="34"/>
  <c r="R12" i="34" s="1"/>
  <c r="D18" i="42"/>
  <c r="D18" i="43"/>
  <c r="D18" i="40"/>
  <c r="R13" i="34" l="1"/>
  <c r="Q13" i="35"/>
  <c r="Q15" i="35"/>
  <c r="Q12" i="34"/>
  <c r="D2" i="33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K9" i="30"/>
  <c r="Q11" i="30" s="1"/>
  <c r="B16" i="38"/>
  <c r="H7" i="30"/>
  <c r="H7" i="28"/>
  <c r="K9" i="39"/>
  <c r="Q11" i="39" s="1"/>
  <c r="K9" i="40"/>
  <c r="Q11" i="40" s="1"/>
  <c r="K9" i="26"/>
  <c r="Q11" i="26" s="1"/>
  <c r="K9" i="23"/>
  <c r="Q11" i="23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6"/>
  <c r="B16" i="17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6" i="17"/>
  <c r="H6" i="16"/>
  <c r="K9" i="18"/>
  <c r="K9" i="21"/>
  <c r="H6" i="18"/>
  <c r="H6" i="11"/>
  <c r="H6" i="21"/>
  <c r="K9" i="22"/>
  <c r="H6" i="22"/>
  <c r="K9" i="17"/>
  <c r="H7" i="11"/>
  <c r="L7" i="11" s="1"/>
  <c r="N7" i="11" s="1"/>
  <c r="R7" i="11" s="1"/>
  <c r="H7" i="16"/>
  <c r="H7" i="17"/>
  <c r="F17" i="11" l="1"/>
  <c r="F12" i="11" s="1"/>
  <c r="F18" i="11" s="1"/>
  <c r="G3" i="11"/>
  <c r="F17" i="22"/>
  <c r="F12" i="22" s="1"/>
  <c r="F18" i="22" s="1"/>
  <c r="G3" i="22"/>
  <c r="F17" i="17"/>
  <c r="F12" i="17" s="1"/>
  <c r="F18" i="17" s="1"/>
  <c r="G3" i="17"/>
  <c r="F17" i="16"/>
  <c r="F12" i="16" s="1"/>
  <c r="F18" i="16" s="1"/>
  <c r="G3" i="16"/>
  <c r="F17" i="18"/>
  <c r="F12" i="18" s="1"/>
  <c r="F18" i="18" s="1"/>
  <c r="Q11" i="11"/>
  <c r="Q11" i="17"/>
  <c r="Q11" i="18"/>
  <c r="Q11" i="22"/>
  <c r="Q11" i="16"/>
  <c r="Q11" i="21"/>
  <c r="Q11" i="37"/>
  <c r="N2" i="33"/>
  <c r="R2" i="33" s="1"/>
  <c r="N2" i="28"/>
  <c r="R2" i="28" s="1"/>
  <c r="N2" i="40"/>
  <c r="R2" i="40" s="1"/>
  <c r="N2" i="39"/>
  <c r="R2" i="39" s="1"/>
  <c r="N2" i="31"/>
  <c r="R2" i="31" s="1"/>
  <c r="N2" i="26"/>
  <c r="R2" i="26" s="1"/>
  <c r="N2" i="38"/>
  <c r="R2" i="38" s="1"/>
  <c r="N2" i="27"/>
  <c r="R2" i="27" s="1"/>
  <c r="N2" i="42"/>
  <c r="N2" i="32"/>
  <c r="R2" i="32" s="1"/>
  <c r="N2" i="24"/>
  <c r="R2" i="24" s="1"/>
  <c r="N2" i="43"/>
  <c r="N2" i="30"/>
  <c r="R2" i="30" s="1"/>
  <c r="L16" i="37"/>
  <c r="R16" i="37" s="1"/>
  <c r="B17" i="39"/>
  <c r="B12" i="39" s="1"/>
  <c r="B18" i="39" s="1"/>
  <c r="B16" i="36"/>
  <c r="L16" i="36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K17" i="24"/>
  <c r="L9" i="24"/>
  <c r="N9" i="24" s="1"/>
  <c r="R9" i="24" s="1"/>
  <c r="L7" i="39"/>
  <c r="N7" i="39" s="1"/>
  <c r="R7" i="39" s="1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7"/>
  <c r="B12" i="17" s="1"/>
  <c r="B18" i="17" s="1"/>
  <c r="L16" i="17"/>
  <c r="K17" i="18"/>
  <c r="K17" i="21"/>
  <c r="K17" i="17"/>
  <c r="L9" i="16"/>
  <c r="N9" i="16" s="1"/>
  <c r="R9" i="16" s="1"/>
  <c r="K17" i="16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N2" i="16"/>
  <c r="N2" i="11"/>
  <c r="R2" i="11" s="1"/>
  <c r="N2" i="17"/>
  <c r="R2" i="17" s="1"/>
  <c r="N2" i="21"/>
  <c r="R2" i="21" s="1"/>
  <c r="N2" i="18"/>
  <c r="R2" i="18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7"/>
  <c r="N9" i="17" s="1"/>
  <c r="R9" i="17" s="1"/>
  <c r="L7" i="17"/>
  <c r="L7" i="16"/>
  <c r="N7" i="16" s="1"/>
  <c r="R7" i="16" s="1"/>
  <c r="F17" i="21" l="1"/>
  <c r="F12" i="21" s="1"/>
  <c r="F18" i="21" s="1"/>
  <c r="G3" i="21"/>
  <c r="D18" i="37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N4" i="37"/>
  <c r="R4" i="37" s="1"/>
  <c r="M11" i="36"/>
  <c r="M11" i="24"/>
  <c r="M11" i="38"/>
  <c r="M11" i="11"/>
  <c r="M11" i="26"/>
  <c r="M11" i="30"/>
  <c r="M11" i="27"/>
  <c r="M11" i="37"/>
  <c r="M11" i="33"/>
  <c r="M11" i="23"/>
  <c r="M11" i="31"/>
  <c r="M11" i="42"/>
  <c r="M11" i="39"/>
  <c r="M11" i="40"/>
  <c r="M11" i="32"/>
  <c r="M11" i="28"/>
  <c r="G5" i="11"/>
  <c r="G17" i="11" s="1"/>
  <c r="H17" i="17"/>
  <c r="H12" i="17" s="1"/>
  <c r="H18" i="17" s="1"/>
  <c r="I18" i="39"/>
  <c r="I18" i="30"/>
  <c r="I18" i="38"/>
  <c r="I18" i="27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27"/>
  <c r="Q16" i="27"/>
  <c r="Q16" i="43"/>
  <c r="R16" i="43"/>
  <c r="K13" i="27"/>
  <c r="K18" i="27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K13" i="37"/>
  <c r="K18" i="37" s="1"/>
  <c r="B16" i="23"/>
  <c r="R16" i="21"/>
  <c r="Q16" i="21"/>
  <c r="R16" i="17"/>
  <c r="Q16" i="17"/>
  <c r="R16" i="18"/>
  <c r="Q16" i="18"/>
  <c r="R16" i="11"/>
  <c r="Q16" i="11"/>
  <c r="R16" i="16"/>
  <c r="Q16" i="16"/>
  <c r="R16" i="22"/>
  <c r="Q16" i="22"/>
  <c r="R2" i="16"/>
  <c r="K13" i="11"/>
  <c r="K18" i="11" s="1"/>
  <c r="K13" i="16"/>
  <c r="K18" i="16" s="1"/>
  <c r="M11" i="17"/>
  <c r="M11" i="18"/>
  <c r="M11" i="16"/>
  <c r="M11" i="22"/>
  <c r="M11" i="21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R11" i="28" l="1"/>
  <c r="R11" i="30"/>
  <c r="R11" i="32"/>
  <c r="R11" i="26"/>
  <c r="R11" i="17"/>
  <c r="R11" i="40"/>
  <c r="R11" i="11"/>
  <c r="R11" i="39"/>
  <c r="R11" i="38"/>
  <c r="R11" i="21"/>
  <c r="R11" i="22"/>
  <c r="R11" i="42"/>
  <c r="R11" i="24"/>
  <c r="R11" i="36"/>
  <c r="R11" i="16"/>
  <c r="R11" i="31"/>
  <c r="R11" i="18"/>
  <c r="R11" i="23"/>
  <c r="R11" i="33"/>
  <c r="R11" i="37"/>
  <c r="R11" i="27"/>
  <c r="Q5" i="24"/>
  <c r="E17" i="24" s="1"/>
  <c r="E12" i="24" s="1"/>
  <c r="E18" i="24" s="1"/>
  <c r="Q5" i="30"/>
  <c r="E17" i="30" s="1"/>
  <c r="E12" i="30" s="1"/>
  <c r="E18" i="30" s="1"/>
  <c r="Q5" i="28"/>
  <c r="E17" i="28" s="1"/>
  <c r="E12" i="28" s="1"/>
  <c r="E18" i="28" s="1"/>
  <c r="Q5" i="22"/>
  <c r="Q5" i="31"/>
  <c r="Q5" i="40"/>
  <c r="R5" i="23"/>
  <c r="Q5" i="23"/>
  <c r="E17" i="23" s="1"/>
  <c r="E12" i="23" s="1"/>
  <c r="E18" i="23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R5" i="40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G17" i="28"/>
  <c r="G12" i="28" s="1"/>
  <c r="G18" i="28" s="1"/>
  <c r="G5" i="32"/>
  <c r="L5" i="32" s="1"/>
  <c r="G5" i="27"/>
  <c r="L5" i="27" s="1"/>
  <c r="L3" i="27"/>
  <c r="L3" i="37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J17" i="22"/>
  <c r="J13" i="22" s="1"/>
  <c r="J17" i="18"/>
  <c r="J13" i="18" s="1"/>
  <c r="L3" i="21"/>
  <c r="G17" i="22"/>
  <c r="G12" i="22" s="1"/>
  <c r="G18" i="22" s="1"/>
  <c r="G12" i="11"/>
  <c r="G18" i="11" s="1"/>
  <c r="N3" i="17"/>
  <c r="R3" i="17" s="1"/>
  <c r="R5" i="22"/>
  <c r="L5" i="16"/>
  <c r="G12" i="16"/>
  <c r="G18" i="16" s="1"/>
  <c r="G5" i="21"/>
  <c r="L5" i="21" s="1"/>
  <c r="I13" i="17"/>
  <c r="Q5" i="16" l="1"/>
  <c r="Q5" i="27"/>
  <c r="Q5" i="32"/>
  <c r="Q5" i="38"/>
  <c r="Q5" i="17"/>
  <c r="E17" i="17" s="1"/>
  <c r="E12" i="17" s="1"/>
  <c r="E18" i="17" s="1"/>
  <c r="Q5" i="43"/>
  <c r="Q5" i="42"/>
  <c r="Q5" i="39"/>
  <c r="Q5" i="33"/>
  <c r="Q5" i="26"/>
  <c r="Q5" i="21"/>
  <c r="Q5" i="36"/>
  <c r="N3" i="23"/>
  <c r="R3" i="23" s="1"/>
  <c r="J17" i="17"/>
  <c r="J13" i="17" s="1"/>
  <c r="E14" i="17" s="1"/>
  <c r="L8" i="11"/>
  <c r="N8" i="11" s="1"/>
  <c r="R8" i="11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13" i="26"/>
  <c r="L8" i="21"/>
  <c r="N8" i="21" s="1"/>
  <c r="R8" i="21" s="1"/>
  <c r="L8" i="26"/>
  <c r="N8" i="26" s="1"/>
  <c r="R8" i="26" s="1"/>
  <c r="L8" i="31"/>
  <c r="N8" i="31" s="1"/>
  <c r="R8" i="31" s="1"/>
  <c r="N3" i="27"/>
  <c r="R3" i="27" s="1"/>
  <c r="N3" i="28"/>
  <c r="R3" i="28" s="1"/>
  <c r="N3" i="31"/>
  <c r="R3" i="31" s="1"/>
  <c r="N3" i="24"/>
  <c r="R3" i="24" s="1"/>
  <c r="N3" i="16"/>
  <c r="R3" i="16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R5" i="33"/>
  <c r="R5" i="26"/>
  <c r="G17" i="36"/>
  <c r="G12" i="36" s="1"/>
  <c r="G18" i="36" s="1"/>
  <c r="R5" i="42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16"/>
  <c r="L13" i="16"/>
  <c r="L13" i="21"/>
  <c r="E14" i="21"/>
  <c r="G17" i="21"/>
  <c r="G12" i="21" s="1"/>
  <c r="G18" i="21" s="1"/>
  <c r="E14" i="11"/>
  <c r="E17" i="22"/>
  <c r="L17" i="22" s="1"/>
  <c r="R5" i="16"/>
  <c r="E14" i="22"/>
  <c r="L13" i="22"/>
  <c r="L13" i="18"/>
  <c r="E14" i="18"/>
  <c r="R5" i="21"/>
  <c r="L4" i="18" l="1"/>
  <c r="N4" i="18" s="1"/>
  <c r="R4" i="18" s="1"/>
  <c r="R11" i="43"/>
  <c r="Q5" i="37"/>
  <c r="L12" i="40"/>
  <c r="Q12" i="40" s="1"/>
  <c r="E18" i="40"/>
  <c r="L13" i="17"/>
  <c r="L14" i="11"/>
  <c r="Q14" i="11" s="1"/>
  <c r="L14" i="33"/>
  <c r="R14" i="33" s="1"/>
  <c r="L14" i="21"/>
  <c r="R14" i="21" s="1"/>
  <c r="L14" i="26"/>
  <c r="R14" i="26" s="1"/>
  <c r="L14" i="16"/>
  <c r="Q14" i="16" s="1"/>
  <c r="L14" i="31"/>
  <c r="R14" i="31" s="1"/>
  <c r="L17" i="28"/>
  <c r="Q17" i="28" s="1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R17" i="22"/>
  <c r="Q17" i="22"/>
  <c r="E12" i="22"/>
  <c r="E18" i="22" s="1"/>
  <c r="E17" i="21"/>
  <c r="L17" i="21" s="1"/>
  <c r="E17" i="16"/>
  <c r="L17" i="16" s="1"/>
  <c r="L14" i="18"/>
  <c r="L14" i="22"/>
  <c r="E15" i="22"/>
  <c r="L14" i="17"/>
  <c r="E15" i="17"/>
  <c r="L5" i="18" l="1"/>
  <c r="N5" i="18" s="1"/>
  <c r="L3" i="18"/>
  <c r="G17" i="18"/>
  <c r="G12" i="18" s="1"/>
  <c r="G18" i="18" s="1"/>
  <c r="R12" i="40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Q17" i="24"/>
  <c r="E15" i="26"/>
  <c r="L17" i="43"/>
  <c r="R17" i="43" s="1"/>
  <c r="L17" i="32"/>
  <c r="R17" i="32" s="1"/>
  <c r="E15" i="27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42"/>
  <c r="L12" i="32"/>
  <c r="L12" i="36"/>
  <c r="L12" i="38"/>
  <c r="R17" i="39"/>
  <c r="Q17" i="39"/>
  <c r="R12" i="23"/>
  <c r="Q12" i="23"/>
  <c r="R17" i="16"/>
  <c r="Q17" i="16"/>
  <c r="R17" i="21"/>
  <c r="Q17" i="21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Q13" i="31" l="1"/>
  <c r="N3" i="18"/>
  <c r="R3" i="18" s="1"/>
  <c r="Q5" i="18"/>
  <c r="E17" i="18" s="1"/>
  <c r="E15" i="18" s="1"/>
  <c r="R5" i="18"/>
  <c r="L12" i="27"/>
  <c r="Q12" i="27" s="1"/>
  <c r="E18" i="27"/>
  <c r="L12" i="39"/>
  <c r="R12" i="39" s="1"/>
  <c r="E18" i="39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M13" i="36"/>
  <c r="R17" i="33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L12" i="37"/>
  <c r="Q12" i="36"/>
  <c r="R12" i="36"/>
  <c r="R12" i="38"/>
  <c r="Q12" i="38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Q13" i="27" l="1"/>
  <c r="R13" i="33"/>
  <c r="R13" i="43"/>
  <c r="Q13" i="21"/>
  <c r="Q13" i="26"/>
  <c r="R13" i="36"/>
  <c r="Q13" i="16"/>
  <c r="R13" i="32"/>
  <c r="L17" i="18"/>
  <c r="R17" i="18" s="1"/>
  <c r="E12" i="18"/>
  <c r="L12" i="18" s="1"/>
  <c r="M13" i="18"/>
  <c r="L15" i="18"/>
  <c r="R12" i="27"/>
  <c r="Q12" i="39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Q13" i="37" l="1"/>
  <c r="E18" i="18"/>
  <c r="Q17" i="18"/>
  <c r="R15" i="18"/>
  <c r="Q15" i="18"/>
  <c r="Q13" i="18"/>
  <c r="R13" i="18"/>
  <c r="R12" i="18"/>
  <c r="Q12" i="18"/>
  <c r="R13" i="37"/>
  <c r="Q15" i="37"/>
  <c r="L3" i="11" l="1"/>
  <c r="C12" i="11"/>
  <c r="C18" i="11" s="1"/>
  <c r="N3" i="11" l="1"/>
  <c r="R3" i="11" s="1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Q13" i="11" l="1"/>
  <c r="R13" i="11"/>
  <c r="R15" i="11"/>
  <c r="Q15" i="11"/>
  <c r="R12" i="11"/>
  <c r="Q12" i="11"/>
  <c r="L5" i="29" l="1"/>
  <c r="L3" i="29"/>
  <c r="N3" i="29" l="1"/>
  <c r="R3" i="29" s="1"/>
  <c r="Q5" i="29"/>
  <c r="E17" i="29" s="1"/>
  <c r="R5" i="29"/>
  <c r="E15" i="29" l="1"/>
  <c r="E12" i="29"/>
  <c r="E18" i="29" s="1"/>
  <c r="L17" i="29"/>
  <c r="R17" i="29" s="1"/>
  <c r="L12" i="29" l="1"/>
  <c r="Q12" i="29" s="1"/>
  <c r="L15" i="29"/>
  <c r="R15" i="29" s="1"/>
  <c r="M13" i="29"/>
  <c r="Q17" i="29"/>
  <c r="R12" i="29" l="1"/>
  <c r="R13" i="29"/>
  <c r="Q15" i="29"/>
  <c r="Q13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<sst xmlns="http://schemas.openxmlformats.org/spreadsheetml/2006/main" count="1164" uniqueCount="109">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</sst>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7" sqref="B7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15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403919.35229321074</v>
      </c>
      <c r="D3" s="1">
        <f>VLOOKUP($B3, '[1]Pro of iron ore'!$B$2:$X$31, $A$1, FALSE)*(1-VLOOKUP($B3, '[1]Foundry share'!$B$2:$X$31, $A$1, FALSE))</f>
        <v>250703.02272522647</v>
      </c>
      <c r="E3" s="47">
        <f>VLOOKUP($B3, '[1]Iron content'!$B$2:$X$31, $A$1, FALSE)</f>
        <v>0.62067593766400586</v>
      </c>
      <c r="F3" s="1">
        <f>VLOOKUP($B3, '[1]Exp of usable iron ore'!$B$2:$X$31, $A$1, FALSE)*parameters!$B$12</f>
        <v>38.35</v>
      </c>
      <c r="G3" s="1">
        <f>VLOOKUP($B3, '[1]Pro of pig iron'!$B$2:$X$31, $A$1, FALSE)*(1-VLOOKUP($B3, '[1]Foundry share'!$B$2:$X$31, $A$1, FALSE))</f>
        <v>688706.37052500353</v>
      </c>
      <c r="H3" s="1">
        <f>VLOOKUP($B3, '[1]Exp of pig iron'!$B$2:$X$31, $A$1, FALSE)</f>
        <v>265</v>
      </c>
      <c r="I3" s="1">
        <f>VLOOKUP($B3, '[1]Imp of pig iron'!$B$2:$X$31, $A$1, FALSE)</f>
        <v>298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224</v>
      </c>
      <c r="L3" s="1">
        <f>VLOOKUP($B3, '[1]Imp of DRI'!$B$2:$X$31, $A$1, FALSE)</f>
        <v>606</v>
      </c>
      <c r="M3" s="1">
        <f>VLOOKUP($B3, '[1]Exp of scrap'!$B$2:$X$31, $A$1, FALSE)</f>
        <v>0</v>
      </c>
      <c r="N3" s="1">
        <f>VLOOKUP($B3, '[1]Imp of scrap'!$B$2:$X$31, $A$1, FALSE)</f>
        <v>4465</v>
      </c>
      <c r="O3" s="1">
        <f>VLOOKUP($B3, '[1]Pro of BOF steel'!$B$2:$X$31, $A$1, FALSE)</f>
        <v>764631</v>
      </c>
      <c r="P3" s="1">
        <f>VLOOKUP($B3, '[1]Pro of OHF steel'!$B$2:$X$31, $A$1, FALSE)</f>
        <v>0</v>
      </c>
      <c r="Q3" s="1">
        <f>VLOOKUP($B3, '[1]Pro of EAF steel'!$B$2:$X$31, $A$1, FALSE)</f>
        <v>48444</v>
      </c>
      <c r="R3" s="1">
        <f>VLOOKUP($B3, '[1]Exp of ingots and semis'!$B$2:$X$31, $A$1, FALSE)</f>
        <v>4</v>
      </c>
      <c r="S3" s="1">
        <f>VLOOKUP($B3, '[1]Imp of ingots and semis'!$B$2:$X$31, $A$1, FALSE)</f>
        <v>611</v>
      </c>
      <c r="T3" s="1">
        <f>VLOOKUP($B3, '[1]Pro of hr long'!$B$2:$X$31, $A$1, FALSE)+VLOOKUP($B3, '[1]Pro of seamless tubes'!$B$2:$X$31, $A$1, FALSE)</f>
        <v>547957</v>
      </c>
      <c r="U3" s="1">
        <f>VLOOKUP($B3, '[1]Exp of long'!$B$2:$X$31, $A$1, FALSE)</f>
        <v>23512</v>
      </c>
      <c r="V3" s="1">
        <f>VLOOKUP($B3, '[1]Imp of long'!$B$2:$X$31, $A$1, FALSE)</f>
        <v>1723</v>
      </c>
      <c r="W3" s="1">
        <f>VLOOKUP($B3, '[1]Pro of hr flat'!$B$2:$X$31, $A$1, FALSE)*parameters!$B$8</f>
        <v>302700.15931721195</v>
      </c>
      <c r="X3" s="1">
        <f>VLOOKUP($B3, '[1]Exp of flat'!$B$2:$X$31, $A$1, FALSE)</f>
        <v>27642</v>
      </c>
      <c r="Y3" s="1">
        <f>VLOOKUP($B3, '[1]Imp of flat'!$B$2:$X$31, $A$1, FALSE)</f>
        <v>11885</v>
      </c>
      <c r="Z3" s="1">
        <f>VLOOKUP($B3, '[1]Indirect exp'!$B$2:$X$31, $A$1, FALSE)</f>
        <v>67239</v>
      </c>
      <c r="AA3" s="1">
        <f>VLOOKUP($B3, '[1]Indirect imp'!$B$2:$X$31, $A$1, FALSE)</f>
        <v>12577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132271.55924532187</v>
      </c>
      <c r="D4" s="1">
        <f>VLOOKUP($B4, '[1]Pro of iron ore'!$B$2:$X$31, $A$1, FALSE)*(1-VLOOKUP($B4, '[1]Foundry share'!$B$2:$X$31, $A$1, FALSE))</f>
        <v>81567.157827112605</v>
      </c>
      <c r="E4" s="47">
        <f>VLOOKUP($B4, '[1]Iron content'!$B$2:$X$31, $A$1, FALSE)</f>
        <v>0.61666437057592516</v>
      </c>
      <c r="F4" s="1">
        <f>VLOOKUP($B4, '[1]Exp of usable iron ore'!$B$2:$X$31, $A$1, FALSE)*parameters!$B$12</f>
        <v>9376.9</v>
      </c>
      <c r="G4" s="1">
        <f>VLOOKUP($B4, '[1]Pro of pig iron'!$B$2:$X$31, $A$1, FALSE)*(1-VLOOKUP($B4, '[1]Foundry share'!$B$2:$X$31, $A$1, FALSE))</f>
        <v>44566.038923858257</v>
      </c>
      <c r="H4" s="1">
        <f>VLOOKUP($B4, '[1]Exp of pig iron'!$B$2:$X$31, $A$1, FALSE)</f>
        <v>1063</v>
      </c>
      <c r="I4" s="1">
        <f>VLOOKUP($B4, '[1]Imp of pig iron'!$B$2:$X$31, $A$1, FALSE)</f>
        <v>46</v>
      </c>
      <c r="J4" s="1">
        <f>VLOOKUP($B4, '[1]Pro of DRI'!$B$2:$X$31, $A$1, FALSE)*(1-VLOOKUP($B4, '[1]Foundry share'!$B$2:$X$31, $A$1, FALSE))</f>
        <v>19623.843343193104</v>
      </c>
      <c r="K4" s="1">
        <f>VLOOKUP($B4, '[1]Exp of DRI'!$B$2:$X$31, $A$1, FALSE)</f>
        <v>117</v>
      </c>
      <c r="L4" s="1">
        <f>VLOOKUP($B4, '[1]Imp of DRI'!$B$2:$X$31, $A$1, FALSE)</f>
        <v>671</v>
      </c>
      <c r="M4" s="1">
        <f>VLOOKUP($B4, '[1]Exp of scrap'!$B$2:$X$31, $A$1, FALSE)</f>
        <v>0</v>
      </c>
      <c r="N4" s="1">
        <f>VLOOKUP($B4, '[1]Imp of scrap'!$B$2:$X$31, $A$1, FALSE)</f>
        <v>5632</v>
      </c>
      <c r="O4" s="1">
        <f>VLOOKUP($B4, '[1]Pro of BOF steel'!$B$2:$X$31, $A$1, FALSE)</f>
        <v>34773</v>
      </c>
      <c r="P4" s="1">
        <f>VLOOKUP($B4, '[1]Pro of OHF steel'!$B$2:$X$31, $A$1, FALSE)</f>
        <v>135</v>
      </c>
      <c r="Q4" s="1">
        <f>VLOOKUP($B4, '[1]Pro of EAF steel'!$B$2:$X$31, $A$1, FALSE)</f>
        <v>46391</v>
      </c>
      <c r="R4" s="1">
        <f>VLOOKUP($B4, '[1]Exp of ingots and semis'!$B$2:$X$31, $A$1, FALSE)</f>
        <v>1253</v>
      </c>
      <c r="S4" s="1">
        <f>VLOOKUP($B4, '[1]Imp of ingots and semis'!$B$2:$X$31, $A$1, FALSE)</f>
        <v>248</v>
      </c>
      <c r="T4" s="1">
        <f>VLOOKUP($B4, '[1]Pro of hr long'!$B$2:$X$31, $A$1, FALSE)+VLOOKUP($B4, '[1]Pro of seamless tubes'!$B$2:$X$31, $A$1, FALSE)</f>
        <v>38255</v>
      </c>
      <c r="U4" s="1">
        <f>VLOOKUP($B4, '[1]Exp of long'!$B$2:$X$31, $A$1, FALSE)</f>
        <v>776</v>
      </c>
      <c r="V4" s="1">
        <f>VLOOKUP($B4, '[1]Imp of long'!$B$2:$X$31, $A$1, FALSE)</f>
        <v>881</v>
      </c>
      <c r="W4" s="1">
        <f>VLOOKUP($B4, '[1]Pro of hr flat'!$B$2:$X$31, $A$1, FALSE)*parameters!$B$8</f>
        <v>45685.219061166426</v>
      </c>
      <c r="X4" s="1">
        <f>VLOOKUP($B4, '[1]Exp of flat'!$B$2:$X$31, $A$1, FALSE)</f>
        <v>6369</v>
      </c>
      <c r="Y4" s="1">
        <f>VLOOKUP($B4, '[1]Imp of flat'!$B$2:$X$31, $A$1, FALSE)</f>
        <v>5648</v>
      </c>
      <c r="Z4" s="1">
        <f>VLOOKUP($B4, '[1]Indirect exp'!$B$2:$X$31, $A$1, FALSE)</f>
        <v>4858</v>
      </c>
      <c r="AA4" s="1">
        <f>VLOOKUP($B4, '[1]Indirect imp'!$B$2:$X$31, $A$1, FALSE)</f>
        <v>5900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83849</v>
      </c>
      <c r="H5" s="1">
        <f>VLOOKUP($B5, '[1]Exp of pig iron'!$B$2:$X$31, $A$1, FALSE)</f>
        <v>283</v>
      </c>
      <c r="I5" s="1">
        <f>VLOOKUP($B5, '[1]Imp of pig iron'!$B$2:$X$31, $A$1, FALSE)</f>
        <v>121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63</v>
      </c>
      <c r="M5" s="1">
        <f>VLOOKUP($B5, '[1]Exp of scrap'!$B$2:$X$31, $A$1, FALSE)</f>
        <v>8150</v>
      </c>
      <c r="N5" s="1">
        <f>VLOOKUP($B5, '[1]Imp of scrap'!$B$2:$X$31, $A$1, FALSE)</f>
        <v>234</v>
      </c>
      <c r="O5" s="1">
        <f>VLOOKUP($B5, '[1]Pro of BOF steel'!$B$2:$X$31, $A$1, FALSE)</f>
        <v>85680</v>
      </c>
      <c r="P5" s="1">
        <f>VLOOKUP($B5, '[1]Pro of OHF steel'!$B$2:$X$31, $A$1, FALSE)</f>
        <v>0</v>
      </c>
      <c r="Q5" s="1">
        <f>VLOOKUP($B5, '[1]Pro of EAF steel'!$B$2:$X$31, $A$1, FALSE)</f>
        <v>24915</v>
      </c>
      <c r="R5" s="1">
        <f>VLOOKUP($B5, '[1]Exp of ingots and semis'!$B$2:$X$31, $A$1, FALSE)</f>
        <v>5966</v>
      </c>
      <c r="S5" s="1">
        <f>VLOOKUP($B5, '[1]Imp of ingots and semis'!$B$2:$X$31, $A$1, FALSE)</f>
        <v>165</v>
      </c>
      <c r="T5" s="1">
        <f>VLOOKUP($B5, '[1]Pro of hr long'!$B$2:$X$31, $A$1, FALSE)+VLOOKUP($B5, '[1]Pro of seamless tubes'!$B$2:$X$31, $A$1, FALSE)</f>
        <v>32388</v>
      </c>
      <c r="U5" s="1">
        <f>VLOOKUP($B5, '[1]Exp of long'!$B$2:$X$31, $A$1, FALSE)</f>
        <v>5226</v>
      </c>
      <c r="V5" s="1">
        <f>VLOOKUP($B5, '[1]Imp of long'!$B$2:$X$31, $A$1, FALSE)</f>
        <v>963</v>
      </c>
      <c r="W5" s="1">
        <f>VLOOKUP($B5, '[1]Pro of hr flat'!$B$2:$X$31, $A$1, FALSE)*parameters!$B$8</f>
        <v>62799.08108108108</v>
      </c>
      <c r="X5" s="1">
        <f>VLOOKUP($B5, '[1]Exp of flat'!$B$2:$X$31, $A$1, FALSE)</f>
        <v>28504</v>
      </c>
      <c r="Y5" s="1">
        <f>VLOOKUP($B5, '[1]Imp of flat'!$B$2:$X$31, $A$1, FALSE)</f>
        <v>3908</v>
      </c>
      <c r="Z5" s="1">
        <f>VLOOKUP($B5, '[1]Indirect exp'!$B$2:$X$31, $A$1, FALSE)</f>
        <v>24194</v>
      </c>
      <c r="AA5" s="1">
        <f>VLOOKUP($B5, '[1]Indirect imp'!$B$2:$X$31, $A$1, FALSE)</f>
        <v>7067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52800</v>
      </c>
      <c r="D6" s="1">
        <f>VLOOKUP($B6, '[1]Pro of iron ore'!$B$2:$X$31, $A$1, FALSE)*(1-VLOOKUP($B6, '[1]Foundry share'!$B$2:$X$31, $A$1, FALSE))</f>
        <v>33000</v>
      </c>
      <c r="E6" s="47">
        <f>VLOOKUP($B6, '[1]Iron content'!$B$2:$X$31, $A$1, FALSE)</f>
        <v>0.625</v>
      </c>
      <c r="F6" s="1">
        <f>VLOOKUP($B6, '[1]Exp of usable iron ore'!$B$2:$X$31, $A$1, FALSE)*parameters!$B$12</f>
        <v>7176.6500000000005</v>
      </c>
      <c r="G6" s="1">
        <f>VLOOKUP($B6, '[1]Pro of pig iron'!$B$2:$X$31, $A$1, FALSE)*(1-VLOOKUP($B6, '[1]Foundry share'!$B$2:$X$31, $A$1, FALSE))</f>
        <v>30308</v>
      </c>
      <c r="H6" s="1">
        <f>VLOOKUP($B6, '[1]Exp of pig iron'!$B$2:$X$31, $A$1, FALSE)</f>
        <v>44</v>
      </c>
      <c r="I6" s="1">
        <f>VLOOKUP($B6, '[1]Imp of pig iron'!$B$2:$X$31, $A$1, FALSE)</f>
        <v>4118</v>
      </c>
      <c r="J6" s="1">
        <f>VLOOKUP($B6, '[1]Pro of DRI'!$B$2:$X$31, $A$1, FALSE)*(1-VLOOKUP($B6, '[1]Foundry share'!$B$2:$X$31, $A$1, FALSE))</f>
        <v>0</v>
      </c>
      <c r="K6" s="1">
        <f>VLOOKUP($B6, '[1]Exp of DRI'!$B$2:$X$31, $A$1, FALSE)</f>
        <v>5</v>
      </c>
      <c r="L6" s="1">
        <f>VLOOKUP($B6, '[1]Imp of DRI'!$B$2:$X$31, $A$1, FALSE)</f>
        <v>2364</v>
      </c>
      <c r="M6" s="1">
        <f>VLOOKUP($B6, '[1]Exp of scrap'!$B$2:$X$31, $A$1, FALSE)</f>
        <v>18495</v>
      </c>
      <c r="N6" s="1">
        <f>VLOOKUP($B6, '[1]Imp of scrap'!$B$2:$X$31, $A$1, FALSE)</f>
        <v>3882</v>
      </c>
      <c r="O6" s="1">
        <f>VLOOKUP($B6, '[1]Pro of BOF steel'!$B$2:$X$31, $A$1, FALSE)</f>
        <v>34237</v>
      </c>
      <c r="P6" s="1">
        <f>VLOOKUP($B6, '[1]Pro of OHF steel'!$B$2:$X$31, $A$1, FALSE)</f>
        <v>0</v>
      </c>
      <c r="Q6" s="1">
        <f>VLOOKUP($B6, '[1]Pro of EAF steel'!$B$2:$X$31, $A$1, FALSE)</f>
        <v>52641</v>
      </c>
      <c r="R6" s="1">
        <f>VLOOKUP($B6, '[1]Exp of ingots and semis'!$B$2:$X$31, $A$1, FALSE)</f>
        <v>449</v>
      </c>
      <c r="S6" s="1">
        <f>VLOOKUP($B6, '[1]Imp of ingots and semis'!$B$2:$X$31, $A$1, FALSE)</f>
        <v>6638</v>
      </c>
      <c r="T6" s="1">
        <f>VLOOKUP($B6, '[1]Pro of hr long'!$B$2:$X$31, $A$1, FALSE)+VLOOKUP($B6, '[1]Pro of seamless tubes'!$B$2:$X$31, $A$1, FALSE)</f>
        <v>25464</v>
      </c>
      <c r="U6" s="1">
        <f>VLOOKUP($B6, '[1]Exp of long'!$B$2:$X$31, $A$1, FALSE)</f>
        <v>3108</v>
      </c>
      <c r="V6" s="1">
        <f>VLOOKUP($B6, '[1]Imp of long'!$B$2:$X$31, $A$1, FALSE)</f>
        <v>5418</v>
      </c>
      <c r="W6" s="1">
        <f>VLOOKUP($B6, '[1]Pro of hr flat'!$B$2:$X$31, $A$1, FALSE)*parameters!$B$8</f>
        <v>60631.551920341393</v>
      </c>
      <c r="X6" s="1">
        <f>VLOOKUP($B6, '[1]Exp of flat'!$B$2:$X$31, $A$1, FALSE)</f>
        <v>6591</v>
      </c>
      <c r="Y6" s="1">
        <f>VLOOKUP($B6, '[1]Imp of flat'!$B$2:$X$31, $A$1, FALSE)</f>
        <v>9824</v>
      </c>
      <c r="Z6" s="1">
        <f>VLOOKUP($B6, '[1]Indirect exp'!$B$2:$X$31, $A$1, FALSE)</f>
        <v>21315</v>
      </c>
      <c r="AA6" s="1">
        <f>VLOOKUP($B6, '[1]Indirect imp'!$B$2:$X$31, $A$1, FALSE)</f>
        <v>39088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102156</v>
      </c>
      <c r="D7" s="1">
        <f>VLOOKUP($B7, '[1]Pro of iron ore'!$B$2:$X$31, $A$1, FALSE)*(1-VLOOKUP($B7, '[1]Foundry share'!$B$2:$X$31, $A$1, FALSE))</f>
        <v>61800</v>
      </c>
      <c r="E7" s="47">
        <f>VLOOKUP($B7, '[1]Iron content'!$B$2:$X$31, $A$1, FALSE)</f>
        <v>0.60495712439797955</v>
      </c>
      <c r="F7" s="1">
        <f>VLOOKUP($B7, '[1]Exp of usable iron ore'!$B$2:$X$31, $A$1, FALSE)*parameters!$B$12</f>
        <v>16627</v>
      </c>
      <c r="G7" s="1">
        <f>VLOOKUP($B7, '[1]Pro of pig iron'!$B$2:$X$31, $A$1, FALSE)*(1-VLOOKUP($B7, '[1]Foundry share'!$B$2:$X$31, $A$1, FALSE))</f>
        <v>50111</v>
      </c>
      <c r="H7" s="1">
        <f>VLOOKUP($B7, '[1]Exp of pig iron'!$B$2:$X$31, $A$1, FALSE)</f>
        <v>3946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5329</v>
      </c>
      <c r="K7" s="1">
        <f>VLOOKUP($B7, '[1]Exp of DRI'!$B$2:$X$31, $A$1, FALSE)</f>
        <v>2062</v>
      </c>
      <c r="L7" s="1">
        <f>VLOOKUP($B7, '[1]Imp of DRI'!$B$2:$X$31, $A$1, FALSE)</f>
        <v>0</v>
      </c>
      <c r="M7" s="1">
        <f>VLOOKUP($B7, '[1]Exp of scrap'!$B$2:$X$31, $A$1, FALSE)</f>
        <v>3714</v>
      </c>
      <c r="N7" s="1">
        <f>VLOOKUP($B7, '[1]Imp of scrap'!$B$2:$X$31, $A$1, FALSE)</f>
        <v>5</v>
      </c>
      <c r="O7" s="1">
        <f>VLOOKUP($B7, '[1]Pro of BOF steel'!$B$2:$X$31, $A$1, FALSE)</f>
        <v>46101</v>
      </c>
      <c r="P7" s="1">
        <f>VLOOKUP($B7, '[1]Pro of OHF steel'!$B$2:$X$31, $A$1, FALSE)</f>
        <v>2744</v>
      </c>
      <c r="Q7" s="1">
        <f>VLOOKUP($B7, '[1]Pro of EAF steel'!$B$2:$X$31, $A$1, FALSE)</f>
        <v>20005</v>
      </c>
      <c r="R7" s="1">
        <f>VLOOKUP($B7, '[1]Exp of ingots and semis'!$B$2:$X$31, $A$1, FALSE)</f>
        <v>13783</v>
      </c>
      <c r="S7" s="1">
        <f>VLOOKUP($B7, '[1]Imp of ingots and semis'!$B$2:$X$31, $A$1, FALSE)</f>
        <v>21</v>
      </c>
      <c r="T7" s="1">
        <f>VLOOKUP($B7, '[1]Pro of hr long'!$B$2:$X$31, $A$1, FALSE)+VLOOKUP($B7, '[1]Pro of seamless tubes'!$B$2:$X$31, $A$1, FALSE)</f>
        <v>20826</v>
      </c>
      <c r="U7" s="1">
        <f>VLOOKUP($B7, '[1]Exp of long'!$B$2:$X$31, $A$1, FALSE)</f>
        <v>2199</v>
      </c>
      <c r="V7" s="1">
        <f>VLOOKUP($B7, '[1]Imp of long'!$B$2:$X$31, $A$1, FALSE)</f>
        <v>2768</v>
      </c>
      <c r="W7" s="1">
        <f>VLOOKUP($B7, '[1]Pro of hr flat'!$B$2:$X$31, $A$1, FALSE)*parameters!$B$8</f>
        <v>25396.33001422475</v>
      </c>
      <c r="X7" s="1">
        <f>VLOOKUP($B7, '[1]Exp of flat'!$B$2:$X$31, $A$1, FALSE)</f>
        <v>7017</v>
      </c>
      <c r="Y7" s="1">
        <f>VLOOKUP($B7, '[1]Imp of flat'!$B$2:$X$31, $A$1, FALSE)</f>
        <v>2950</v>
      </c>
      <c r="Z7" s="1">
        <f>VLOOKUP($B7, '[1]Indirect exp'!$B$2:$X$31, $A$1, FALSE)</f>
        <v>2056</v>
      </c>
      <c r="AA7" s="1">
        <f>VLOOKUP($B7, '[1]Indirect imp'!$B$2:$X$31, $A$1, FALSE)</f>
        <v>11000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41045</v>
      </c>
      <c r="H8" s="1">
        <f>VLOOKUP($B8, '[1]Exp of pig iron'!$B$2:$X$31, $A$1, FALSE)</f>
        <v>2</v>
      </c>
      <c r="I8" s="1">
        <f>VLOOKUP($B8, '[1]Imp of pig iron'!$B$2:$X$31, $A$1, FALSE)</f>
        <v>987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66</v>
      </c>
      <c r="L8" s="1">
        <f>VLOOKUP($B8, '[1]Imp of DRI'!$B$2:$X$31, $A$1, FALSE)</f>
        <v>644</v>
      </c>
      <c r="M8" s="1">
        <f>VLOOKUP($B8, '[1]Exp of scrap'!$B$2:$X$31, $A$1, FALSE)</f>
        <v>205</v>
      </c>
      <c r="N8" s="1">
        <f>VLOOKUP($B8, '[1]Imp of scrap'!$B$2:$X$31, $A$1, FALSE)</f>
        <v>9260</v>
      </c>
      <c r="O8" s="1">
        <f>VLOOKUP($B8, '[1]Pro of BOF steel'!$B$2:$X$31, $A$1, FALSE)</f>
        <v>40294</v>
      </c>
      <c r="P8" s="1">
        <f>VLOOKUP($B8, '[1]Pro of OHF steel'!$B$2:$X$31, $A$1, FALSE)</f>
        <v>0</v>
      </c>
      <c r="Q8" s="1">
        <f>VLOOKUP($B8, '[1]Pro of EAF steel'!$B$2:$X$31, $A$1, FALSE)</f>
        <v>25768</v>
      </c>
      <c r="R8" s="1">
        <f>VLOOKUP($B8, '[1]Exp of ingots and semis'!$B$2:$X$31, $A$1, FALSE)</f>
        <v>1346</v>
      </c>
      <c r="S8" s="1">
        <f>VLOOKUP($B8, '[1]Imp of ingots and semis'!$B$2:$X$31, $A$1, FALSE)</f>
        <v>2383</v>
      </c>
      <c r="T8" s="1">
        <f>VLOOKUP($B8, '[1]Pro of hr long'!$B$2:$X$31, $A$1, FALSE)+VLOOKUP($B8, '[1]Pro of seamless tubes'!$B$2:$X$31, $A$1, FALSE)</f>
        <v>20081</v>
      </c>
      <c r="U8" s="1">
        <f>VLOOKUP($B8, '[1]Exp of long'!$B$2:$X$31, $A$1, FALSE)</f>
        <v>3613</v>
      </c>
      <c r="V8" s="1">
        <f>VLOOKUP($B8, '[1]Imp of long'!$B$2:$X$31, $A$1, FALSE)</f>
        <v>4854</v>
      </c>
      <c r="W8" s="1">
        <f>VLOOKUP($B8, '[1]Pro of hr flat'!$B$2:$X$31, $A$1, FALSE)*parameters!$B$8</f>
        <v>43216.509246088193</v>
      </c>
      <c r="X8" s="1">
        <f>VLOOKUP($B8, '[1]Exp of flat'!$B$2:$X$31, $A$1, FALSE)</f>
        <v>20800</v>
      </c>
      <c r="Y8" s="1">
        <f>VLOOKUP($B8, '[1]Imp of flat'!$B$2:$X$31, $A$1, FALSE)</f>
        <v>10783</v>
      </c>
      <c r="Z8" s="1">
        <f>VLOOKUP($B8, '[1]Indirect exp'!$B$2:$X$31, $A$1, FALSE)</f>
        <v>22674</v>
      </c>
      <c r="AA8" s="1">
        <f>VLOOKUP($B8, '[1]Indirect imp'!$B$2:$X$31, $A$1, FALSE)</f>
        <v>6499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450</v>
      </c>
      <c r="D9" s="1">
        <f>VLOOKUP($B9, '[1]Pro of iron ore'!$B$2:$X$31, $A$1, FALSE)*(1-VLOOKUP($B9, '[1]Foundry share'!$B$2:$X$31, $A$1, FALSE))</f>
        <v>47.2</v>
      </c>
      <c r="E9" s="47">
        <f>VLOOKUP($B9, '[1]Iron content'!$B$2:$X$31, $A$1, FALSE)</f>
        <v>0.10488888888888889</v>
      </c>
      <c r="F9" s="1">
        <f>VLOOKUP($B9, '[1]Exp of usable iron ore'!$B$2:$X$31, $A$1, FALSE)*parameters!$B$12</f>
        <v>28.6</v>
      </c>
      <c r="G9" s="1">
        <f>VLOOKUP($B9, '[1]Pro of pig iron'!$B$2:$X$31, $A$1, FALSE)*(1-VLOOKUP($B9, '[1]Foundry share'!$B$2:$X$31, $A$1, FALSE))</f>
        <v>26678</v>
      </c>
      <c r="H9" s="1">
        <f>VLOOKUP($B9, '[1]Exp of pig iron'!$B$2:$X$31, $A$1, FALSE)</f>
        <v>137</v>
      </c>
      <c r="I9" s="1">
        <f>VLOOKUP($B9, '[1]Imp of pig iron'!$B$2:$X$31, $A$1, FALSE)</f>
        <v>448</v>
      </c>
      <c r="J9" s="1">
        <f>VLOOKUP($B9, '[1]Pro of DRI'!$B$2:$X$31, $A$1, FALSE)*(1-VLOOKUP($B9, '[1]Foundry share'!$B$2:$X$31, $A$1, FALSE))</f>
        <v>498</v>
      </c>
      <c r="K9" s="1">
        <f>VLOOKUP($B9, '[1]Exp of DRI'!$B$2:$X$31, $A$1, FALSE)</f>
        <v>0</v>
      </c>
      <c r="L9" s="1">
        <f>VLOOKUP($B9, '[1]Imp of DRI'!$B$2:$X$31, $A$1, FALSE)</f>
        <v>335</v>
      </c>
      <c r="M9" s="1">
        <f>VLOOKUP($B9, '[1]Exp of scrap'!$B$2:$X$31, $A$1, FALSE)</f>
        <v>8378</v>
      </c>
      <c r="N9" s="1">
        <f>VLOOKUP($B9, '[1]Imp of scrap'!$B$2:$X$31, $A$1, FALSE)</f>
        <v>5340</v>
      </c>
      <c r="O9" s="1">
        <f>VLOOKUP($B9, '[1]Pro of BOF steel'!$B$2:$X$31, $A$1, FALSE)</f>
        <v>29185</v>
      </c>
      <c r="P9" s="1">
        <f>VLOOKUP($B9, '[1]Pro of OHF steel'!$B$2:$X$31, $A$1, FALSE)</f>
        <v>0</v>
      </c>
      <c r="Q9" s="1">
        <f>VLOOKUP($B9, '[1]Pro of EAF steel'!$B$2:$X$31, $A$1, FALSE)</f>
        <v>13459</v>
      </c>
      <c r="R9" s="1">
        <f>VLOOKUP($B9, '[1]Exp of ingots and semis'!$B$2:$X$31, $A$1, FALSE)</f>
        <v>1822</v>
      </c>
      <c r="S9" s="1">
        <f>VLOOKUP($B9, '[1]Imp of ingots and semis'!$B$2:$X$31, $A$1, FALSE)</f>
        <v>1352</v>
      </c>
      <c r="T9" s="1">
        <f>VLOOKUP($B9, '[1]Pro of hr long'!$B$2:$X$31, $A$1, FALSE)+VLOOKUP($B9, '[1]Pro of seamless tubes'!$B$2:$X$31, $A$1, FALSE)</f>
        <v>14089</v>
      </c>
      <c r="U9" s="1">
        <f>VLOOKUP($B9, '[1]Exp of long'!$B$2:$X$31, $A$1, FALSE)</f>
        <v>6859</v>
      </c>
      <c r="V9" s="1">
        <f>VLOOKUP($B9, '[1]Imp of long'!$B$2:$X$31, $A$1, FALSE)</f>
        <v>6088</v>
      </c>
      <c r="W9" s="1">
        <f>VLOOKUP($B9, '[1]Pro of hr flat'!$B$2:$X$31, $A$1, FALSE)*parameters!$B$8</f>
        <v>22926.64864864865</v>
      </c>
      <c r="X9" s="1">
        <f>VLOOKUP($B9, '[1]Exp of flat'!$B$2:$X$31, $A$1, FALSE)</f>
        <v>12650</v>
      </c>
      <c r="Y9" s="1">
        <f>VLOOKUP($B9, '[1]Imp of flat'!$B$2:$X$31, $A$1, FALSE)</f>
        <v>12353</v>
      </c>
      <c r="Z9" s="1">
        <f>VLOOKUP($B9, '[1]Indirect exp'!$B$2:$X$31, $A$1, FALSE)</f>
        <v>30650</v>
      </c>
      <c r="AA9" s="1">
        <f>VLOOKUP($B9, '[1]Indirect imp'!$B$2:$X$31, $A$1, FALSE)</f>
        <v>20923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8589</v>
      </c>
      <c r="D10" s="1">
        <f>VLOOKUP($B10, '[1]Pro of iron ore'!$B$2:$X$31, $A$1, FALSE)*(1-VLOOKUP($B10, '[1]Foundry share'!$B$2:$X$31, $A$1, FALSE))</f>
        <v>5200</v>
      </c>
      <c r="E10" s="47">
        <f>VLOOKUP($B10, '[1]Iron content'!$B$2:$X$31, $A$1, FALSE)</f>
        <v>0.60542554430084994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9180</v>
      </c>
      <c r="H10" s="1">
        <f>VLOOKUP($B10, '[1]Exp of pig iron'!$B$2:$X$31, $A$1, FALSE)</f>
        <v>6</v>
      </c>
      <c r="I10" s="1">
        <f>VLOOKUP($B10, '[1]Imp of pig iron'!$B$2:$X$31, $A$1, FALSE)</f>
        <v>968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29</v>
      </c>
      <c r="M10" s="1">
        <f>VLOOKUP($B10, '[1]Exp of scrap'!$B$2:$X$31, $A$1, FALSE)</f>
        <v>102</v>
      </c>
      <c r="N10" s="1">
        <f>VLOOKUP($B10, '[1]Imp of scrap'!$B$2:$X$31, $A$1, FALSE)</f>
        <v>19725</v>
      </c>
      <c r="O10" s="1">
        <f>VLOOKUP($B10, '[1]Pro of BOF steel'!$B$2:$X$31, $A$1, FALSE)</f>
        <v>9931</v>
      </c>
      <c r="P10" s="1">
        <f>VLOOKUP($B10, '[1]Pro of OHF steel'!$B$2:$X$31, $A$1, FALSE)</f>
        <v>0</v>
      </c>
      <c r="Q10" s="1">
        <f>VLOOKUP($B10, '[1]Pro of EAF steel'!$B$2:$X$31, $A$1, FALSE)</f>
        <v>24723</v>
      </c>
      <c r="R10" s="1">
        <f>VLOOKUP($B10, '[1]Exp of ingots and semis'!$B$2:$X$31, $A$1, FALSE)</f>
        <v>1567</v>
      </c>
      <c r="S10" s="1">
        <f>VLOOKUP($B10, '[1]Imp of ingots and semis'!$B$2:$X$31, $A$1, FALSE)</f>
        <v>5430</v>
      </c>
      <c r="T10" s="1">
        <f>VLOOKUP($B10, '[1]Pro of hr long'!$B$2:$X$31, $A$1, FALSE)+VLOOKUP($B10, '[1]Pro of seamless tubes'!$B$2:$X$31, $A$1, FALSE)</f>
        <v>26536</v>
      </c>
      <c r="U10" s="1">
        <f>VLOOKUP($B10, '[1]Exp of long'!$B$2:$X$31, $A$1, FALSE)</f>
        <v>11447</v>
      </c>
      <c r="V10" s="1">
        <f>VLOOKUP($B10, '[1]Imp of long'!$B$2:$X$31, $A$1, FALSE)</f>
        <v>1456</v>
      </c>
      <c r="W10" s="1">
        <f>VLOOKUP($B10, '[1]Pro of hr flat'!$B$2:$X$31, $A$1, FALSE)*parameters!$B$8</f>
        <v>9588.23186344239</v>
      </c>
      <c r="X10" s="1">
        <f>VLOOKUP($B10, '[1]Exp of flat'!$B$2:$X$31, $A$1, FALSE)</f>
        <v>2379</v>
      </c>
      <c r="Y10" s="1">
        <f>VLOOKUP($B10, '[1]Imp of flat'!$B$2:$X$31, $A$1, FALSE)</f>
        <v>7117</v>
      </c>
      <c r="Z10" s="1">
        <f>VLOOKUP($B10, '[1]Indirect exp'!$B$2:$X$31, $A$1, FALSE)</f>
        <v>5831</v>
      </c>
      <c r="AA10" s="1">
        <f>VLOOKUP($B10, '[1]Indirect imp'!$B$2:$X$31, $A$1, FALSE)</f>
        <v>4310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386270</v>
      </c>
      <c r="D11" s="1">
        <f>VLOOKUP($B11, '[1]Pro of iron ore'!$B$2:$X$31, $A$1, FALSE)*(1-VLOOKUP($B11, '[1]Foundry share'!$B$2:$X$31, $A$1, FALSE))</f>
        <v>246000</v>
      </c>
      <c r="E11" s="47">
        <f>VLOOKUP($B11, '[1]Iron content'!$B$2:$X$31, $A$1, FALSE)</f>
        <v>0.6368602273021462</v>
      </c>
      <c r="F11" s="1">
        <f>VLOOKUP($B11, '[1]Exp of usable iron ore'!$B$2:$X$31, $A$1, FALSE)*parameters!$B$12</f>
        <v>214265.35</v>
      </c>
      <c r="G11" s="1">
        <f>VLOOKUP($B11, '[1]Pro of pig iron'!$B$2:$X$31, $A$1, FALSE)*(1-VLOOKUP($B11, '[1]Foundry share'!$B$2:$X$31, $A$1, FALSE))</f>
        <v>26200</v>
      </c>
      <c r="H11" s="1">
        <f>VLOOKUP($B11, '[1]Exp of pig iron'!$B$2:$X$31, $A$1, FALSE)</f>
        <v>2692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453</v>
      </c>
      <c r="N11" s="1">
        <f>VLOOKUP($B11, '[1]Imp of scrap'!$B$2:$X$31, $A$1, FALSE)</f>
        <v>55</v>
      </c>
      <c r="O11" s="1">
        <f>VLOOKUP($B11, '[1]Pro of BOF steel'!$B$2:$X$31, $A$1, FALSE)</f>
        <v>25055</v>
      </c>
      <c r="P11" s="1">
        <f>VLOOKUP($B11, '[1]Pro of OHF steel'!$B$2:$X$31, $A$1, FALSE)</f>
        <v>538</v>
      </c>
      <c r="Q11" s="1">
        <f>VLOOKUP($B11, '[1]Pro of EAF steel'!$B$2:$X$31, $A$1, FALSE)</f>
        <v>8570</v>
      </c>
      <c r="R11" s="1">
        <f>VLOOKUP($B11, '[1]Exp of ingots and semis'!$B$2:$X$31, $A$1, FALSE)</f>
        <v>5273</v>
      </c>
      <c r="S11" s="1">
        <f>VLOOKUP($B11, '[1]Imp of ingots and semis'!$B$2:$X$31, $A$1, FALSE)</f>
        <v>11</v>
      </c>
      <c r="T11" s="1">
        <f>VLOOKUP($B11, '[1]Pro of hr long'!$B$2:$X$31, $A$1, FALSE)+VLOOKUP($B11, '[1]Pro of seamless tubes'!$B$2:$X$31, $A$1, FALSE)</f>
        <v>11250</v>
      </c>
      <c r="U11" s="1">
        <f>VLOOKUP($B11, '[1]Exp of long'!$B$2:$X$31, $A$1, FALSE)</f>
        <v>932</v>
      </c>
      <c r="V11" s="1">
        <f>VLOOKUP($B11, '[1]Imp of long'!$B$2:$X$31, $A$1, FALSE)</f>
        <v>1329</v>
      </c>
      <c r="W11" s="1">
        <f>VLOOKUP($B11, '[1]Pro of hr flat'!$B$2:$X$31, $A$1, FALSE)*parameters!$B$8</f>
        <v>14585.887624466572</v>
      </c>
      <c r="X11" s="1">
        <f>VLOOKUP($B11, '[1]Exp of flat'!$B$2:$X$31, $A$1, FALSE)</f>
        <v>1513</v>
      </c>
      <c r="Y11" s="1">
        <f>VLOOKUP($B11, '[1]Imp of flat'!$B$2:$X$31, $A$1, FALSE)</f>
        <v>1989</v>
      </c>
      <c r="Z11" s="1">
        <f>VLOOKUP($B11, '[1]Indirect exp'!$B$2:$X$31, $A$1, FALSE)</f>
        <v>2963</v>
      </c>
      <c r="AA11" s="1">
        <f>VLOOKUP($B11, '[1]Indirect imp'!$B$2:$X$31, $A$1, FALSE)</f>
        <v>5347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33528.429955611486</v>
      </c>
      <c r="D12" s="1">
        <f>VLOOKUP($B12, '[1]Pro of iron ore'!$B$2:$X$31, $A$1, FALSE)*(1-VLOOKUP($B12, '[1]Foundry share'!$B$2:$X$31, $A$1, FALSE))</f>
        <v>15793.6551633012</v>
      </c>
      <c r="E12" s="47">
        <f>VLOOKUP($B12, '[1]Iron content'!$B$2:$X$31, $A$1, FALSE)</f>
        <v>0.47105263157894739</v>
      </c>
      <c r="F12" s="1">
        <f>VLOOKUP($B12, '[1]Exp of usable iron ore'!$B$2:$X$31, $A$1, FALSE)*parameters!$B$12</f>
        <v>14600.300000000001</v>
      </c>
      <c r="G12" s="1">
        <f>VLOOKUP($B12, '[1]Pro of pig iron'!$B$2:$X$31, $A$1, FALSE)*(1-VLOOKUP($B12, '[1]Foundry share'!$B$2:$X$31, $A$1, FALSE))</f>
        <v>1770.8304979187435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12756.685271006076</v>
      </c>
      <c r="K12" s="1">
        <f>VLOOKUP($B12, '[1]Exp of DRI'!$B$2:$X$31, $A$1, FALSE)</f>
        <v>32</v>
      </c>
      <c r="L12" s="1">
        <f>VLOOKUP($B12, '[1]Imp of DRI'!$B$2:$X$31, $A$1, FALSE)</f>
        <v>0</v>
      </c>
      <c r="M12" s="1">
        <f>VLOOKUP($B12, '[1]Exp of scrap'!$B$2:$X$31, $A$1, FALSE)</f>
        <v>2</v>
      </c>
      <c r="N12" s="1">
        <f>VLOOKUP($B12, '[1]Imp of scrap'!$B$2:$X$31, $A$1, FALSE)</f>
        <v>24</v>
      </c>
      <c r="O12" s="1">
        <f>VLOOKUP($B12, '[1]Pro of BOF steel'!$B$2:$X$31, $A$1, FALSE)</f>
        <v>2013</v>
      </c>
      <c r="P12" s="1">
        <f>VLOOKUP($B12, '[1]Pro of OHF steel'!$B$2:$X$31, $A$1, FALSE)</f>
        <v>0</v>
      </c>
      <c r="Q12" s="1">
        <f>VLOOKUP($B12, '[1]Pro of EAF steel'!$B$2:$X$31, $A$1, FALSE)</f>
        <v>13409</v>
      </c>
      <c r="R12" s="1">
        <f>VLOOKUP($B12, '[1]Exp of ingots and semis'!$B$2:$X$31, $A$1, FALSE)</f>
        <v>90</v>
      </c>
      <c r="S12" s="1">
        <f>VLOOKUP($B12, '[1]Imp of ingots and semis'!$B$2:$X$31, $A$1, FALSE)</f>
        <v>304</v>
      </c>
      <c r="T12" s="1">
        <f>VLOOKUP($B12, '[1]Pro of hr long'!$B$2:$X$31, $A$1, FALSE)+VLOOKUP($B12, '[1]Pro of seamless tubes'!$B$2:$X$31, $A$1, FALSE)</f>
        <v>8406</v>
      </c>
      <c r="U12" s="1">
        <f>VLOOKUP($B12, '[1]Exp of long'!$B$2:$X$31, $A$1, FALSE)</f>
        <v>27</v>
      </c>
      <c r="V12" s="1">
        <f>VLOOKUP($B12, '[1]Imp of long'!$B$2:$X$31, $A$1, FALSE)</f>
        <v>679</v>
      </c>
      <c r="W12" s="1">
        <f>VLOOKUP($B12, '[1]Pro of hr flat'!$B$2:$X$31, $A$1, FALSE)*parameters!$B$8</f>
        <v>8015.2916073968709</v>
      </c>
      <c r="X12" s="1">
        <f>VLOOKUP($B12, '[1]Exp of flat'!$B$2:$X$31, $A$1, FALSE)</f>
        <v>248</v>
      </c>
      <c r="Y12" s="1">
        <f>VLOOKUP($B12, '[1]Imp of flat'!$B$2:$X$31, $A$1, FALSE)</f>
        <v>1728</v>
      </c>
      <c r="Z12" s="1">
        <f>VLOOKUP($B12, '[1]Indirect exp'!$B$2:$X$31, $A$1, FALSE)</f>
        <v>59</v>
      </c>
      <c r="AA12" s="1">
        <f>VLOOKUP($B12, '[1]Indirect imp'!$B$2:$X$31, $A$1, FALSE)</f>
        <v>1485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6933</v>
      </c>
      <c r="H13" s="1">
        <f>VLOOKUP($B13, '[1]Exp of pig iron'!$B$2:$X$31, $A$1, FALSE)</f>
        <v>40</v>
      </c>
      <c r="I13" s="1">
        <f>VLOOKUP($B13, '[1]Imp of pig iron'!$B$2:$X$31, $A$1, FALSE)</f>
        <v>1481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652</v>
      </c>
      <c r="M13" s="1">
        <f>VLOOKUP($B13, '[1]Exp of scrap'!$B$2:$X$31, $A$1, FALSE)</f>
        <v>254</v>
      </c>
      <c r="N13" s="1">
        <f>VLOOKUP($B13, '[1]Imp of scrap'!$B$2:$X$31, $A$1, FALSE)</f>
        <v>4957</v>
      </c>
      <c r="O13" s="1">
        <f>VLOOKUP($B13, '[1]Pro of BOF steel'!$B$2:$X$31, $A$1, FALSE)</f>
        <v>6798</v>
      </c>
      <c r="P13" s="1">
        <f>VLOOKUP($B13, '[1]Pro of OHF steel'!$B$2:$X$31, $A$1, FALSE)</f>
        <v>0</v>
      </c>
      <c r="Q13" s="1">
        <f>VLOOKUP($B13, '[1]Pro of EAF steel'!$B$2:$X$31, $A$1, FALSE)</f>
        <v>17295</v>
      </c>
      <c r="R13" s="1">
        <f>VLOOKUP($B13, '[1]Exp of ingots and semis'!$B$2:$X$31, $A$1, FALSE)</f>
        <v>703</v>
      </c>
      <c r="S13" s="1">
        <f>VLOOKUP($B13, '[1]Imp of ingots and semis'!$B$2:$X$31, $A$1, FALSE)</f>
        <v>3198</v>
      </c>
      <c r="T13" s="1">
        <f>VLOOKUP($B13, '[1]Pro of hr long'!$B$2:$X$31, $A$1, FALSE)+VLOOKUP($B13, '[1]Pro of seamless tubes'!$B$2:$X$31, $A$1, FALSE)</f>
        <v>11980</v>
      </c>
      <c r="U13" s="1">
        <f>VLOOKUP($B13, '[1]Exp of long'!$B$2:$X$31, $A$1, FALSE)</f>
        <v>5251</v>
      </c>
      <c r="V13" s="1">
        <f>VLOOKUP($B13, '[1]Imp of long'!$B$2:$X$31, $A$1, FALSE)</f>
        <v>2187</v>
      </c>
      <c r="W13" s="1">
        <f>VLOOKUP($B13, '[1]Pro of hr flat'!$B$2:$X$31, $A$1, FALSE)*parameters!$B$8</f>
        <v>11754.78947368421</v>
      </c>
      <c r="X13" s="1">
        <f>VLOOKUP($B13, '[1]Exp of flat'!$B$2:$X$31, $A$1, FALSE)</f>
        <v>7225</v>
      </c>
      <c r="Y13" s="1">
        <f>VLOOKUP($B13, '[1]Imp of flat'!$B$2:$X$31, $A$1, FALSE)</f>
        <v>9376</v>
      </c>
      <c r="Z13" s="1">
        <f>VLOOKUP($B13, '[1]Indirect exp'!$B$2:$X$31, $A$1, FALSE)</f>
        <v>12823</v>
      </c>
      <c r="AA13" s="1">
        <f>VLOOKUP($B13, '[1]Indirect imp'!$B$2:$X$31, $A$1, FALSE)</f>
        <v>6327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67020</v>
      </c>
      <c r="D14" s="1">
        <f>VLOOKUP($B14, '[1]Pro of iron ore'!$B$2:$X$31, $A$1, FALSE)*(1-VLOOKUP($B14, '[1]Foundry share'!$B$2:$X$31, $A$1, FALSE))</f>
        <v>40500</v>
      </c>
      <c r="E14" s="47">
        <f>VLOOKUP($B14, '[1]Iron content'!$B$2:$X$31, $A$1, FALSE)</f>
        <v>0.60429722470904212</v>
      </c>
      <c r="F14" s="1">
        <f>VLOOKUP($B14, '[1]Exp of usable iron ore'!$B$2:$X$31, $A$1, FALSE)*parameters!$B$12</f>
        <v>24690.9</v>
      </c>
      <c r="G14" s="1">
        <f>VLOOKUP($B14, '[1]Pro of pig iron'!$B$2:$X$31, $A$1, FALSE)*(1-VLOOKUP($B14, '[1]Foundry share'!$B$2:$X$31, $A$1, FALSE))</f>
        <v>29094</v>
      </c>
      <c r="H14" s="1">
        <f>VLOOKUP($B14, '[1]Exp of pig iron'!$B$2:$X$31, $A$1, FALSE)</f>
        <v>2261</v>
      </c>
      <c r="I14" s="1">
        <f>VLOOKUP($B14, '[1]Imp of pig iron'!$B$2:$X$31, $A$1, FALSE)</f>
        <v>13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61</v>
      </c>
      <c r="M14" s="1">
        <f>VLOOKUP($B14, '[1]Exp of scrap'!$B$2:$X$31, $A$1, FALSE)</f>
        <v>255</v>
      </c>
      <c r="N14" s="1">
        <f>VLOOKUP($B14, '[1]Imp of scrap'!$B$2:$X$31, $A$1, FALSE)</f>
        <v>239</v>
      </c>
      <c r="O14" s="1">
        <f>VLOOKUP($B14, '[1]Pro of BOF steel'!$B$2:$X$31, $A$1, FALSE)</f>
        <v>24284</v>
      </c>
      <c r="P14" s="1">
        <f>VLOOKUP($B14, '[1]Pro of OHF steel'!$B$2:$X$31, $A$1, FALSE)</f>
        <v>6536</v>
      </c>
      <c r="Q14" s="1">
        <f>VLOOKUP($B14, '[1]Pro of EAF steel'!$B$2:$X$31, $A$1, FALSE)</f>
        <v>1951</v>
      </c>
      <c r="R14" s="1">
        <f>VLOOKUP($B14, '[1]Exp of ingots and semis'!$B$2:$X$31, $A$1, FALSE)</f>
        <v>10952</v>
      </c>
      <c r="S14" s="1">
        <f>VLOOKUP($B14, '[1]Imp of ingots and semis'!$B$2:$X$31, $A$1, FALSE)</f>
        <v>84</v>
      </c>
      <c r="T14" s="1">
        <f>VLOOKUP($B14, '[1]Pro of hr long'!$B$2:$X$31, $A$1, FALSE)+VLOOKUP($B14, '[1]Pro of seamless tubes'!$B$2:$X$31, $A$1, FALSE)</f>
        <v>8665</v>
      </c>
      <c r="U14" s="1">
        <f>VLOOKUP($B14, '[1]Exp of long'!$B$2:$X$31, $A$1, FALSE)</f>
        <v>5832</v>
      </c>
      <c r="V14" s="1">
        <f>VLOOKUP($B14, '[1]Imp of long'!$B$2:$X$31, $A$1, FALSE)</f>
        <v>371</v>
      </c>
      <c r="W14" s="1">
        <f>VLOOKUP($B14, '[1]Pro of hr flat'!$B$2:$X$31, $A$1, FALSE)*parameters!$B$8</f>
        <v>8674.97439544808</v>
      </c>
      <c r="X14" s="1">
        <f>VLOOKUP($B14, '[1]Exp of flat'!$B$2:$X$31, $A$1, FALSE)</f>
        <v>6752</v>
      </c>
      <c r="Y14" s="1">
        <f>VLOOKUP($B14, '[1]Imp of flat'!$B$2:$X$31, $A$1, FALSE)</f>
        <v>1209</v>
      </c>
      <c r="Z14" s="1">
        <f>VLOOKUP($B14, '[1]Indirect exp'!$B$2:$X$31, $A$1, FALSE)</f>
        <v>1731</v>
      </c>
      <c r="AA14" s="1">
        <f>VLOOKUP($B14, '[1]Indirect imp'!$B$2:$X$31, $A$1, FALSE)</f>
        <v>1875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18840</v>
      </c>
      <c r="D15" s="1">
        <f>VLOOKUP($B15, '[1]Pro of iron ore'!$B$2:$X$31, $A$1, FALSE)*(1-VLOOKUP($B15, '[1]Foundry share'!$B$2:$X$31, $A$1, FALSE))</f>
        <v>11800</v>
      </c>
      <c r="E15" s="47">
        <f>VLOOKUP($B15, '[1]Iron content'!$B$2:$X$31, $A$1, FALSE)</f>
        <v>0.62632696390658171</v>
      </c>
      <c r="F15" s="1">
        <f>VLOOKUP($B15, '[1]Exp of usable iron ore'!$B$2:$X$31, $A$1, FALSE)*parameters!$B$12</f>
        <v>6568.25</v>
      </c>
      <c r="G15" s="1">
        <f>VLOOKUP($B15, '[1]Pro of pig iron'!$B$2:$X$31, $A$1, FALSE)*(1-VLOOKUP($B15, '[1]Foundry share'!$B$2:$X$31, $A$1, FALSE))</f>
        <v>4911</v>
      </c>
      <c r="H15" s="1">
        <f>VLOOKUP($B15, '[1]Exp of pig iron'!$B$2:$X$31, $A$1, FALSE)</f>
        <v>0</v>
      </c>
      <c r="I15" s="1">
        <f>VLOOKUP($B15, '[1]Imp of pig iron'!$B$2:$X$31, $A$1, FALSE)</f>
        <v>284</v>
      </c>
      <c r="J15" s="1">
        <f>VLOOKUP($B15, '[1]Pro of DRI'!$B$2:$X$31, $A$1, FALSE)*(1-VLOOKUP($B15, '[1]Foundry share'!$B$2:$X$31, $A$1, FALSE))</f>
        <v>6100</v>
      </c>
      <c r="K15" s="1">
        <f>VLOOKUP($B15, '[1]Exp of DRI'!$B$2:$X$31, $A$1, FALSE)</f>
        <v>0</v>
      </c>
      <c r="L15" s="1">
        <f>VLOOKUP($B15, '[1]Imp of DRI'!$B$2:$X$31, $A$1, FALSE)</f>
        <v>109</v>
      </c>
      <c r="M15" s="1">
        <f>VLOOKUP($B15, '[1]Exp of scrap'!$B$2:$X$31, $A$1, FALSE)</f>
        <v>779</v>
      </c>
      <c r="N15" s="1">
        <f>VLOOKUP($B15, '[1]Imp of scrap'!$B$2:$X$31, $A$1, FALSE)</f>
        <v>864</v>
      </c>
      <c r="O15" s="1">
        <f>VLOOKUP($B15, '[1]Pro of BOF steel'!$B$2:$X$31, $A$1, FALSE)</f>
        <v>5363</v>
      </c>
      <c r="P15" s="1">
        <f>VLOOKUP($B15, '[1]Pro of OHF steel'!$B$2:$X$31, $A$1, FALSE)</f>
        <v>0</v>
      </c>
      <c r="Q15" s="1">
        <f>VLOOKUP($B15, '[1]Pro of EAF steel'!$B$2:$X$31, $A$1, FALSE)</f>
        <v>12880</v>
      </c>
      <c r="R15" s="1">
        <f>VLOOKUP($B15, '[1]Exp of ingots and semis'!$B$2:$X$31, $A$1, FALSE)</f>
        <v>1340</v>
      </c>
      <c r="S15" s="1">
        <f>VLOOKUP($B15, '[1]Imp of ingots and semis'!$B$2:$X$31, $A$1, FALSE)</f>
        <v>333</v>
      </c>
      <c r="T15" s="1">
        <f>VLOOKUP($B15, '[1]Pro of hr long'!$B$2:$X$31, $A$1, FALSE)+VLOOKUP($B15, '[1]Pro of seamless tubes'!$B$2:$X$31, $A$1, FALSE)</f>
        <v>8730</v>
      </c>
      <c r="U15" s="1">
        <f>VLOOKUP($B15, '[1]Exp of long'!$B$2:$X$31, $A$1, FALSE)</f>
        <v>1812</v>
      </c>
      <c r="V15" s="1">
        <f>VLOOKUP($B15, '[1]Imp of long'!$B$2:$X$31, $A$1, FALSE)</f>
        <v>1524</v>
      </c>
      <c r="W15" s="1">
        <f>VLOOKUP($B15, '[1]Pro of hr flat'!$B$2:$X$31, $A$1, FALSE)*parameters!$B$8</f>
        <v>7410.0156472261733</v>
      </c>
      <c r="X15" s="1">
        <f>VLOOKUP($B15, '[1]Exp of flat'!$B$2:$X$31, $A$1, FALSE)</f>
        <v>1308</v>
      </c>
      <c r="Y15" s="1">
        <f>VLOOKUP($B15, '[1]Imp of flat'!$B$2:$X$31, $A$1, FALSE)</f>
        <v>5437</v>
      </c>
      <c r="Z15" s="1">
        <f>VLOOKUP($B15, '[1]Indirect exp'!$B$2:$X$31, $A$1, FALSE)</f>
        <v>12188</v>
      </c>
      <c r="AA15" s="1">
        <f>VLOOKUP($B15, '[1]Indirect imp'!$B$2:$X$31, $A$1, FALSE)</f>
        <v>9228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4708</v>
      </c>
      <c r="D16" s="1">
        <f>VLOOKUP($B16, '[1]Pro of iron ore'!$B$2:$X$31, $A$1, FALSE)*(1-VLOOKUP($B16, '[1]Foundry share'!$B$2:$X$31, $A$1, FALSE))</f>
        <v>2500</v>
      </c>
      <c r="E16" s="47">
        <f>VLOOKUP($B16, '[1]Iron content'!$B$2:$X$31, $A$1, FALSE)</f>
        <v>0.53101104502973662</v>
      </c>
      <c r="F16" s="1">
        <f>VLOOKUP($B16, '[1]Exp of usable iron ore'!$B$2:$X$31, $A$1, FALSE)*parameters!$B$12</f>
        <v>2926.3</v>
      </c>
      <c r="G16" s="1">
        <f>VLOOKUP($B16, '[1]Pro of pig iron'!$B$2:$X$31, $A$1, FALSE)*(1-VLOOKUP($B16, '[1]Foundry share'!$B$2:$X$31, $A$1, FALSE))</f>
        <v>650</v>
      </c>
      <c r="H16" s="1">
        <f>VLOOKUP($B16, '[1]Exp of pig iron'!$B$2:$X$31, $A$1, FALSE)</f>
        <v>0</v>
      </c>
      <c r="I16" s="1">
        <f>VLOOKUP($B16, '[1]Imp of pig iron'!$B$2:$X$31, $A$1, FALSE)</f>
        <v>47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2131</v>
      </c>
      <c r="O16" s="1">
        <f>VLOOKUP($B16, '[1]Pro of BOF steel'!$B$2:$X$31, $A$1, FALSE)</f>
        <v>500</v>
      </c>
      <c r="P16" s="1">
        <f>VLOOKUP($B16, '[1]Pro of OHF steel'!$B$2:$X$31, $A$1, FALSE)</f>
        <v>0</v>
      </c>
      <c r="Q16" s="1">
        <f>VLOOKUP($B16, '[1]Pro of EAF steel'!$B$2:$X$31, $A$1, FALSE)</f>
        <v>4974</v>
      </c>
      <c r="R16" s="1">
        <f>VLOOKUP($B16, '[1]Exp of ingots and semis'!$B$2:$X$31, $A$1, FALSE)</f>
        <v>81</v>
      </c>
      <c r="S16" s="1">
        <f>VLOOKUP($B16, '[1]Imp of ingots and semis'!$B$2:$X$31, $A$1, FALSE)</f>
        <v>358</v>
      </c>
      <c r="T16" s="1">
        <f>VLOOKUP($B16, '[1]Pro of hr long'!$B$2:$X$31, $A$1, FALSE)+VLOOKUP($B16, '[1]Pro of seamless tubes'!$B$2:$X$31, $A$1, FALSE)</f>
        <v>5123</v>
      </c>
      <c r="U16" s="1">
        <f>VLOOKUP($B16, '[1]Exp of long'!$B$2:$X$31, $A$1, FALSE)</f>
        <v>54</v>
      </c>
      <c r="V16" s="1">
        <f>VLOOKUP($B16, '[1]Imp of long'!$B$2:$X$31, $A$1, FALSE)</f>
        <v>1733</v>
      </c>
      <c r="W16" s="1">
        <f>VLOOKUP($B16, '[1]Pro of hr flat'!$B$2:$X$31, $A$1, FALSE)*parameters!$B$8</f>
        <v>0</v>
      </c>
      <c r="X16" s="1">
        <f>VLOOKUP($B16, '[1]Exp of flat'!$B$2:$X$31, $A$1, FALSE)</f>
        <v>915</v>
      </c>
      <c r="Y16" s="1">
        <f>VLOOKUP($B16, '[1]Imp of flat'!$B$2:$X$31, $A$1, FALSE)</f>
        <v>7526</v>
      </c>
      <c r="Z16" s="1">
        <f>VLOOKUP($B16, '[1]Indirect exp'!$B$2:$X$31, $A$1, FALSE)</f>
        <v>805</v>
      </c>
      <c r="AA16" s="1">
        <f>VLOOKUP($B16, '[1]Indirect imp'!$B$2:$X$31, $A$1, FALSE)</f>
        <v>1356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109.2</v>
      </c>
      <c r="G17" s="1">
        <f>VLOOKUP($B17, '[1]Pro of pig iron'!$B$2:$X$31, $A$1, FALSE)*(1-VLOOKUP($B17, '[1]Foundry share'!$B$2:$X$31, $A$1, FALSE))</f>
        <v>10276</v>
      </c>
      <c r="H17" s="1">
        <f>VLOOKUP($B17, '[1]Exp of pig iron'!$B$2:$X$31, $A$1, FALSE)</f>
        <v>42</v>
      </c>
      <c r="I17" s="1">
        <f>VLOOKUP($B17, '[1]Imp of pig iron'!$B$2:$X$31, $A$1, FALSE)</f>
        <v>186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3</v>
      </c>
      <c r="L17" s="1">
        <f>VLOOKUP($B17, '[1]Imp of DRI'!$B$2:$X$31, $A$1, FALSE)</f>
        <v>42</v>
      </c>
      <c r="M17" s="1">
        <f>VLOOKUP($B17, '[1]Exp of scrap'!$B$2:$X$31, $A$1, FALSE)</f>
        <v>5985</v>
      </c>
      <c r="N17" s="1">
        <f>VLOOKUP($B17, '[1]Imp of scrap'!$B$2:$X$31, $A$1, FALSE)</f>
        <v>2363</v>
      </c>
      <c r="O17" s="1">
        <f>VLOOKUP($B17, '[1]Pro of BOF steel'!$B$2:$X$31, $A$1, FALSE)</f>
        <v>10195</v>
      </c>
      <c r="P17" s="1">
        <f>VLOOKUP($B17, '[1]Pro of OHF steel'!$B$2:$X$31, $A$1, FALSE)</f>
        <v>0</v>
      </c>
      <c r="Q17" s="1">
        <f>VLOOKUP($B17, '[1]Pro of EAF steel'!$B$2:$X$31, $A$1, FALSE)</f>
        <v>5491</v>
      </c>
      <c r="R17" s="1">
        <f>VLOOKUP($B17, '[1]Exp of ingots and semis'!$B$2:$X$31, $A$1, FALSE)</f>
        <v>1132</v>
      </c>
      <c r="S17" s="1">
        <f>VLOOKUP($B17, '[1]Imp of ingots and semis'!$B$2:$X$31, $A$1, FALSE)</f>
        <v>1694</v>
      </c>
      <c r="T17" s="1">
        <f>VLOOKUP($B17, '[1]Pro of hr long'!$B$2:$X$31, $A$1, FALSE)+VLOOKUP($B17, '[1]Pro of seamless tubes'!$B$2:$X$31, $A$1, FALSE)</f>
        <v>4997</v>
      </c>
      <c r="U17" s="1">
        <f>VLOOKUP($B17, '[1]Exp of long'!$B$2:$X$31, $A$1, FALSE)</f>
        <v>2499</v>
      </c>
      <c r="V17" s="1">
        <f>VLOOKUP($B17, '[1]Imp of long'!$B$2:$X$31, $A$1, FALSE)</f>
        <v>2964</v>
      </c>
      <c r="W17" s="1">
        <f>VLOOKUP($B17, '[1]Pro of hr flat'!$B$2:$X$31, $A$1, FALSE)*parameters!$B$8</f>
        <v>9976.852062588905</v>
      </c>
      <c r="X17" s="1">
        <f>VLOOKUP($B17, '[1]Exp of flat'!$B$2:$X$31, $A$1, FALSE)</f>
        <v>9565</v>
      </c>
      <c r="Y17" s="1">
        <f>VLOOKUP($B17, '[1]Imp of flat'!$B$2:$X$31, $A$1, FALSE)</f>
        <v>7197</v>
      </c>
      <c r="Z17" s="1">
        <f>VLOOKUP($B17, '[1]Indirect exp'!$B$2:$X$31, $A$1, FALSE)</f>
        <v>7941</v>
      </c>
      <c r="AA17" s="1">
        <f>VLOOKUP($B17, '[1]Indirect imp'!$B$2:$X$31, $A$1, FALSE)</f>
        <v>11213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3949</v>
      </c>
      <c r="H18" s="1">
        <f>VLOOKUP($B18, '[1]Exp of pig iron'!$B$2:$X$31, $A$1, FALSE)</f>
        <v>17</v>
      </c>
      <c r="I18" s="1">
        <f>VLOOKUP($B18, '[1]Imp of pig iron'!$B$2:$X$31, $A$1, FALSE)</f>
        <v>219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2</v>
      </c>
      <c r="L18" s="1">
        <f>VLOOKUP($B18, '[1]Imp of DRI'!$B$2:$X$31, $A$1, FALSE)</f>
        <v>640</v>
      </c>
      <c r="M18" s="1">
        <f>VLOOKUP($B18, '[1]Exp of scrap'!$B$2:$X$31, $A$1, FALSE)</f>
        <v>510</v>
      </c>
      <c r="N18" s="1">
        <f>VLOOKUP($B18, '[1]Imp of scrap'!$B$2:$X$31, $A$1, FALSE)</f>
        <v>4705</v>
      </c>
      <c r="O18" s="1">
        <f>VLOOKUP($B18, '[1]Pro of BOF steel'!$B$2:$X$31, $A$1, FALSE)</f>
        <v>4210</v>
      </c>
      <c r="P18" s="1">
        <f>VLOOKUP($B18, '[1]Pro of OHF steel'!$B$2:$X$31, $A$1, FALSE)</f>
        <v>0</v>
      </c>
      <c r="Q18" s="1">
        <f>VLOOKUP($B18, '[1]Pro of EAF steel'!$B$2:$X$31, $A$1, FALSE)</f>
        <v>10042</v>
      </c>
      <c r="R18" s="1">
        <f>VLOOKUP($B18, '[1]Exp of ingots and semis'!$B$2:$X$31, $A$1, FALSE)</f>
        <v>226</v>
      </c>
      <c r="S18" s="1">
        <f>VLOOKUP($B18, '[1]Imp of ingots and semis'!$B$2:$X$31, $A$1, FALSE)</f>
        <v>768</v>
      </c>
      <c r="T18" s="1">
        <f>VLOOKUP($B18, '[1]Pro of hr long'!$B$2:$X$31, $A$1, FALSE)+VLOOKUP($B18, '[1]Pro of seamless tubes'!$B$2:$X$31, $A$1, FALSE)</f>
        <v>8833</v>
      </c>
      <c r="U18" s="1">
        <f>VLOOKUP($B18, '[1]Exp of long'!$B$2:$X$31, $A$1, FALSE)</f>
        <v>6157</v>
      </c>
      <c r="V18" s="1">
        <f>VLOOKUP($B18, '[1]Imp of long'!$B$2:$X$31, $A$1, FALSE)</f>
        <v>953</v>
      </c>
      <c r="W18" s="1">
        <f>VLOOKUP($B18, '[1]Pro of hr flat'!$B$2:$X$31, $A$1, FALSE)*parameters!$B$8</f>
        <v>4217.5007112375533</v>
      </c>
      <c r="X18" s="1">
        <f>VLOOKUP($B18, '[1]Exp of flat'!$B$2:$X$31, $A$1, FALSE)</f>
        <v>1888</v>
      </c>
      <c r="Y18" s="1">
        <f>VLOOKUP($B18, '[1]Imp of flat'!$B$2:$X$31, $A$1, FALSE)</f>
        <v>5254</v>
      </c>
      <c r="Z18" s="1">
        <f>VLOOKUP($B18, '[1]Indirect exp'!$B$2:$X$31, $A$1, FALSE)</f>
        <v>8696</v>
      </c>
      <c r="AA18" s="1">
        <f>VLOOKUP($B18, '[1]Indirect imp'!$B$2:$X$31, $A$1, FALSE)</f>
        <v>6774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42063</v>
      </c>
      <c r="D19" s="1">
        <f>VLOOKUP($B19, '[1]Pro of iron ore'!$B$2:$X$31, $A$1, FALSE)*(1-VLOOKUP($B19, '[1]Foundry share'!$B$2:$X$31, $A$1, FALSE))</f>
        <v>26000</v>
      </c>
      <c r="E19" s="47">
        <f>VLOOKUP($B19, '[1]Iron content'!$B$2:$X$31, $A$1, FALSE)</f>
        <v>0.61812043839003394</v>
      </c>
      <c r="F19" s="1">
        <f>VLOOKUP($B19, '[1]Exp of usable iron ore'!$B$2:$X$31, $A$1, FALSE)*parameters!$B$12</f>
        <v>24714.95</v>
      </c>
      <c r="G19" s="1">
        <f>VLOOKUP($B19, '[1]Pro of pig iron'!$B$2:$X$31, $A$1, FALSE)*(1-VLOOKUP($B19, '[1]Foundry share'!$B$2:$X$31, $A$1, FALSE))</f>
        <v>6100</v>
      </c>
      <c r="H19" s="1">
        <f>VLOOKUP($B19, '[1]Exp of pig iron'!$B$2:$X$31, $A$1, FALSE)</f>
        <v>76</v>
      </c>
      <c r="I19" s="1">
        <f>VLOOKUP($B19, '[1]Imp of pig iron'!$B$2:$X$31, $A$1, FALSE)</f>
        <v>28</v>
      </c>
      <c r="J19" s="1">
        <f>VLOOKUP($B19, '[1]Pro of DRI'!$B$2:$X$31, $A$1, FALSE)*(1-VLOOKUP($B19, '[1]Foundry share'!$B$2:$X$31, $A$1, FALSE))</f>
        <v>1250</v>
      </c>
      <c r="K19" s="1">
        <f>VLOOKUP($B19, '[1]Exp of DRI'!$B$2:$X$31, $A$1, FALSE)</f>
        <v>83</v>
      </c>
      <c r="L19" s="1">
        <f>VLOOKUP($B19, '[1]Imp of DRI'!$B$2:$X$31, $A$1, FALSE)</f>
        <v>64</v>
      </c>
      <c r="M19" s="1">
        <f>VLOOKUP($B19, '[1]Exp of scrap'!$B$2:$X$31, $A$1, FALSE)</f>
        <v>4521</v>
      </c>
      <c r="N19" s="1">
        <f>VLOOKUP($B19, '[1]Imp of scrap'!$B$2:$X$31, $A$1, FALSE)</f>
        <v>1746</v>
      </c>
      <c r="O19" s="1">
        <f>VLOOKUP($B19, '[1]Pro of BOF steel'!$B$2:$X$31, $A$1, FALSE)</f>
        <v>6850</v>
      </c>
      <c r="P19" s="1">
        <f>VLOOKUP($B19, '[1]Pro of OHF steel'!$B$2:$X$31, $A$1, FALSE)</f>
        <v>0</v>
      </c>
      <c r="Q19" s="1">
        <f>VLOOKUP($B19, '[1]Pro of EAF steel'!$B$2:$X$31, $A$1, FALSE)</f>
        <v>5565</v>
      </c>
      <c r="R19" s="1">
        <f>VLOOKUP($B19, '[1]Exp of ingots and semis'!$B$2:$X$31, $A$1, FALSE)</f>
        <v>314</v>
      </c>
      <c r="S19" s="1">
        <f>VLOOKUP($B19, '[1]Imp of ingots and semis'!$B$2:$X$31, $A$1, FALSE)</f>
        <v>278</v>
      </c>
      <c r="T19" s="1">
        <f>VLOOKUP($B19, '[1]Pro of hr long'!$B$2:$X$31, $A$1, FALSE)+VLOOKUP($B19, '[1]Pro of seamless tubes'!$B$2:$X$31, $A$1, FALSE)</f>
        <v>2707</v>
      </c>
      <c r="U19" s="1">
        <f>VLOOKUP($B19, '[1]Exp of long'!$B$2:$X$31, $A$1, FALSE)</f>
        <v>1348</v>
      </c>
      <c r="V19" s="1">
        <f>VLOOKUP($B19, '[1]Imp of long'!$B$2:$X$31, $A$1, FALSE)</f>
        <v>2672</v>
      </c>
      <c r="W19" s="1">
        <f>VLOOKUP($B19, '[1]Pro of hr flat'!$B$2:$X$31, $A$1, FALSE)*parameters!$B$8</f>
        <v>8819.7354196301567</v>
      </c>
      <c r="X19" s="1">
        <f>VLOOKUP($B19, '[1]Exp of flat'!$B$2:$X$31, $A$1, FALSE)</f>
        <v>3037</v>
      </c>
      <c r="Y19" s="1">
        <f>VLOOKUP($B19, '[1]Imp of flat'!$B$2:$X$31, $A$1, FALSE)</f>
        <v>3912</v>
      </c>
      <c r="Z19" s="1">
        <f>VLOOKUP($B19, '[1]Indirect exp'!$B$2:$X$31, $A$1, FALSE)</f>
        <v>5166</v>
      </c>
      <c r="AA19" s="1">
        <f>VLOOKUP($B19, '[1]Indirect imp'!$B$2:$X$31, $A$1, FALSE)</f>
        <v>12853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4000</v>
      </c>
      <c r="D20" s="1">
        <f>VLOOKUP($B20, '[1]Pro of iron ore'!$B$2:$X$31, $A$1, FALSE)*(1-VLOOKUP($B20, '[1]Foundry share'!$B$2:$X$31, $A$1, FALSE))</f>
        <v>2460</v>
      </c>
      <c r="E20" s="47">
        <f>VLOOKUP($B20, '[1]Iron content'!$B$2:$X$31, $A$1, FALSE)</f>
        <v>0.61499999999999999</v>
      </c>
      <c r="F20" s="1">
        <f>VLOOKUP($B20, '[1]Exp of usable iron ore'!$B$2:$X$31, $A$1, FALSE)*parameters!$B$12</f>
        <v>14500.2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63</v>
      </c>
      <c r="I20" s="1">
        <f>VLOOKUP($B20, '[1]Imp of pig iron'!$B$2:$X$31, $A$1, FALSE)</f>
        <v>263</v>
      </c>
      <c r="J20" s="1">
        <f>VLOOKUP($B20, '[1]Pro of DRI'!$B$2:$X$31, $A$1, FALSE)*(1-VLOOKUP($B20, '[1]Foundry share'!$B$2:$X$31, $A$1, FALSE))</f>
        <v>757</v>
      </c>
      <c r="K20" s="1">
        <f>VLOOKUP($B20, '[1]Exp of DRI'!$B$2:$X$31, $A$1, FALSE)</f>
        <v>0</v>
      </c>
      <c r="L20" s="1">
        <f>VLOOKUP($B20, '[1]Imp of DRI'!$B$2:$X$31, $A$1, FALSE)</f>
        <v>182</v>
      </c>
      <c r="M20" s="1">
        <f>VLOOKUP($B20, '[1]Exp of scrap'!$B$2:$X$31, $A$1, FALSE)</f>
        <v>42</v>
      </c>
      <c r="N20" s="1">
        <f>VLOOKUP($B20, '[1]Imp of scrap'!$B$2:$X$31, $A$1, FALSE)</f>
        <v>2399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2644</v>
      </c>
      <c r="R20" s="1">
        <f>VLOOKUP($B20, '[1]Exp of ingots and semis'!$B$2:$X$31, $A$1, FALSE)</f>
        <v>6</v>
      </c>
      <c r="S20" s="1">
        <f>VLOOKUP($B20, '[1]Imp of ingots and semis'!$B$2:$X$31, $A$1, FALSE)</f>
        <v>3828</v>
      </c>
      <c r="T20" s="1">
        <f>VLOOKUP($B20, '[1]Pro of hr long'!$B$2:$X$31, $A$1, FALSE)+VLOOKUP($B20, '[1]Pro of seamless tubes'!$B$2:$X$31, $A$1, FALSE)</f>
        <v>2718</v>
      </c>
      <c r="U20" s="1">
        <f>VLOOKUP($B20, '[1]Exp of long'!$B$2:$X$31, $A$1, FALSE)</f>
        <v>138</v>
      </c>
      <c r="V20" s="1">
        <f>VLOOKUP($B20, '[1]Imp of long'!$B$2:$X$31, $A$1, FALSE)</f>
        <v>2099</v>
      </c>
      <c r="W20" s="1">
        <f>VLOOKUP($B20, '[1]Pro of hr flat'!$B$2:$X$31, $A$1, FALSE)*parameters!$B$8</f>
        <v>2329.7780938833571</v>
      </c>
      <c r="X20" s="1">
        <f>VLOOKUP($B20, '[1]Exp of flat'!$B$2:$X$31, $A$1, FALSE)</f>
        <v>147</v>
      </c>
      <c r="Y20" s="1">
        <f>VLOOKUP($B20, '[1]Imp of flat'!$B$2:$X$31, $A$1, FALSE)</f>
        <v>5231</v>
      </c>
      <c r="Z20" s="1">
        <f>VLOOKUP($B20, '[1]Indirect exp'!$B$2:$X$31, $A$1, FALSE)</f>
        <v>1565</v>
      </c>
      <c r="AA20" s="1">
        <f>VLOOKUP($B20, '[1]Indirect imp'!$B$2:$X$31, $A$1, FALSE)</f>
        <v>4744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4011</v>
      </c>
      <c r="H21" s="1">
        <f>VLOOKUP($B21, '[1]Exp of pig iron'!$B$2:$X$31, $A$1, FALSE)</f>
        <v>0</v>
      </c>
      <c r="I21" s="1">
        <f>VLOOKUP($B21, '[1]Imp of pig iron'!$B$2:$X$31, $A$1, FALSE)</f>
        <v>157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1909</v>
      </c>
      <c r="N21" s="1">
        <f>VLOOKUP($B21, '[1]Imp of scrap'!$B$2:$X$31, $A$1, FALSE)</f>
        <v>507</v>
      </c>
      <c r="O21" s="1">
        <f>VLOOKUP($B21, '[1]Pro of BOF steel'!$B$2:$X$31, $A$1, FALSE)</f>
        <v>4399</v>
      </c>
      <c r="P21" s="1">
        <f>VLOOKUP($B21, '[1]Pro of OHF steel'!$B$2:$X$31, $A$1, FALSE)</f>
        <v>0</v>
      </c>
      <c r="Q21" s="1">
        <f>VLOOKUP($B21, '[1]Pro of EAF steel'!$B$2:$X$31, $A$1, FALSE)</f>
        <v>3551</v>
      </c>
      <c r="R21" s="1">
        <f>VLOOKUP($B21, '[1]Exp of ingots and semis'!$B$2:$X$31, $A$1, FALSE)</f>
        <v>375</v>
      </c>
      <c r="S21" s="1">
        <f>VLOOKUP($B21, '[1]Imp of ingots and semis'!$B$2:$X$31, $A$1, FALSE)</f>
        <v>603</v>
      </c>
      <c r="T21" s="1">
        <f>VLOOKUP($B21, '[1]Pro of hr long'!$B$2:$X$31, $A$1, FALSE)+VLOOKUP($B21, '[1]Pro of seamless tubes'!$B$2:$X$31, $A$1, FALSE)</f>
        <v>4607</v>
      </c>
      <c r="U21" s="1">
        <f>VLOOKUP($B21, '[1]Exp of long'!$B$2:$X$31, $A$1, FALSE)</f>
        <v>2760</v>
      </c>
      <c r="V21" s="1">
        <f>VLOOKUP($B21, '[1]Imp of long'!$B$2:$X$31, $A$1, FALSE)</f>
        <v>1674</v>
      </c>
      <c r="W21" s="1">
        <f>VLOOKUP($B21, '[1]Pro of hr flat'!$B$2:$X$31, $A$1, FALSE)*parameters!$B$8</f>
        <v>2825.2688477951638</v>
      </c>
      <c r="X21" s="1">
        <f>VLOOKUP($B21, '[1]Exp of flat'!$B$2:$X$31, $A$1, FALSE)</f>
        <v>1319</v>
      </c>
      <c r="Y21" s="1">
        <f>VLOOKUP($B21, '[1]Imp of flat'!$B$2:$X$31, $A$1, FALSE)</f>
        <v>5085</v>
      </c>
      <c r="Z21" s="1">
        <f>VLOOKUP($B21, '[1]Indirect exp'!$B$2:$X$31, $A$1, FALSE)</f>
        <v>8641</v>
      </c>
      <c r="AA21" s="1">
        <f>VLOOKUP($B21, '[1]Indirect imp'!$B$2:$X$31, $A$1, FALSE)</f>
        <v>6231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3320</v>
      </c>
      <c r="D22" s="1">
        <f>VLOOKUP($B22, '[1]Pro of iron ore'!$B$2:$X$31, $A$1, FALSE)*(1-VLOOKUP($B22, '[1]Foundry share'!$B$2:$X$31, $A$1, FALSE))</f>
        <v>1960</v>
      </c>
      <c r="E22" s="47">
        <f>VLOOKUP($B22, '[1]Iron content'!$B$2:$X$31, $A$1, FALSE)</f>
        <v>0.59036144578313254</v>
      </c>
      <c r="F22" s="1">
        <f>VLOOKUP($B22, '[1]Exp of usable iron ore'!$B$2:$X$31, $A$1, FALSE)*parameters!$B$12</f>
        <v>80.600000000000009</v>
      </c>
      <c r="G22" s="1">
        <f>VLOOKUP($B22, '[1]Pro of pig iron'!$B$2:$X$31, $A$1, FALSE)*(1-VLOOKUP($B22, '[1]Foundry share'!$B$2:$X$31, $A$1, FALSE))</f>
        <v>550</v>
      </c>
      <c r="H22" s="1">
        <f>VLOOKUP($B22, '[1]Exp of pig iron'!$B$2:$X$31, $A$1, FALSE)</f>
        <v>0</v>
      </c>
      <c r="I22" s="1">
        <f>VLOOKUP($B22, '[1]Imp of pig iron'!$B$2:$X$31, $A$1, FALSE)</f>
        <v>59</v>
      </c>
      <c r="J22" s="1">
        <f>VLOOKUP($B22, '[1]Pro of DRI'!$B$2:$X$31, $A$1, FALSE)*(1-VLOOKUP($B22, '[1]Foundry share'!$B$2:$X$31, $A$1, FALSE))</f>
        <v>3432</v>
      </c>
      <c r="K22" s="1">
        <f>VLOOKUP($B22, '[1]Exp of DRI'!$B$2:$X$31, $A$1, FALSE)</f>
        <v>0</v>
      </c>
      <c r="L22" s="1">
        <f>VLOOKUP($B22, '[1]Imp of DRI'!$B$2:$X$31, $A$1, FALSE)</f>
        <v>86</v>
      </c>
      <c r="M22" s="1">
        <f>VLOOKUP($B22, '[1]Exp of scrap'!$B$2:$X$31, $A$1, FALSE)</f>
        <v>30</v>
      </c>
      <c r="N22" s="1">
        <f>VLOOKUP($B22, '[1]Imp of scrap'!$B$2:$X$31, $A$1, FALSE)</f>
        <v>2891</v>
      </c>
      <c r="O22" s="1">
        <f>VLOOKUP($B22, '[1]Pro of BOF steel'!$B$2:$X$31, $A$1, FALSE)</f>
        <v>540</v>
      </c>
      <c r="P22" s="1">
        <f>VLOOKUP($B22, '[1]Pro of OHF steel'!$B$2:$X$31, $A$1, FALSE)</f>
        <v>0</v>
      </c>
      <c r="Q22" s="1">
        <f>VLOOKUP($B22, '[1]Pro of EAF steel'!$B$2:$X$31, $A$1, FALSE)</f>
        <v>6215</v>
      </c>
      <c r="R22" s="1">
        <f>VLOOKUP($B22, '[1]Exp of ingots and semis'!$B$2:$X$31, $A$1, FALSE)</f>
        <v>181</v>
      </c>
      <c r="S22" s="1">
        <f>VLOOKUP($B22, '[1]Imp of ingots and semis'!$B$2:$X$31, $A$1, FALSE)</f>
        <v>2602</v>
      </c>
      <c r="T22" s="1">
        <f>VLOOKUP($B22, '[1]Pro of hr long'!$B$2:$X$31, $A$1, FALSE)+VLOOKUP($B22, '[1]Pro of seamless tubes'!$B$2:$X$31, $A$1, FALSE)</f>
        <v>6372</v>
      </c>
      <c r="U22" s="1">
        <f>VLOOKUP($B22, '[1]Exp of long'!$B$2:$X$31, $A$1, FALSE)</f>
        <v>595</v>
      </c>
      <c r="V22" s="1">
        <f>VLOOKUP($B22, '[1]Imp of long'!$B$2:$X$31, $A$1, FALSE)</f>
        <v>446</v>
      </c>
      <c r="W22" s="1">
        <f>VLOOKUP($B22, '[1]Pro of hr flat'!$B$2:$X$31, $A$1, FALSE)*parameters!$B$8</f>
        <v>1035.6728307254623</v>
      </c>
      <c r="X22" s="1">
        <f>VLOOKUP($B22, '[1]Exp of flat'!$B$2:$X$31, $A$1, FALSE)</f>
        <v>1141</v>
      </c>
      <c r="Y22" s="1">
        <f>VLOOKUP($B22, '[1]Imp of flat'!$B$2:$X$31, $A$1, FALSE)</f>
        <v>855</v>
      </c>
      <c r="Z22" s="1">
        <f>VLOOKUP($B22, '[1]Indirect exp'!$B$2:$X$31, $A$1, FALSE)</f>
        <v>223</v>
      </c>
      <c r="AA22" s="1">
        <f>VLOOKUP($B22, '[1]Indirect imp'!$B$2:$X$31, $A$1, FALSE)</f>
        <v>1050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77</v>
      </c>
      <c r="J23" s="1">
        <f>VLOOKUP($B23, '[1]Pro of DRI'!$B$2:$X$31, $A$1, FALSE)*(1-VLOOKUP($B23, '[1]Foundry share'!$B$2:$X$31, $A$1, FALSE))</f>
        <v>4169.152658271777</v>
      </c>
      <c r="K23" s="1">
        <f>VLOOKUP($B23, '[1]Exp of DRI'!$B$2:$X$31, $A$1, FALSE)</f>
        <v>33</v>
      </c>
      <c r="L23" s="1">
        <f>VLOOKUP($B23, '[1]Imp of DRI'!$B$2:$X$31, $A$1, FALSE)</f>
        <v>80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5471</v>
      </c>
      <c r="R23" s="1">
        <f>VLOOKUP($B23, '[1]Exp of ingots and semis'!$B$2:$X$31, $A$1, FALSE)</f>
        <v>70</v>
      </c>
      <c r="S23" s="1">
        <f>VLOOKUP($B23, '[1]Imp of ingots and semis'!$B$2:$X$31, $A$1, FALSE)</f>
        <v>1962</v>
      </c>
      <c r="T23" s="1">
        <f>VLOOKUP($B23, '[1]Pro of hr long'!$B$2:$X$31, $A$1, FALSE)+VLOOKUP($B23, '[1]Pro of seamless tubes'!$B$2:$X$31, $A$1, FALSE)</f>
        <v>2900</v>
      </c>
      <c r="U23" s="1">
        <f>VLOOKUP($B23, '[1]Exp of long'!$B$2:$X$31, $A$1, FALSE)</f>
        <v>2</v>
      </c>
      <c r="V23" s="1">
        <f>VLOOKUP($B23, '[1]Imp of long'!$B$2:$X$31, $A$1, FALSE)</f>
        <v>1604</v>
      </c>
      <c r="W23" s="1">
        <f>VLOOKUP($B23, '[1]Pro of hr flat'!$B$2:$X$31, $A$1, FALSE)*parameters!$B$8</f>
        <v>1943.1009957325746</v>
      </c>
      <c r="X23" s="1">
        <f>VLOOKUP($B23, '[1]Exp of flat'!$B$2:$X$31, $A$1, FALSE)</f>
        <v>48</v>
      </c>
      <c r="Y23" s="1">
        <f>VLOOKUP($B23, '[1]Imp of flat'!$B$2:$X$31, $A$1, FALSE)</f>
        <v>2056</v>
      </c>
      <c r="Z23" s="1">
        <f>VLOOKUP($B23, '[1]Indirect exp'!$B$2:$X$31, $A$1, FALSE)</f>
        <v>729</v>
      </c>
      <c r="AA23" s="1">
        <f>VLOOKUP($B23, '[1]Indirect imp'!$B$2:$X$31, $A$1, FALSE)</f>
        <v>5829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2323</v>
      </c>
      <c r="D24" s="1">
        <f>VLOOKUP($B24, '[1]Pro of iron ore'!$B$2:$X$31, $A$1, FALSE)*(1-VLOOKUP($B24, '[1]Foundry share'!$B$2:$X$31, $A$1, FALSE))</f>
        <v>743</v>
      </c>
      <c r="E24" s="47">
        <f>VLOOKUP($B24, '[1]Iron content'!$B$2:$X$31, $A$1, FALSE)</f>
        <v>0.31984502798105896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6152</v>
      </c>
      <c r="H24" s="1">
        <f>VLOOKUP($B24, '[1]Exp of pig iron'!$B$2:$X$31, $A$1, FALSE)</f>
        <v>1</v>
      </c>
      <c r="I24" s="1">
        <f>VLOOKUP($B24, '[1]Imp of pig iron'!$B$2:$X$31, $A$1, FALSE)</f>
        <v>21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37</v>
      </c>
      <c r="M24" s="1">
        <f>VLOOKUP($B24, '[1]Exp of scrap'!$B$2:$X$31, $A$1, FALSE)</f>
        <v>999</v>
      </c>
      <c r="N24" s="1">
        <f>VLOOKUP($B24, '[1]Imp of scrap'!$B$2:$X$31, $A$1, FALSE)</f>
        <v>1141</v>
      </c>
      <c r="O24" s="1">
        <f>VLOOKUP($B24, '[1]Pro of BOF steel'!$B$2:$X$31, $A$1, FALSE)</f>
        <v>7288</v>
      </c>
      <c r="P24" s="1">
        <f>VLOOKUP($B24, '[1]Pro of OHF steel'!$B$2:$X$31, $A$1, FALSE)</f>
        <v>0</v>
      </c>
      <c r="Q24" s="1">
        <f>VLOOKUP($B24, '[1]Pro of EAF steel'!$B$2:$X$31, $A$1, FALSE)</f>
        <v>664</v>
      </c>
      <c r="R24" s="1">
        <f>VLOOKUP($B24, '[1]Exp of ingots and semis'!$B$2:$X$31, $A$1, FALSE)</f>
        <v>301</v>
      </c>
      <c r="S24" s="1">
        <f>VLOOKUP($B24, '[1]Imp of ingots and semis'!$B$2:$X$31, $A$1, FALSE)</f>
        <v>155</v>
      </c>
      <c r="T24" s="1">
        <f>VLOOKUP($B24, '[1]Pro of hr long'!$B$2:$X$31, $A$1, FALSE)+VLOOKUP($B24, '[1]Pro of seamless tubes'!$B$2:$X$31, $A$1, FALSE)</f>
        <v>1955</v>
      </c>
      <c r="U24" s="1">
        <f>VLOOKUP($B24, '[1]Exp of long'!$B$2:$X$31, $A$1, FALSE)</f>
        <v>942</v>
      </c>
      <c r="V24" s="1">
        <f>VLOOKUP($B24, '[1]Imp of long'!$B$2:$X$31, $A$1, FALSE)</f>
        <v>1043</v>
      </c>
      <c r="W24" s="1">
        <f>VLOOKUP($B24, '[1]Pro of hr flat'!$B$2:$X$31, $A$1, FALSE)*parameters!$B$8</f>
        <v>5267.74679943101</v>
      </c>
      <c r="X24" s="1">
        <f>VLOOKUP($B24, '[1]Exp of flat'!$B$2:$X$31, $A$1, FALSE)</f>
        <v>4573</v>
      </c>
      <c r="Y24" s="1">
        <f>VLOOKUP($B24, '[1]Imp of flat'!$B$2:$X$31, $A$1, FALSE)</f>
        <v>1718</v>
      </c>
      <c r="Z24" s="1">
        <f>VLOOKUP($B24, '[1]Indirect exp'!$B$2:$X$31, $A$1, FALSE)</f>
        <v>3606</v>
      </c>
      <c r="AA24" s="1">
        <f>VLOOKUP($B24, '[1]Indirect imp'!$B$2:$X$31, $A$1, FALSE)</f>
        <v>3696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5.2</v>
      </c>
      <c r="G25" s="1">
        <f>VLOOKUP($B25, '[1]Pro of pig iron'!$B$2:$X$31, $A$1, FALSE)*(1-VLOOKUP($B25, '[1]Foundry share'!$B$2:$X$31, $A$1, FALSE))</f>
        <v>4343</v>
      </c>
      <c r="H25" s="1">
        <f>VLOOKUP($B25, '[1]Exp of pig iron'!$B$2:$X$31, $A$1, FALSE)</f>
        <v>231</v>
      </c>
      <c r="I25" s="1">
        <f>VLOOKUP($B25, '[1]Imp of pig iron'!$B$2:$X$31, $A$1, FALSE)</f>
        <v>279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31</v>
      </c>
      <c r="M25" s="1">
        <f>VLOOKUP($B25, '[1]Exp of scrap'!$B$2:$X$31, $A$1, FALSE)</f>
        <v>3212</v>
      </c>
      <c r="N25" s="1">
        <f>VLOOKUP($B25, '[1]Imp of scrap'!$B$2:$X$31, $A$1, FALSE)</f>
        <v>4213</v>
      </c>
      <c r="O25" s="1">
        <f>VLOOKUP($B25, '[1]Pro of BOF steel'!$B$2:$X$31, $A$1, FALSE)</f>
        <v>4738</v>
      </c>
      <c r="P25" s="1">
        <f>VLOOKUP($B25, '[1]Pro of OHF steel'!$B$2:$X$31, $A$1, FALSE)</f>
        <v>0</v>
      </c>
      <c r="Q25" s="1">
        <f>VLOOKUP($B25, '[1]Pro of EAF steel'!$B$2:$X$31, $A$1, FALSE)</f>
        <v>2389</v>
      </c>
      <c r="R25" s="1">
        <f>VLOOKUP($B25, '[1]Exp of ingots and semis'!$B$2:$X$31, $A$1, FALSE)</f>
        <v>287</v>
      </c>
      <c r="S25" s="1">
        <f>VLOOKUP($B25, '[1]Imp of ingots and semis'!$B$2:$X$31, $A$1, FALSE)</f>
        <v>1631</v>
      </c>
      <c r="T25" s="1">
        <f>VLOOKUP($B25, '[1]Pro of hr long'!$B$2:$X$31, $A$1, FALSE)+VLOOKUP($B25, '[1]Pro of seamless tubes'!$B$2:$X$31, $A$1, FALSE)</f>
        <v>796</v>
      </c>
      <c r="U25" s="1">
        <f>VLOOKUP($B25, '[1]Exp of long'!$B$2:$X$31, $A$1, FALSE)</f>
        <v>1284</v>
      </c>
      <c r="V25" s="1">
        <f>VLOOKUP($B25, '[1]Imp of long'!$B$2:$X$31, $A$1, FALSE)</f>
        <v>1435</v>
      </c>
      <c r="W25" s="1">
        <f>VLOOKUP($B25, '[1]Pro of hr flat'!$B$2:$X$31, $A$1, FALSE)*parameters!$B$8</f>
        <v>7284.6856330014225</v>
      </c>
      <c r="X25" s="1">
        <f>VLOOKUP($B25, '[1]Exp of flat'!$B$2:$X$31, $A$1, FALSE)</f>
        <v>11923</v>
      </c>
      <c r="Y25" s="1">
        <f>VLOOKUP($B25, '[1]Imp of flat'!$B$2:$X$31, $A$1, FALSE)</f>
        <v>6472</v>
      </c>
      <c r="Z25" s="1">
        <f>VLOOKUP($B25, '[1]Indirect exp'!$B$2:$X$31, $A$1, FALSE)</f>
        <v>7942</v>
      </c>
      <c r="AA25" s="1">
        <f>VLOOKUP($B25, '[1]Indirect imp'!$B$2:$X$31, $A$1, FALSE)</f>
        <v>8323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9471</v>
      </c>
      <c r="H26" s="1">
        <f>VLOOKUP($B26, '[1]Exp of pig iron'!$B$2:$X$31, $A$1, FALSE)</f>
        <v>2</v>
      </c>
      <c r="I26" s="1">
        <f>VLOOKUP($B26, '[1]Imp of pig iron'!$B$2:$X$31, $A$1, FALSE)</f>
        <v>38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24</v>
      </c>
      <c r="M26" s="1">
        <f>VLOOKUP($B26, '[1]Exp of scrap'!$B$2:$X$31, $A$1, FALSE)</f>
        <v>6948</v>
      </c>
      <c r="N26" s="1">
        <f>VLOOKUP($B26, '[1]Imp of scrap'!$B$2:$X$31, $A$1, FALSE)</f>
        <v>303</v>
      </c>
      <c r="O26" s="1">
        <f>VLOOKUP($B26, '[1]Pro of BOF steel'!$B$2:$X$31, $A$1, FALSE)</f>
        <v>9915</v>
      </c>
      <c r="P26" s="1">
        <f>VLOOKUP($B26, '[1]Pro of OHF steel'!$B$2:$X$31, $A$1, FALSE)</f>
        <v>0</v>
      </c>
      <c r="Q26" s="1">
        <f>VLOOKUP($B26, '[1]Pro of EAF steel'!$B$2:$X$31, $A$1, FALSE)</f>
        <v>1942</v>
      </c>
      <c r="R26" s="1">
        <f>VLOOKUP($B26, '[1]Exp of ingots and semis'!$B$2:$X$31, $A$1, FALSE)</f>
        <v>3494</v>
      </c>
      <c r="S26" s="1">
        <f>VLOOKUP($B26, '[1]Imp of ingots and semis'!$B$2:$X$31, $A$1, FALSE)</f>
        <v>444</v>
      </c>
      <c r="T26" s="1">
        <f>VLOOKUP($B26, '[1]Pro of hr long'!$B$2:$X$31, $A$1, FALSE)+VLOOKUP($B26, '[1]Pro of seamless tubes'!$B$2:$X$31, $A$1, FALSE)</f>
        <v>3040</v>
      </c>
      <c r="U26" s="1">
        <f>VLOOKUP($B26, '[1]Exp of long'!$B$2:$X$31, $A$1, FALSE)</f>
        <v>1823</v>
      </c>
      <c r="V26" s="1">
        <f>VLOOKUP($B26, '[1]Imp of long'!$B$2:$X$31, $A$1, FALSE)</f>
        <v>1895</v>
      </c>
      <c r="W26" s="1">
        <f>VLOOKUP($B26, '[1]Pro of hr flat'!$B$2:$X$31, $A$1, FALSE)*parameters!$B$8</f>
        <v>4870.3826458036983</v>
      </c>
      <c r="X26" s="1">
        <f>VLOOKUP($B26, '[1]Exp of flat'!$B$2:$X$31, $A$1, FALSE)</f>
        <v>2429</v>
      </c>
      <c r="Y26" s="1">
        <f>VLOOKUP($B26, '[1]Imp of flat'!$B$2:$X$31, $A$1, FALSE)</f>
        <v>3107</v>
      </c>
      <c r="Z26" s="1">
        <f>VLOOKUP($B26, '[1]Indirect exp'!$B$2:$X$31, $A$1, FALSE)</f>
        <v>5998</v>
      </c>
      <c r="AA26" s="1">
        <f>VLOOKUP($B26, '[1]Indirect imp'!$B$2:$X$31, $A$1, FALSE)</f>
        <v>10484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13709.800000000001</v>
      </c>
      <c r="G27" s="1">
        <f>VLOOKUP($B27, '[1]Pro of pig iron'!$B$2:$X$31, $A$1, FALSE)*(1-VLOOKUP($B27, '[1]Foundry share'!$B$2:$X$31, $A$1, FALSE))</f>
        <v>5231.0548990588641</v>
      </c>
      <c r="H27" s="1">
        <f>VLOOKUP($B27, '[1]Exp of pig iron'!$B$2:$X$31, $A$1, FALSE)</f>
        <v>113</v>
      </c>
      <c r="I27" s="1">
        <f>VLOOKUP($B27, '[1]Imp of pig iron'!$B$2:$X$31, $A$1, FALSE)</f>
        <v>243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8</v>
      </c>
      <c r="L27" s="1">
        <f>VLOOKUP($B27, '[1]Imp of DRI'!$B$2:$X$31, $A$1, FALSE)</f>
        <v>189</v>
      </c>
      <c r="M27" s="1">
        <f>VLOOKUP($B27, '[1]Exp of scrap'!$B$2:$X$31, $A$1, FALSE)</f>
        <v>4195</v>
      </c>
      <c r="N27" s="1">
        <f>VLOOKUP($B27, '[1]Imp of scrap'!$B$2:$X$31, $A$1, FALSE)</f>
        <v>1742</v>
      </c>
      <c r="O27" s="1">
        <f>VLOOKUP($B27, '[1]Pro of BOF steel'!$B$2:$X$31, $A$1, FALSE)</f>
        <v>6581</v>
      </c>
      <c r="P27" s="1">
        <f>VLOOKUP($B27, '[1]Pro of OHF steel'!$B$2:$X$31, $A$1, FALSE)</f>
        <v>0</v>
      </c>
      <c r="Q27" s="1">
        <f>VLOOKUP($B27, '[1]Pro of EAF steel'!$B$2:$X$31, $A$1, FALSE)</f>
        <v>132</v>
      </c>
      <c r="R27" s="1">
        <f>VLOOKUP($B27, '[1]Exp of ingots and semis'!$B$2:$X$31, $A$1, FALSE)</f>
        <v>667</v>
      </c>
      <c r="S27" s="1">
        <f>VLOOKUP($B27, '[1]Imp of ingots and semis'!$B$2:$X$31, $A$1, FALSE)</f>
        <v>387</v>
      </c>
      <c r="T27" s="1">
        <f>VLOOKUP($B27, '[1]Pro of hr long'!$B$2:$X$31, $A$1, FALSE)+VLOOKUP($B27, '[1]Pro of seamless tubes'!$B$2:$X$31, $A$1, FALSE)</f>
        <v>180</v>
      </c>
      <c r="U27" s="1">
        <f>VLOOKUP($B27, '[1]Exp of long'!$B$2:$X$31, $A$1, FALSE)</f>
        <v>666</v>
      </c>
      <c r="V27" s="1">
        <f>VLOOKUP($B27, '[1]Imp of long'!$B$2:$X$31, $A$1, FALSE)</f>
        <v>2024</v>
      </c>
      <c r="W27" s="1">
        <f>VLOOKUP($B27, '[1]Pro of hr flat'!$B$2:$X$31, $A$1, FALSE)*parameters!$B$8</f>
        <v>6023.6130867709817</v>
      </c>
      <c r="X27" s="1">
        <f>VLOOKUP($B27, '[1]Exp of flat'!$B$2:$X$31, $A$1, FALSE)</f>
        <v>6912</v>
      </c>
      <c r="Y27" s="1">
        <f>VLOOKUP($B27, '[1]Imp of flat'!$B$2:$X$31, $A$1, FALSE)</f>
        <v>3055</v>
      </c>
      <c r="Z27" s="1">
        <f>VLOOKUP($B27, '[1]Indirect exp'!$B$2:$X$31, $A$1, FALSE)</f>
        <v>7394</v>
      </c>
      <c r="AA27" s="1">
        <f>VLOOKUP($B27, '[1]Indirect imp'!$B$2:$X$31, $A$1, FALSE)</f>
        <v>6478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682700</v>
      </c>
      <c r="D28" s="1">
        <f>VLOOKUP($B28, '[1]Pro of iron ore'!$B$2:$X$31, $A$1, FALSE)*(1-VLOOKUP($B28, '[1]Foundry share'!$B$2:$X$31, $A$1, FALSE))</f>
        <v>413000</v>
      </c>
      <c r="E28" s="47">
        <f>VLOOKUP($B28, '[1]Iron content'!$B$2:$X$31, $A$1, FALSE)</f>
        <v>0.60495093013036472</v>
      </c>
      <c r="F28" s="1">
        <f>VLOOKUP($B28, '[1]Exp of usable iron ore'!$B$2:$X$31, $A$1, FALSE)*parameters!$B$12</f>
        <v>398696.35000000003</v>
      </c>
      <c r="G28" s="1">
        <f>VLOOKUP($B28, '[1]Pro of pig iron'!$B$2:$X$31, $A$1, FALSE)*(1-VLOOKUP($B28, '[1]Foundry share'!$B$2:$X$31, $A$1, FALSE))</f>
        <v>3477</v>
      </c>
      <c r="H28" s="1">
        <f>VLOOKUP($B28, '[1]Exp of pig iron'!$B$2:$X$31, $A$1, FALSE)</f>
        <v>0</v>
      </c>
      <c r="I28" s="1">
        <f>VLOOKUP($B28, '[1]Imp of pig iron'!$B$2:$X$31, $A$1, FALSE)</f>
        <v>10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2200</v>
      </c>
      <c r="N28" s="1">
        <f>VLOOKUP($B28, '[1]Imp of scrap'!$B$2:$X$31, $A$1, FALSE)</f>
        <v>2</v>
      </c>
      <c r="O28" s="1">
        <f>VLOOKUP($B28, '[1]Pro of BOF steel'!$B$2:$X$31, $A$1, FALSE)</f>
        <v>3642</v>
      </c>
      <c r="P28" s="1">
        <f>VLOOKUP($B28, '[1]Pro of OHF steel'!$B$2:$X$31, $A$1, FALSE)</f>
        <v>0</v>
      </c>
      <c r="Q28" s="1">
        <f>VLOOKUP($B28, '[1]Pro of EAF steel'!$B$2:$X$31, $A$1, FALSE)</f>
        <v>1045</v>
      </c>
      <c r="R28" s="1">
        <f>VLOOKUP($B28, '[1]Exp of ingots and semis'!$B$2:$X$31, $A$1, FALSE)</f>
        <v>28</v>
      </c>
      <c r="S28" s="1">
        <f>VLOOKUP($B28, '[1]Imp of ingots and semis'!$B$2:$X$31, $A$1, FALSE)</f>
        <v>3</v>
      </c>
      <c r="T28" s="1">
        <f>VLOOKUP($B28, '[1]Pro of hr long'!$B$2:$X$31, $A$1, FALSE)+VLOOKUP($B28, '[1]Pro of seamless tubes'!$B$2:$X$31, $A$1, FALSE)</f>
        <v>1850</v>
      </c>
      <c r="U28" s="1">
        <f>VLOOKUP($B28, '[1]Exp of long'!$B$2:$X$31, $A$1, FALSE)</f>
        <v>99</v>
      </c>
      <c r="V28" s="1">
        <f>VLOOKUP($B28, '[1]Imp of long'!$B$2:$X$31, $A$1, FALSE)</f>
        <v>730</v>
      </c>
      <c r="W28" s="1">
        <f>VLOOKUP($B28, '[1]Pro of hr flat'!$B$2:$X$31, $A$1, FALSE)*parameters!$B$8</f>
        <v>2476.4822190611662</v>
      </c>
      <c r="X28" s="1">
        <f>VLOOKUP($B28, '[1]Exp of flat'!$B$2:$X$31, $A$1, FALSE)</f>
        <v>438</v>
      </c>
      <c r="Y28" s="1">
        <f>VLOOKUP($B28, '[1]Imp of flat'!$B$2:$X$31, $A$1, FALSE)</f>
        <v>629</v>
      </c>
      <c r="Z28" s="1">
        <f>VLOOKUP($B28, '[1]Indirect exp'!$B$2:$X$31, $A$1, FALSE)</f>
        <v>866</v>
      </c>
      <c r="AA28" s="1">
        <f>VLOOKUP($B28, '[1]Indirect imp'!$B$2:$X$31, $A$1, FALSE)</f>
        <v>6057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71645</v>
      </c>
      <c r="D29" s="1">
        <f>VLOOKUP($B29, '[1]Pro of iron ore'!$B$2:$X$31, $A$1, FALSE)*(1-VLOOKUP($B29, '[1]Foundry share'!$B$2:$X$31, $A$1, FALSE))</f>
        <v>45700</v>
      </c>
      <c r="E29" s="47">
        <f>VLOOKUP($B29, '[1]Iron content'!$B$2:$X$31, $A$1, FALSE)</f>
        <v>0.63786726219554746</v>
      </c>
      <c r="F29" s="1">
        <f>VLOOKUP($B29, '[1]Exp of usable iron ore'!$B$2:$X$31, $A$1, FALSE)*parameters!$B$12</f>
        <v>40795.950000000004</v>
      </c>
      <c r="G29" s="1">
        <f>VLOOKUP($B29, '[1]Pro of pig iron'!$B$2:$X$31, $A$1, FALSE)*(1-VLOOKUP($B29, '[1]Foundry share'!$B$2:$X$31, $A$1, FALSE))</f>
        <v>4928</v>
      </c>
      <c r="H29" s="1">
        <f>VLOOKUP($B29, '[1]Exp of pig iron'!$B$2:$X$31, $A$1, FALSE)</f>
        <v>632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1295</v>
      </c>
      <c r="K29" s="1">
        <f>VLOOKUP($B29, '[1]Exp of DRI'!$B$2:$X$31, $A$1, FALSE)</f>
        <v>1</v>
      </c>
      <c r="L29" s="1">
        <f>VLOOKUP($B29, '[1]Imp of DRI'!$B$2:$X$31, $A$1, FALSE)</f>
        <v>0</v>
      </c>
      <c r="M29" s="1">
        <f>VLOOKUP($B29, '[1]Exp of scrap'!$B$2:$X$31, $A$1, FALSE)</f>
        <v>1485</v>
      </c>
      <c r="N29" s="1">
        <f>VLOOKUP($B29, '[1]Imp of scrap'!$B$2:$X$31, $A$1, FALSE)</f>
        <v>28</v>
      </c>
      <c r="O29" s="1">
        <f>VLOOKUP($B29, '[1]Pro of BOF steel'!$B$2:$X$31, $A$1, FALSE)</f>
        <v>4272</v>
      </c>
      <c r="P29" s="1">
        <f>VLOOKUP($B29, '[1]Pro of OHF steel'!$B$2:$X$31, $A$1, FALSE)</f>
        <v>0</v>
      </c>
      <c r="Q29" s="1">
        <f>VLOOKUP($B29, '[1]Pro of EAF steel'!$B$2:$X$31, $A$1, FALSE)</f>
        <v>2890</v>
      </c>
      <c r="R29" s="1">
        <f>VLOOKUP($B29, '[1]Exp of ingots and semis'!$B$2:$X$31, $A$1, FALSE)</f>
        <v>26</v>
      </c>
      <c r="S29" s="1">
        <f>VLOOKUP($B29, '[1]Imp of ingots and semis'!$B$2:$X$31, $A$1, FALSE)</f>
        <v>116</v>
      </c>
      <c r="T29" s="1">
        <f>VLOOKUP($B29, '[1]Pro of hr long'!$B$2:$X$31, $A$1, FALSE)+VLOOKUP($B29, '[1]Pro of seamless tubes'!$B$2:$X$31, $A$1, FALSE)</f>
        <v>2300</v>
      </c>
      <c r="U29" s="1">
        <f>VLOOKUP($B29, '[1]Exp of long'!$B$2:$X$31, $A$1, FALSE)</f>
        <v>492</v>
      </c>
      <c r="V29" s="1">
        <f>VLOOKUP($B29, '[1]Imp of long'!$B$2:$X$31, $A$1, FALSE)</f>
        <v>335</v>
      </c>
      <c r="W29" s="1">
        <f>VLOOKUP($B29, '[1]Pro of hr flat'!$B$2:$X$31, $A$1, FALSE)*parameters!$B$8</f>
        <v>3400.4267425320058</v>
      </c>
      <c r="X29" s="1">
        <f>VLOOKUP($B29, '[1]Exp of flat'!$B$2:$X$31, $A$1, FALSE)</f>
        <v>1221</v>
      </c>
      <c r="Y29" s="1">
        <f>VLOOKUP($B29, '[1]Imp of flat'!$B$2:$X$31, $A$1, FALSE)</f>
        <v>1088</v>
      </c>
      <c r="Z29" s="1">
        <f>VLOOKUP($B29, '[1]Indirect exp'!$B$2:$X$31, $A$1, FALSE)</f>
        <v>1772</v>
      </c>
      <c r="AA29" s="1">
        <f>VLOOKUP($B29, '[1]Indirect imp'!$B$2:$X$31, $A$1, FALSE)</f>
        <v>2169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11588</v>
      </c>
      <c r="D30" s="1">
        <f>VLOOKUP($B30, '[1]Pro of iron ore'!$B$2:$X$31, $A$1, FALSE)*(1-VLOOKUP($B30, '[1]Foundry share'!$B$2:$X$31, $A$1, FALSE))</f>
        <v>7240</v>
      </c>
      <c r="E30" s="47">
        <f>VLOOKUP($B30, '[1]Iron content'!$B$2:$X$31, $A$1, FALSE)</f>
        <v>0.62478425957887473</v>
      </c>
      <c r="F30" s="1">
        <f>VLOOKUP($B30, '[1]Exp of usable iron ore'!$B$2:$X$31, $A$1, FALSE)*parameters!$B$12</f>
        <v>8078.2000000000007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153</v>
      </c>
      <c r="J30" s="1">
        <f>VLOOKUP($B30, '[1]Pro of DRI'!$B$2:$X$31, $A$1, FALSE)*(1-VLOOKUP($B30, '[1]Foundry share'!$B$2:$X$31, $A$1, FALSE))</f>
        <v>1399</v>
      </c>
      <c r="K30" s="1">
        <f>VLOOKUP($B30, '[1]Exp of DRI'!$B$2:$X$31, $A$1, FALSE)</f>
        <v>479</v>
      </c>
      <c r="L30" s="1">
        <f>VLOOKUP($B30, '[1]Imp of DRI'!$B$2:$X$31, $A$1, FALSE)</f>
        <v>59</v>
      </c>
      <c r="M30" s="1">
        <f>VLOOKUP($B30, '[1]Exp of scrap'!$B$2:$X$31, $A$1, FALSE)</f>
        <v>53</v>
      </c>
      <c r="N30" s="1">
        <f>VLOOKUP($B30, '[1]Imp of scrap'!$B$2:$X$31, $A$1, FALSE)</f>
        <v>1921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4693</v>
      </c>
      <c r="R30" s="1">
        <f>VLOOKUP($B30, '[1]Exp of ingots and semis'!$B$2:$X$31, $A$1, FALSE)</f>
        <v>146</v>
      </c>
      <c r="S30" s="1">
        <f>VLOOKUP($B30, '[1]Imp of ingots and semis'!$B$2:$X$31, $A$1, FALSE)</f>
        <v>142</v>
      </c>
      <c r="T30" s="1">
        <f>VLOOKUP($B30, '[1]Pro of hr long'!$B$2:$X$31, $A$1, FALSE)+VLOOKUP($B30, '[1]Pro of seamless tubes'!$B$2:$X$31, $A$1, FALSE)</f>
        <v>3730</v>
      </c>
      <c r="U30" s="1">
        <f>VLOOKUP($B30, '[1]Exp of long'!$B$2:$X$31, $A$1, FALSE)</f>
        <v>390</v>
      </c>
      <c r="V30" s="1">
        <f>VLOOKUP($B30, '[1]Imp of long'!$B$2:$X$31, $A$1, FALSE)</f>
        <v>2114</v>
      </c>
      <c r="W30" s="1">
        <f>VLOOKUP($B30, '[1]Pro of hr flat'!$B$2:$X$31, $A$1, FALSE)*parameters!$B$8</f>
        <v>1214.4381223328592</v>
      </c>
      <c r="X30" s="1">
        <f>VLOOKUP($B30, '[1]Exp of flat'!$B$2:$X$31, $A$1, FALSE)</f>
        <v>350</v>
      </c>
      <c r="Y30" s="1">
        <f>VLOOKUP($B30, '[1]Imp of flat'!$B$2:$X$31, $A$1, FALSE)</f>
        <v>3463</v>
      </c>
      <c r="Z30" s="1">
        <f>VLOOKUP($B30, '[1]Indirect exp'!$B$2:$X$31, $A$1, FALSE)</f>
        <v>1252</v>
      </c>
      <c r="AA30" s="1">
        <f>VLOOKUP($B30, '[1]Indirect imp'!$B$2:$X$31, $A$1, FALSE)</f>
        <v>2285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334</v>
      </c>
      <c r="D31" s="1">
        <f>VLOOKUP($B31, '[1]Pro of iron ore'!$B$2:$X$31, $A$1, FALSE)*(1-VLOOKUP($B31, '[1]Foundry share'!$B$2:$X$31, $A$1, FALSE))</f>
        <v>202</v>
      </c>
      <c r="E31" s="47">
        <f>VLOOKUP($B31, '[1]Iron content'!$B$2:$X$31, $A$1, FALSE)</f>
        <v>0.60479041916167664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</v>
      </c>
      <c r="I31" s="1">
        <f>VLOOKUP($B31, '[1]Imp of pig iron'!$B$2:$X$31, $A$1, FALSE)</f>
        <v>115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437</v>
      </c>
      <c r="N31" s="1">
        <f>VLOOKUP($B31, '[1]Imp of scrap'!$B$2:$X$31, $A$1, FALSE)</f>
        <v>961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3613</v>
      </c>
      <c r="R31" s="1">
        <f>VLOOKUP($B31, '[1]Exp of ingots and semis'!$B$2:$X$31, $A$1, FALSE)</f>
        <v>49</v>
      </c>
      <c r="S31" s="1">
        <f>VLOOKUP($B31, '[1]Imp of ingots and semis'!$B$2:$X$31, $A$1, FALSE)</f>
        <v>3684</v>
      </c>
      <c r="T31" s="1">
        <f>VLOOKUP($B31, '[1]Pro of hr long'!$B$2:$X$31, $A$1, FALSE)+VLOOKUP($B31, '[1]Pro of seamless tubes'!$B$2:$X$31, $A$1, FALSE)</f>
        <v>4093</v>
      </c>
      <c r="U31" s="1">
        <f>VLOOKUP($B31, '[1]Exp of long'!$B$2:$X$31, $A$1, FALSE)</f>
        <v>889</v>
      </c>
      <c r="V31" s="1">
        <f>VLOOKUP($B31, '[1]Imp of long'!$B$2:$X$31, $A$1, FALSE)</f>
        <v>2475</v>
      </c>
      <c r="W31" s="1">
        <f>VLOOKUP($B31, '[1]Pro of hr flat'!$B$2:$X$31, $A$1, FALSE)*parameters!$B$8</f>
        <v>2893.2773826458038</v>
      </c>
      <c r="X31" s="1">
        <f>VLOOKUP($B31, '[1]Exp of flat'!$B$2:$X$31, $A$1, FALSE)</f>
        <v>251</v>
      </c>
      <c r="Y31" s="1">
        <f>VLOOKUP($B31, '[1]Imp of flat'!$B$2:$X$31, $A$1, FALSE)</f>
        <v>9029</v>
      </c>
      <c r="Z31" s="1">
        <f>VLOOKUP($B31, '[1]Indirect exp'!$B$2:$X$31, $A$1, FALSE)</f>
        <v>4906</v>
      </c>
      <c r="AA31" s="1">
        <f>VLOOKUP($B31, '[1]Indirect imp'!$B$2:$X$31, $A$1, FALSE)</f>
        <v>3721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37411</v>
      </c>
      <c r="D32" s="1">
        <f>VLOOKUP($B32, '[1]Pro of iron ore'!$B$2:$X$31, $A$1, FALSE)*(1-VLOOKUP($B32, '[1]Foundry share'!$B$2:$X$31, $A$1, FALSE))</f>
        <v>22600</v>
      </c>
      <c r="E32" s="47">
        <f>VLOOKUP($B32, '[1]Iron content'!$B$2:$X$31, $A$1, FALSE)</f>
        <v>0.6041003982785812</v>
      </c>
      <c r="F32" s="1">
        <f>VLOOKUP($B32, '[1]Exp of usable iron ore'!$B$2:$X$31, $A$1, FALSE)*parameters!$B$12</f>
        <v>15091.050000000001</v>
      </c>
      <c r="G32" s="1">
        <f>VLOOKUP($B32, '[1]Pro of pig iron'!$B$2:$X$31, $A$1, FALSE)*(1-VLOOKUP($B32, '[1]Foundry share'!$B$2:$X$31, $A$1, FALSE))</f>
        <v>2896</v>
      </c>
      <c r="H32" s="1">
        <f>VLOOKUP($B32, '[1]Exp of pig iron'!$B$2:$X$31, $A$1, FALSE)</f>
        <v>35</v>
      </c>
      <c r="I32" s="1">
        <f>VLOOKUP($B32, '[1]Imp of pig iron'!$B$2:$X$31, $A$1, FALSE)</f>
        <v>53</v>
      </c>
      <c r="J32" s="1">
        <f>VLOOKUP($B32, '[1]Pro of DRI'!$B$2:$X$31, $A$1, FALSE)*(1-VLOOKUP($B32, '[1]Foundry share'!$B$2:$X$31, $A$1, FALSE))</f>
        <v>113</v>
      </c>
      <c r="K32" s="1">
        <f>VLOOKUP($B32, '[1]Exp of DRI'!$B$2:$X$31, $A$1, FALSE)</f>
        <v>3</v>
      </c>
      <c r="L32" s="1">
        <f>VLOOKUP($B32, '[1]Imp of DRI'!$B$2:$X$31, $A$1, FALSE)</f>
        <v>37</v>
      </c>
      <c r="M32" s="1">
        <f>VLOOKUP($B32, '[1]Exp of scrap'!$B$2:$X$31, $A$1, FALSE)</f>
        <v>1298</v>
      </c>
      <c r="N32" s="1">
        <f>VLOOKUP($B32, '[1]Imp of scrap'!$B$2:$X$31, $A$1, FALSE)</f>
        <v>256</v>
      </c>
      <c r="O32" s="1">
        <f>VLOOKUP($B32, '[1]Pro of BOF steel'!$B$2:$X$31, $A$1, FALSE)</f>
        <v>2986</v>
      </c>
      <c r="P32" s="1">
        <f>VLOOKUP($B32, '[1]Pro of OHF steel'!$B$2:$X$31, $A$1, FALSE)</f>
        <v>0</v>
      </c>
      <c r="Q32" s="1">
        <f>VLOOKUP($B32, '[1]Pro of EAF steel'!$B$2:$X$31, $A$1, FALSE)</f>
        <v>1418</v>
      </c>
      <c r="R32" s="1">
        <f>VLOOKUP($B32, '[1]Exp of ingots and semis'!$B$2:$X$31, $A$1, FALSE)</f>
        <v>416</v>
      </c>
      <c r="S32" s="1">
        <f>VLOOKUP($B32, '[1]Imp of ingots and semis'!$B$2:$X$31, $A$1, FALSE)</f>
        <v>119</v>
      </c>
      <c r="T32" s="1">
        <f>VLOOKUP($B32, '[1]Pro of hr long'!$B$2:$X$31, $A$1, FALSE)+VLOOKUP($B32, '[1]Pro of seamless tubes'!$B$2:$X$31, $A$1, FALSE)</f>
        <v>765</v>
      </c>
      <c r="U32" s="1">
        <f>VLOOKUP($B32, '[1]Exp of long'!$B$2:$X$31, $A$1, FALSE)</f>
        <v>492</v>
      </c>
      <c r="V32" s="1">
        <f>VLOOKUP($B32, '[1]Imp of long'!$B$2:$X$31, $A$1, FALSE)</f>
        <v>804</v>
      </c>
      <c r="W32" s="1">
        <f>VLOOKUP($B32, '[1]Pro of hr flat'!$B$2:$X$31, $A$1, FALSE)*parameters!$B$8</f>
        <v>2657.1906116642958</v>
      </c>
      <c r="X32" s="1">
        <f>VLOOKUP($B32, '[1]Exp of flat'!$B$2:$X$31, $A$1, FALSE)</f>
        <v>2270</v>
      </c>
      <c r="Y32" s="1">
        <f>VLOOKUP($B32, '[1]Imp of flat'!$B$2:$X$31, $A$1, FALSE)</f>
        <v>1889</v>
      </c>
      <c r="Z32" s="1">
        <f>VLOOKUP($B32, '[1]Indirect exp'!$B$2:$X$31, $A$1, FALSE)</f>
        <v>2666</v>
      </c>
      <c r="AA32" s="1">
        <f>VLOOKUP($B32, '[1]Indirect imp'!$B$2:$X$31, $A$1, FALSE)</f>
        <v>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654953.72863653838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654953.72863653838</v>
      </c>
      <c r="M2" s="17"/>
      <c r="N2" s="17">
        <f ca="1">Q2-(L2+O2+P2)</f>
        <v>0</v>
      </c>
      <c r="O2" s="11" cm="1">
        <f t="array" aca="1" ref="O2" ca="1">INDIRECT("'data'!$F$" &amp; $A$1)</f>
        <v>38.35</v>
      </c>
      <c r="P2" s="13">
        <f ca="1">IF(-(L2-Q2+O2)&lt;0, -(L2-Q2+O2), 0)</f>
        <v>-404289.05591131188</v>
      </c>
      <c r="Q2" s="17" cm="1">
        <f t="array" aca="1" ref="Q2" ca="1">INDIRECT("'data'!$D$" &amp; $A$1)</f>
        <v>250703.02272522647</v>
      </c>
      <c r="R2" s="17">
        <f ca="1">SUM(L2:P2)</f>
        <v>250703.02272522647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647083.24925373134</v>
      </c>
      <c r="G3" s="14">
        <f ca="1">Q3-O3-P3-F3</f>
        <v>3775.455892396858</v>
      </c>
      <c r="H3" s="14"/>
      <c r="I3" s="14"/>
      <c r="J3" s="14"/>
      <c r="K3" s="13"/>
      <c r="L3" s="16">
        <f t="shared" ca="1" si="0"/>
        <v>650858.7051461282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250.42499999999998</v>
      </c>
      <c r="P3" s="13" cm="1">
        <f t="array" aca="1" ref="P3" ca="1">-INDIRECT("'data'!$I$" &amp; $A$1)*parameters!$B$13</f>
        <v>-281.61</v>
      </c>
      <c r="Q3" s="16" cm="1">
        <f t="array" aca="1" ref="Q3" ca="1">INDIRECT("'data'!$G$" &amp; $A$1)*parameters!$B$13</f>
        <v>650827.52014612826</v>
      </c>
      <c r="R3" s="16">
        <f t="shared" ref="R3:R10" ca="1" si="2">SUM(L3:P3)</f>
        <v>650827.52014612826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351.43999999999994</v>
      </c>
      <c r="H4" s="14"/>
      <c r="I4" s="14"/>
      <c r="J4" s="14"/>
      <c r="K4" s="13"/>
      <c r="L4" s="16">
        <f t="shared" ca="1" si="0"/>
        <v>351.43999999999994</v>
      </c>
      <c r="M4" s="16"/>
      <c r="N4" s="16">
        <f t="shared" ca="1" si="1"/>
        <v>0</v>
      </c>
      <c r="O4" s="11" cm="1">
        <f t="array" aca="1" ref="O4" ca="1">INDIRECT("'data'!$K$" &amp; $A$1)*parameters!$B$14</f>
        <v>206.08</v>
      </c>
      <c r="P4" s="13" cm="1">
        <f t="array" aca="1" ref="P4" ca="1">-INDIRECT("'data'!$L$" &amp; $A$1)*parameters!$B$14</f>
        <v>-557.52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Q6/parameters!$B$5*19%</f>
        <v>151784.95970149254</v>
      </c>
      <c r="G5" s="14">
        <f ca="1">Q7/parameters!$B$7-(G3+G4)</f>
        <v>45481.379969672111</v>
      </c>
      <c r="H5" s="14"/>
      <c r="I5" s="14"/>
      <c r="J5" s="14"/>
      <c r="K5" s="13"/>
      <c r="L5" s="16">
        <f t="shared" ca="1" si="0"/>
        <v>197266.33967116463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-4375.7</v>
      </c>
      <c r="Q5" s="16">
        <f ca="1">SUM(L5:P5)</f>
        <v>192890.63967116462</v>
      </c>
      <c r="R5" s="16">
        <f t="shared" ca="1" si="2"/>
        <v>192890.63967116462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749338.38</v>
      </c>
      <c r="I6" s="14"/>
      <c r="J6" s="14"/>
      <c r="K6" s="13"/>
      <c r="L6" s="16">
        <f t="shared" ca="1" si="0"/>
        <v>749338.38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749338.38</v>
      </c>
      <c r="R6" s="16">
        <f t="shared" ca="1" si="2"/>
        <v>749338.38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47475.12</v>
      </c>
      <c r="I7" s="14"/>
      <c r="J7" s="14"/>
      <c r="K7" s="13"/>
      <c r="L7" s="16">
        <f t="shared" ca="1" si="0"/>
        <v>47475.12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47475.12</v>
      </c>
      <c r="R7" s="16">
        <f t="shared" ca="1" si="2"/>
        <v>47475.12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547957</v>
      </c>
      <c r="J8" s="14">
        <f ca="1">Q10/J18</f>
        <v>302700.15931721195</v>
      </c>
      <c r="K8" s="13"/>
      <c r="L8" s="16">
        <f t="shared" ca="1" si="0"/>
        <v>850657.15931721195</v>
      </c>
      <c r="M8" s="16"/>
      <c r="N8" s="16">
        <f t="shared" ca="1" si="3"/>
        <v>-53248.79931721196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-598.78</v>
      </c>
      <c r="Q8" s="16">
        <f ca="1">SUM(Q6:Q7)</f>
        <v>796813.5</v>
      </c>
      <c r="R8" s="16">
        <f t="shared" ca="1" si="2"/>
        <v>796813.5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515644.63999999996</v>
      </c>
      <c r="L9" s="16">
        <f t="shared" ca="1" si="0"/>
        <v>515644.63999999996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23041.759999999998</v>
      </c>
      <c r="P9" s="13" cm="1">
        <f t="array" aca="1" ref="P9" ca="1">-INDIRECT("'data'!$V$" &amp; $A$1)*parameters!$B$15</f>
        <v>-1688.54</v>
      </c>
      <c r="Q9" s="16" cm="1">
        <f t="array" aca="1" ref="Q9" ca="1">INDIRECT("'data'!$T$" &amp; $A$1)*parameters!$B$15</f>
        <v>536997.86</v>
      </c>
      <c r="R9" s="16">
        <f t="shared" ca="1" si="2"/>
        <v>536997.85999999987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281204.29613086773</v>
      </c>
      <c r="L10" s="16">
        <f t="shared" ca="1" si="0"/>
        <v>281204.29613086773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27089.16</v>
      </c>
      <c r="P10" s="13" cm="1">
        <f t="array" aca="1" ref="P10" ca="1">-INDIRECT("'data'!$Y$" &amp; $A$1)*parameters!$B$15</f>
        <v>-11647.3</v>
      </c>
      <c r="Q10" s="16" cm="1">
        <f t="array" aca="1" ref="Q10" ca="1">INDIRECT("'data'!$W$" &amp; $A$1)*parameters!$B$15</f>
        <v>296646.15613086772</v>
      </c>
      <c r="R10" s="16">
        <f t="shared" ca="1" si="2"/>
        <v>296646.15613086772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672972.89627254615</v>
      </c>
      <c r="N11" s="19"/>
      <c r="O11" s="21" cm="1">
        <f t="array" aca="1" ref="O11" ca="1">INDIRECT("'data'!$Z$" &amp; $A$1)*parameters!$B$15</f>
        <v>65894.22</v>
      </c>
      <c r="P11" s="27" cm="1">
        <f t="array" aca="1" ref="P11" ca="1">-INDIRECT("'data'!$AA$" &amp; $A$1)*parameters!$B$15</f>
        <v>-12325.46</v>
      </c>
      <c r="Q11" s="16">
        <f ca="1">K9*parameters!$B$10+K10*parameters!$B$11</f>
        <v>726541.65627254616</v>
      </c>
      <c r="R11" s="16">
        <f t="shared" ref="R11:R17" ca="1" si="4">SUM(L11:P11)</f>
        <v>726541.65627254616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-4126.2084904101212</v>
      </c>
      <c r="D12" s="9">
        <f ca="1">-(D17-Q4)</f>
        <v>0</v>
      </c>
      <c r="E12" s="9">
        <f ca="1">-(E17-Q5)</f>
        <v>-23840.416139132692</v>
      </c>
      <c r="F12" s="9">
        <f ca="1">-(F17-Q6)</f>
        <v>-49529.8289552239</v>
      </c>
      <c r="G12" s="9">
        <f ca="1">-(G17-Q7)</f>
        <v>-2133.1558620689684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-79629.609446835675</v>
      </c>
      <c r="M12" s="17"/>
      <c r="N12" s="17"/>
      <c r="O12" s="10"/>
      <c r="P12" s="12"/>
      <c r="Q12" s="9">
        <f t="shared" ref="Q12:Q17" ca="1" si="6">SUM(L12:P12)</f>
        <v>-79629.609446835675</v>
      </c>
      <c r="R12" s="17">
        <f t="shared" ca="1" si="4"/>
        <v>-79629.609446835675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-10959.140000000014</v>
      </c>
      <c r="J13" s="14">
        <f ca="1">-(J17-Q10)</f>
        <v>-6054.0031863442273</v>
      </c>
      <c r="K13" s="13">
        <f ca="1">-(K17-Q11)</f>
        <v>-70307.279858321534</v>
      </c>
      <c r="L13" s="14">
        <f t="shared" ca="1" si="5"/>
        <v>-87320.423044665775</v>
      </c>
      <c r="M13" s="16">
        <f ca="1">-E15</f>
        <v>-129410.63276563154</v>
      </c>
      <c r="N13" s="16"/>
      <c r="O13" s="11"/>
      <c r="P13" s="13"/>
      <c r="Q13" s="14">
        <f t="shared" ca="1" si="6"/>
        <v>-216731.05581029732</v>
      </c>
      <c r="R13" s="16">
        <f t="shared" ca="1" si="4"/>
        <v>-216731.05581029732</v>
      </c>
    </row>
    <row r="14" spans="1:20">
      <c r="A14" s="18" t="s">
        <v>78</v>
      </c>
      <c r="B14" s="11"/>
      <c r="C14" s="14"/>
      <c r="D14" s="14"/>
      <c r="E14" s="14">
        <f ca="1">-(I13+J13)-K13</f>
        <v>87320.423044665775</v>
      </c>
      <c r="F14" s="14"/>
      <c r="G14" s="14"/>
      <c r="H14" s="14"/>
      <c r="I14" s="14"/>
      <c r="J14" s="14"/>
      <c r="K14" s="13"/>
      <c r="L14" s="14">
        <f t="shared" ca="1" si="5"/>
        <v>87320.423044665775</v>
      </c>
      <c r="M14" s="16"/>
      <c r="N14" s="16"/>
      <c r="O14" s="11"/>
      <c r="P14" s="13"/>
      <c r="Q14" s="14">
        <f t="shared" ca="1" si="6"/>
        <v>87320.423044665775</v>
      </c>
      <c r="R14" s="16">
        <f t="shared" ca="1" si="4"/>
        <v>87320.423044665775</v>
      </c>
    </row>
    <row r="15" spans="1:20">
      <c r="A15" s="18" t="s">
        <v>79</v>
      </c>
      <c r="B15" s="11"/>
      <c r="C15" s="14"/>
      <c r="D15" s="14"/>
      <c r="E15" s="14">
        <f ca="1">E17-E14</f>
        <v>129410.63276563154</v>
      </c>
      <c r="F15" s="14"/>
      <c r="G15" s="14"/>
      <c r="H15" s="14"/>
      <c r="I15" s="14"/>
      <c r="J15" s="14"/>
      <c r="K15" s="13"/>
      <c r="L15" s="14">
        <f t="shared" ca="1" si="5"/>
        <v>129410.63276563154</v>
      </c>
      <c r="M15" s="16"/>
      <c r="N15" s="16"/>
      <c r="O15" s="11"/>
      <c r="P15" s="13"/>
      <c r="Q15" s="14">
        <f t="shared" ca="1" si="6"/>
        <v>129410.63276563154</v>
      </c>
      <c r="R15" s="16">
        <f t="shared" ca="1" si="4"/>
        <v>129410.63276563154</v>
      </c>
    </row>
    <row r="16" spans="1:20">
      <c r="A16" s="30" t="s">
        <v>89</v>
      </c>
      <c r="B16" s="21">
        <f ca="1">Q2</f>
        <v>250703.02272522647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250703.02272522647</v>
      </c>
      <c r="M16" s="19"/>
      <c r="N16" s="19"/>
      <c r="O16" s="21"/>
      <c r="P16" s="27"/>
      <c r="Q16" s="22">
        <f t="shared" ca="1" si="6"/>
        <v>250703.02272522647</v>
      </c>
      <c r="R16" s="19">
        <f t="shared" ca="1" si="4"/>
        <v>250703.02272522647</v>
      </c>
    </row>
    <row r="17" spans="1:18">
      <c r="A17" s="29" t="s">
        <v>88</v>
      </c>
      <c r="B17" s="9">
        <f ca="1">B16</f>
        <v>250703.02272522647</v>
      </c>
      <c r="C17" s="9">
        <f ca="1">SUM(C$2:C$11)</f>
        <v>654953.72863653838</v>
      </c>
      <c r="D17" s="9">
        <f ca="1">SUM(D$2:D$11)</f>
        <v>0</v>
      </c>
      <c r="E17" s="9">
        <f ca="1">$Q$5/parameters!$B$4</f>
        <v>216731.05581029732</v>
      </c>
      <c r="F17" s="9">
        <f t="shared" ref="F17:K17" ca="1" si="7">SUM(F$2:F$11)</f>
        <v>798868.2089552239</v>
      </c>
      <c r="G17" s="9">
        <f t="shared" ca="1" si="7"/>
        <v>49608.275862068971</v>
      </c>
      <c r="H17" s="9">
        <f t="shared" ca="1" si="7"/>
        <v>796813.5</v>
      </c>
      <c r="I17" s="9">
        <f t="shared" ca="1" si="7"/>
        <v>547957</v>
      </c>
      <c r="J17" s="9">
        <f t="shared" ca="1" si="7"/>
        <v>302700.15931721195</v>
      </c>
      <c r="K17" s="9">
        <f t="shared" ca="1" si="7"/>
        <v>796848.93613086769</v>
      </c>
      <c r="L17" s="17">
        <f t="shared" ca="1" si="5"/>
        <v>4415183.8874374339</v>
      </c>
      <c r="M17" s="17"/>
      <c r="N17" s="17"/>
      <c r="O17" s="9"/>
      <c r="P17" s="14"/>
      <c r="Q17" s="11">
        <f t="shared" ca="1" si="6"/>
        <v>4415183.8874374339</v>
      </c>
      <c r="R17" s="17">
        <f t="shared" ca="1" si="4"/>
        <v>4415183.8874374339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0.91176837080350337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42381.912833899616</v>
      </c>
      <c r="D2" s="9">
        <f ca="1">Q4/parameters!$B$3</f>
        <v>18168.396775422822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60550.309609322438</v>
      </c>
      <c r="M2" s="17"/>
      <c r="N2" s="17">
        <f ca="1">Q2-(L2+O2+P2)</f>
        <v>11639.948217790166</v>
      </c>
      <c r="O2" s="11" cm="1">
        <f t="array" aca="1" ref="O2" ca="1">INDIRECT("'data'!$F$" &amp; $A$1)</f>
        <v>9376.9</v>
      </c>
      <c r="P2" s="13">
        <f ca="1">IF(-(L2-Q2+O2)&lt;0, -(L2-Q2+O2), 0)</f>
        <v>0</v>
      </c>
      <c r="Q2" s="17" cm="1">
        <f t="array" aca="1" ref="Q2" ca="1">INDIRECT("'data'!$D$" &amp; $A$1)</f>
        <v>81567.157827112605</v>
      </c>
      <c r="R2" s="17">
        <f ca="1">SUM(L2:P2)</f>
        <v>81567.157827112591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29176.835820895521</v>
      </c>
      <c r="G3" s="14">
        <f ca="1">Q3-O3-P3-F3</f>
        <v>11977.005962150524</v>
      </c>
      <c r="H3" s="14"/>
      <c r="I3" s="14"/>
      <c r="J3" s="14"/>
      <c r="K3" s="13"/>
      <c r="L3" s="16">
        <f t="shared" ca="1" si="0"/>
        <v>41153.841783046046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1004.535</v>
      </c>
      <c r="P3" s="13" cm="1">
        <f t="array" aca="1" ref="P3" ca="1">-INDIRECT("'data'!$I$" &amp; $A$1)*parameters!$B$13</f>
        <v>-43.47</v>
      </c>
      <c r="Q3" s="16" cm="1">
        <f t="array" aca="1" ref="Q3" ca="1">INDIRECT("'data'!$G$" &amp; $A$1)*parameters!$B$13</f>
        <v>42114.906783046048</v>
      </c>
      <c r="R3" s="16">
        <f t="shared" ref="R3:R10" ca="1" si="2">SUM(L3:P3)</f>
        <v>42114.906783046048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18563.615875737658</v>
      </c>
      <c r="H4" s="14"/>
      <c r="I4" s="14"/>
      <c r="J4" s="14"/>
      <c r="K4" s="13"/>
      <c r="L4" s="16">
        <f t="shared" ca="1" si="0"/>
        <v>18563.615875737658</v>
      </c>
      <c r="M4" s="16"/>
      <c r="N4" s="16">
        <f t="shared" ca="1" si="1"/>
        <v>0</v>
      </c>
      <c r="O4" s="11" cm="1">
        <f t="array" aca="1" ref="O4" ca="1">INDIRECT("'data'!$K$" &amp; $A$1)*parameters!$B$14</f>
        <v>107.64</v>
      </c>
      <c r="P4" s="13" cm="1">
        <f t="array" aca="1" ref="P4" ca="1">-INDIRECT("'data'!$L$" &amp; $A$1)*parameters!$B$14</f>
        <v>-617.32000000000005</v>
      </c>
      <c r="Q4" s="16" cm="1">
        <f t="array" aca="1" ref="Q4" ca="1">INDIRECT("'data'!$J$" &amp; $A$1)*parameters!$B$14</f>
        <v>18053.935875737658</v>
      </c>
      <c r="R4" s="16">
        <f t="shared" ca="1" si="2"/>
        <v>18053.935875737658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7294.2089552238804</v>
      </c>
      <c r="G5" s="14">
        <f ca="1">Q7/parameters!$B$7-(G3+G4)</f>
        <v>16965.313376322898</v>
      </c>
      <c r="H5" s="14"/>
      <c r="I5" s="14"/>
      <c r="J5" s="14"/>
      <c r="K5" s="13"/>
      <c r="L5" s="16">
        <f t="shared" ca="1" si="0"/>
        <v>24259.522331546777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-5519.36</v>
      </c>
      <c r="Q5" s="16">
        <f ca="1">SUM(L5:P5)</f>
        <v>18740.162331546777</v>
      </c>
      <c r="R5" s="16">
        <f t="shared" ca="1" si="2"/>
        <v>18740.162331546777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34209.839999999997</v>
      </c>
      <c r="I6" s="14"/>
      <c r="J6" s="14"/>
      <c r="K6" s="13"/>
      <c r="L6" s="16">
        <f t="shared" ca="1" si="0"/>
        <v>34209.839999999997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34209.839999999997</v>
      </c>
      <c r="R6" s="16">
        <f t="shared" ca="1" si="2"/>
        <v>34209.839999999997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45463.18</v>
      </c>
      <c r="I7" s="14"/>
      <c r="J7" s="14"/>
      <c r="K7" s="13"/>
      <c r="L7" s="16">
        <f t="shared" ca="1" si="0"/>
        <v>45463.18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45463.18</v>
      </c>
      <c r="R7" s="16">
        <f t="shared" ca="1" si="2"/>
        <v>45463.18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38255</v>
      </c>
      <c r="J8" s="14">
        <f ca="1">Q10/J18</f>
        <v>45685.219061166426</v>
      </c>
      <c r="K8" s="13"/>
      <c r="L8" s="16">
        <f t="shared" ca="1" si="0"/>
        <v>83940.219061166426</v>
      </c>
      <c r="M8" s="16"/>
      <c r="N8" s="16">
        <f t="shared" ca="1" si="3"/>
        <v>-5252.0990611664456</v>
      </c>
      <c r="O8" s="11" cm="1">
        <f t="array" aca="1" ref="O8" ca="1">INDIRECT("'data'!$R$" &amp; $A$1)*parameters!$B$15</f>
        <v>1227.94</v>
      </c>
      <c r="P8" s="13" cm="1">
        <f t="array" aca="1" ref="P8" ca="1">-INDIRECT("'data'!$S$" &amp; $A$1)*parameters!$B$15</f>
        <v>-243.04</v>
      </c>
      <c r="Q8" s="16">
        <f ca="1">SUM(Q6:Q7)</f>
        <v>79673.01999999999</v>
      </c>
      <c r="R8" s="16">
        <f t="shared" ca="1" si="2"/>
        <v>79673.01999999999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37592.799999999996</v>
      </c>
      <c r="L9" s="16">
        <f t="shared" ca="1" si="0"/>
        <v>37592.799999999996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760.48</v>
      </c>
      <c r="P9" s="13" cm="1">
        <f t="array" aca="1" ref="P9" ca="1">-INDIRECT("'data'!$V$" &amp; $A$1)*parameters!$B$15</f>
        <v>-863.38</v>
      </c>
      <c r="Q9" s="16" cm="1">
        <f t="array" aca="1" ref="Q9" ca="1">INDIRECT("'data'!$T$" &amp; $A$1)*parameters!$B$15</f>
        <v>37489.9</v>
      </c>
      <c r="R9" s="16">
        <f t="shared" ca="1" si="2"/>
        <v>37489.9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44064.934679943093</v>
      </c>
      <c r="L10" s="16">
        <f t="shared" ca="1" si="0"/>
        <v>44064.934679943093</v>
      </c>
      <c r="M10" s="16"/>
      <c r="N10" s="16">
        <f t="shared" ca="1" si="3"/>
        <v>0</v>
      </c>
      <c r="O10" s="11" cm="1">
        <f t="array" aca="1" ref="O10" ca="1">INDIRECT("'data'!$X$" &amp; $A$1)*parameters!$B$15</f>
        <v>6241.62</v>
      </c>
      <c r="P10" s="13" cm="1">
        <f t="array" aca="1" ref="P10" ca="1">-INDIRECT("'data'!$Y$" &amp; $A$1)*parameters!$B$15</f>
        <v>-5535.04</v>
      </c>
      <c r="Q10" s="16" cm="1">
        <f t="array" aca="1" ref="Q10" ca="1">INDIRECT("'data'!$W$" &amp; $A$1)*parameters!$B$15</f>
        <v>44771.514679943095</v>
      </c>
      <c r="R10" s="16">
        <f t="shared" ca="1" si="2"/>
        <v>44771.514679943095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74254.235824751056</v>
      </c>
      <c r="N11" s="19"/>
      <c r="O11" s="21" cm="1">
        <f t="array" aca="1" ref="O11" ca="1">INDIRECT("'data'!$Z$" &amp; $A$1)*parameters!$B$15</f>
        <v>4760.84</v>
      </c>
      <c r="P11" s="27" cm="1">
        <f t="array" aca="1" ref="P11" ca="1">-INDIRECT("'data'!$AA$" &amp; $A$1)*parameters!$B$15</f>
        <v>-5782</v>
      </c>
      <c r="Q11" s="16">
        <f ca="1">K9*parameters!$B$10+K10*parameters!$B$11</f>
        <v>73233.075824751053</v>
      </c>
      <c r="R11" s="16">
        <f t="shared" ref="R11:R17" ca="1" si="4">SUM(L11:P11)</f>
        <v>73233.075824751053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-267.00605085356801</v>
      </c>
      <c r="D12" s="9">
        <f ca="1">-(D17-Q4)</f>
        <v>-114.46089968516389</v>
      </c>
      <c r="E12" s="9">
        <f ca="1">-(E17-Q5)</f>
        <v>-2316.1998387304993</v>
      </c>
      <c r="F12" s="9">
        <f ca="1">-(F17-Q6)</f>
        <v>-2261.2047761194044</v>
      </c>
      <c r="G12" s="9">
        <f ca="1">-(G17-Q7)</f>
        <v>-2042.7552142110799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-7001.6267795997155</v>
      </c>
      <c r="M12" s="17"/>
      <c r="N12" s="17"/>
      <c r="O12" s="10"/>
      <c r="P12" s="12"/>
      <c r="Q12" s="9">
        <f t="shared" ref="Q12:Q17" ca="1" si="6">SUM(L12:P12)</f>
        <v>-7001.6267795997155</v>
      </c>
      <c r="R12" s="17">
        <f t="shared" ca="1" si="4"/>
        <v>-7001.6267795997155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-765.09999999999854</v>
      </c>
      <c r="J13" s="14">
        <f ca="1">-(J17-Q10)</f>
        <v>-913.70438122333144</v>
      </c>
      <c r="K13" s="13">
        <f ca="1">-(K17-Q11)</f>
        <v>-8424.6588551920431</v>
      </c>
      <c r="L13" s="14">
        <f t="shared" ca="1" si="5"/>
        <v>-10103.463236415373</v>
      </c>
      <c r="M13" s="16">
        <f ca="1">-E15</f>
        <v>-10952.898933861903</v>
      </c>
      <c r="N13" s="16"/>
      <c r="O13" s="11"/>
      <c r="P13" s="13"/>
      <c r="Q13" s="14">
        <f t="shared" ca="1" si="6"/>
        <v>-21056.362170277276</v>
      </c>
      <c r="R13" s="16">
        <f t="shared" ca="1" si="4"/>
        <v>-21056.362170277276</v>
      </c>
    </row>
    <row r="14" spans="1:20">
      <c r="A14" s="18" t="s">
        <v>78</v>
      </c>
      <c r="B14" s="11"/>
      <c r="C14" s="14"/>
      <c r="D14" s="14"/>
      <c r="E14" s="14">
        <f ca="1">-(I13+J13)-K13</f>
        <v>10103.463236415373</v>
      </c>
      <c r="F14" s="14"/>
      <c r="G14" s="14"/>
      <c r="H14" s="14"/>
      <c r="I14" s="14"/>
      <c r="J14" s="14"/>
      <c r="K14" s="13"/>
      <c r="L14" s="14">
        <f t="shared" ca="1" si="5"/>
        <v>10103.463236415373</v>
      </c>
      <c r="M14" s="16"/>
      <c r="N14" s="16"/>
      <c r="O14" s="11"/>
      <c r="P14" s="13"/>
      <c r="Q14" s="14">
        <f t="shared" ca="1" si="6"/>
        <v>10103.463236415373</v>
      </c>
      <c r="R14" s="16">
        <f t="shared" ca="1" si="4"/>
        <v>10103.463236415373</v>
      </c>
    </row>
    <row r="15" spans="1:20">
      <c r="A15" s="18" t="s">
        <v>79</v>
      </c>
      <c r="B15" s="11"/>
      <c r="C15" s="14"/>
      <c r="D15" s="14"/>
      <c r="E15" s="14">
        <f ca="1">E17-E14</f>
        <v>10952.898933861903</v>
      </c>
      <c r="F15" s="14"/>
      <c r="G15" s="14"/>
      <c r="H15" s="14"/>
      <c r="I15" s="14"/>
      <c r="J15" s="14"/>
      <c r="K15" s="13"/>
      <c r="L15" s="14">
        <f t="shared" ca="1" si="5"/>
        <v>10952.898933861903</v>
      </c>
      <c r="M15" s="16"/>
      <c r="N15" s="16"/>
      <c r="O15" s="11"/>
      <c r="P15" s="13"/>
      <c r="Q15" s="14">
        <f t="shared" ca="1" si="6"/>
        <v>10952.898933861903</v>
      </c>
      <c r="R15" s="16">
        <f t="shared" ca="1" si="4"/>
        <v>10952.898933861903</v>
      </c>
    </row>
    <row r="16" spans="1:20">
      <c r="A16" s="30" t="s">
        <v>89</v>
      </c>
      <c r="B16" s="21">
        <f ca="1">Q2</f>
        <v>81567.157827112605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81567.157827112605</v>
      </c>
      <c r="M16" s="19"/>
      <c r="N16" s="19"/>
      <c r="O16" s="21"/>
      <c r="P16" s="27"/>
      <c r="Q16" s="22">
        <f t="shared" ca="1" si="6"/>
        <v>81567.157827112605</v>
      </c>
      <c r="R16" s="19">
        <f t="shared" ca="1" si="4"/>
        <v>81567.157827112605</v>
      </c>
    </row>
    <row r="17" spans="1:18">
      <c r="A17" s="29" t="s">
        <v>88</v>
      </c>
      <c r="B17" s="9">
        <f ca="1">B16</f>
        <v>81567.157827112605</v>
      </c>
      <c r="C17" s="9">
        <f ca="1">SUM(C$2:C$11)</f>
        <v>42381.912833899616</v>
      </c>
      <c r="D17" s="9">
        <f ca="1">SUM(D$2:D$11)</f>
        <v>18168.396775422822</v>
      </c>
      <c r="E17" s="9">
        <f ca="1">$Q$5/parameters!$B$4</f>
        <v>21056.362170277276</v>
      </c>
      <c r="F17" s="9">
        <f t="shared" ref="F17:K17" ca="1" si="7">SUM(F$2:F$11)</f>
        <v>36471.044776119401</v>
      </c>
      <c r="G17" s="9">
        <f t="shared" ca="1" si="7"/>
        <v>47505.93521421108</v>
      </c>
      <c r="H17" s="9">
        <f t="shared" ca="1" si="7"/>
        <v>79673.01999999999</v>
      </c>
      <c r="I17" s="9">
        <f t="shared" ca="1" si="7"/>
        <v>38255</v>
      </c>
      <c r="J17" s="9">
        <f t="shared" ca="1" si="7"/>
        <v>45685.219061166426</v>
      </c>
      <c r="K17" s="9">
        <f t="shared" ca="1" si="7"/>
        <v>81657.734679943096</v>
      </c>
      <c r="L17" s="17">
        <f t="shared" ca="1" si="5"/>
        <v>492421.78333815234</v>
      </c>
      <c r="M17" s="17"/>
      <c r="N17" s="17"/>
      <c r="O17" s="9"/>
      <c r="P17" s="14"/>
      <c r="Q17" s="11">
        <f t="shared" ca="1" si="6"/>
        <v>492421.78333815234</v>
      </c>
      <c r="R17" s="17">
        <f t="shared" ca="1" si="4"/>
        <v>492421.78333815234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0.89682962810305189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79739.664888799423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79739.664888799423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-79739.664888799423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78774.447761194038</v>
      </c>
      <c r="G3" s="14">
        <f ca="1">Q3-O3-P3-F3</f>
        <v>309.76723880595819</v>
      </c>
      <c r="H3" s="14"/>
      <c r="I3" s="14"/>
      <c r="J3" s="14"/>
      <c r="K3" s="13"/>
      <c r="L3" s="16">
        <f t="shared" ca="1" si="0"/>
        <v>79084.214999999997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267.435</v>
      </c>
      <c r="P3" s="13" cm="1">
        <f t="array" aca="1" ref="P3" ca="1">-INDIRECT("'data'!$I$" &amp; $A$1)*parameters!$B$13</f>
        <v>-114.345</v>
      </c>
      <c r="Q3" s="16" cm="1">
        <f t="array" aca="1" ref="Q3" ca="1">INDIRECT("'data'!$G$" &amp; $A$1)*parameters!$B$13</f>
        <v>79237.304999999993</v>
      </c>
      <c r="R3" s="16">
        <f t="shared" ref="R3:R10" ca="1" si="2">SUM(L3:P3)</f>
        <v>79237.304999999993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57.04</v>
      </c>
      <c r="H4" s="14"/>
      <c r="I4" s="14"/>
      <c r="J4" s="14"/>
      <c r="K4" s="13"/>
      <c r="L4" s="16">
        <f t="shared" ca="1" si="0"/>
        <v>57.04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-57.96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Q6/parameters!$B$5*12%</f>
        <v>10741.970149253732</v>
      </c>
      <c r="G5" s="14">
        <f ca="1">Q7/parameters!$B$7-(G3+G4)</f>
        <v>25146.98586464232</v>
      </c>
      <c r="H5" s="14"/>
      <c r="I5" s="14"/>
      <c r="J5" s="14"/>
      <c r="K5" s="13"/>
      <c r="L5" s="16">
        <f t="shared" ca="1" si="0"/>
        <v>35888.956013896051</v>
      </c>
      <c r="M5" s="16"/>
      <c r="N5" s="16"/>
      <c r="O5" s="11" cm="1">
        <f t="array" aca="1" ref="O5" ca="1">INDIRECT("'data'!$M$" &amp; $A$1)*parameters!$B$15</f>
        <v>7987</v>
      </c>
      <c r="P5" s="13" cm="1">
        <f t="array" aca="1" ref="P5" ca="1">-INDIRECT("'data'!$N$" &amp; $A$1)*parameters!$B$15</f>
        <v>-229.32</v>
      </c>
      <c r="Q5" s="16">
        <f ca="1">SUM(L5:P5)</f>
        <v>43646.636013896052</v>
      </c>
      <c r="R5" s="16">
        <f t="shared" ca="1" si="2"/>
        <v>43646.636013896052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83966.399999999994</v>
      </c>
      <c r="I6" s="14"/>
      <c r="J6" s="14"/>
      <c r="K6" s="13"/>
      <c r="L6" s="16">
        <f t="shared" ca="1" si="0"/>
        <v>83966.399999999994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83966.399999999994</v>
      </c>
      <c r="R6" s="16">
        <f t="shared" ca="1" si="2"/>
        <v>83966.399999999994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24416.7</v>
      </c>
      <c r="I7" s="14"/>
      <c r="J7" s="14"/>
      <c r="K7" s="13"/>
      <c r="L7" s="16">
        <f t="shared" ca="1" si="0"/>
        <v>24416.7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24416.7</v>
      </c>
      <c r="R7" s="16">
        <f t="shared" ca="1" si="2"/>
        <v>24416.7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34943.677994776706</v>
      </c>
      <c r="J8" s="14">
        <f ca="1">Q10/J18</f>
        <v>67754.442005223274</v>
      </c>
      <c r="K8" s="13"/>
      <c r="L8" s="16">
        <f t="shared" ca="1" si="0"/>
        <v>102698.11999999998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5846.68</v>
      </c>
      <c r="P8" s="13" cm="1">
        <f t="array" aca="1" ref="P8" ca="1">-INDIRECT("'data'!$S$" &amp; $A$1)*parameters!$B$15</f>
        <v>-161.69999999999999</v>
      </c>
      <c r="Q8" s="16">
        <f ca="1">SUM(Q6:Q7)</f>
        <v>108383.09999999999</v>
      </c>
      <c r="R8" s="16">
        <f t="shared" ca="1" si="2"/>
        <v>108383.09999999999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27562.5</v>
      </c>
      <c r="L9" s="16">
        <f t="shared" ca="1" si="0"/>
        <v>27562.5</v>
      </c>
      <c r="M9" s="16"/>
      <c r="N9" s="16">
        <f t="shared" ca="1" si="3"/>
        <v>0</v>
      </c>
      <c r="O9" s="11" cm="1">
        <f t="array" aca="1" ref="O9" ca="1">INDIRECT("'data'!$U$" &amp; $A$1)*parameters!$B$15</f>
        <v>5121.4799999999996</v>
      </c>
      <c r="P9" s="13" cm="1">
        <f t="array" aca="1" ref="P9" ca="1">-INDIRECT("'data'!$V$" &amp; $A$1)*parameters!$B$15</f>
        <v>-943.74</v>
      </c>
      <c r="Q9" s="16" cm="1">
        <f t="array" aca="1" ref="Q9" ca="1">INDIRECT("'data'!$T$" &amp; $A$1)*parameters!$B$15</f>
        <v>31740.239999999998</v>
      </c>
      <c r="R9" s="16">
        <f t="shared" ca="1" si="2"/>
        <v>31740.239999999998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37439.019459459465</v>
      </c>
      <c r="L10" s="16">
        <f t="shared" ca="1" si="0"/>
        <v>37439.019459459465</v>
      </c>
      <c r="M10" s="16"/>
      <c r="N10" s="16">
        <f t="shared" ca="1" si="3"/>
        <v>0</v>
      </c>
      <c r="O10" s="11" cm="1">
        <f t="array" aca="1" ref="O10" ca="1">INDIRECT("'data'!$X$" &amp; $A$1)*parameters!$B$15</f>
        <v>27933.919999999998</v>
      </c>
      <c r="P10" s="13" cm="1">
        <f t="array" aca="1" ref="P10" ca="1">-INDIRECT("'data'!$Y$" &amp; $A$1)*parameters!$B$15</f>
        <v>-3829.84</v>
      </c>
      <c r="Q10" s="16" cm="1">
        <f t="array" aca="1" ref="Q10" ca="1">INDIRECT("'data'!$W$" &amp; $A$1)*parameters!$B$15</f>
        <v>61543.099459459459</v>
      </c>
      <c r="R10" s="16">
        <f t="shared" ca="1" si="2"/>
        <v>61543.099459459467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41321.846735135143</v>
      </c>
      <c r="N11" s="19"/>
      <c r="O11" s="21" cm="1">
        <f t="array" aca="1" ref="O11" ca="1">INDIRECT("'data'!$Z$" &amp; $A$1)*parameters!$B$15</f>
        <v>23710.12</v>
      </c>
      <c r="P11" s="27" cm="1">
        <f t="array" aca="1" ref="P11" ca="1">-INDIRECT("'data'!$AA$" &amp; $A$1)*parameters!$B$15</f>
        <v>-6925.66</v>
      </c>
      <c r="Q11" s="16">
        <f ca="1">K9*parameters!$B$10+K10*parameters!$B$11</f>
        <v>58106.306735135135</v>
      </c>
      <c r="R11" s="16">
        <f t="shared" ref="R11:R17" ca="1" si="4">SUM(L11:P11)</f>
        <v>58106.306735135135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-502.35988879943034</v>
      </c>
      <c r="D12" s="9">
        <f ca="1">-(D17-Q4)</f>
        <v>0</v>
      </c>
      <c r="E12" s="9">
        <f ca="1">-(E17-Q5)</f>
        <v>-5394.5280466613112</v>
      </c>
      <c r="F12" s="9">
        <f ca="1">-(F17-Q6)</f>
        <v>-5550.017910447772</v>
      </c>
      <c r="G12" s="9">
        <f ca="1">-(G17-Q7)</f>
        <v>-1097.0931034482783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-12543.998949356792</v>
      </c>
      <c r="M12" s="17"/>
      <c r="N12" s="17"/>
      <c r="O12" s="10"/>
      <c r="P12" s="12"/>
      <c r="Q12" s="9">
        <f t="shared" ref="Q12:Q17" ca="1" si="6">SUM(L12:P12)</f>
        <v>-12543.998949356792</v>
      </c>
      <c r="R12" s="17">
        <f t="shared" ca="1" si="4"/>
        <v>-12543.998949356792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-3203.4379947767084</v>
      </c>
      <c r="J13" s="14">
        <f ca="1">-(J17-Q10)</f>
        <v>-6211.342545763815</v>
      </c>
      <c r="K13" s="13">
        <f ca="1">-(K17-Q11)</f>
        <v>-6895.2127243243303</v>
      </c>
      <c r="L13" s="14">
        <f t="shared" ca="1" si="5"/>
        <v>-16309.993264864854</v>
      </c>
      <c r="M13" s="16">
        <f ca="1">-E15</f>
        <v>-32731.170795692509</v>
      </c>
      <c r="N13" s="16"/>
      <c r="O13" s="11"/>
      <c r="P13" s="13"/>
      <c r="Q13" s="14">
        <f t="shared" ca="1" si="6"/>
        <v>-49041.164060557363</v>
      </c>
      <c r="R13" s="16">
        <f t="shared" ca="1" si="4"/>
        <v>-49041.164060557363</v>
      </c>
    </row>
    <row r="14" spans="1:20">
      <c r="A14" s="18" t="s">
        <v>78</v>
      </c>
      <c r="B14" s="11"/>
      <c r="C14" s="14"/>
      <c r="D14" s="14"/>
      <c r="E14" s="14">
        <f ca="1">-(I13+J13)-K13</f>
        <v>16309.993264864854</v>
      </c>
      <c r="F14" s="14"/>
      <c r="G14" s="14"/>
      <c r="H14" s="14"/>
      <c r="I14" s="14"/>
      <c r="J14" s="14"/>
      <c r="K14" s="13"/>
      <c r="L14" s="14">
        <f t="shared" ca="1" si="5"/>
        <v>16309.993264864854</v>
      </c>
      <c r="M14" s="16"/>
      <c r="N14" s="16"/>
      <c r="O14" s="11"/>
      <c r="P14" s="13"/>
      <c r="Q14" s="14">
        <f t="shared" ca="1" si="6"/>
        <v>16309.993264864854</v>
      </c>
      <c r="R14" s="16">
        <f t="shared" ca="1" si="4"/>
        <v>16309.993264864854</v>
      </c>
    </row>
    <row r="15" spans="1:20">
      <c r="A15" s="18" t="s">
        <v>79</v>
      </c>
      <c r="B15" s="11"/>
      <c r="C15" s="14"/>
      <c r="D15" s="14"/>
      <c r="E15" s="14">
        <f ca="1">E17-E14</f>
        <v>32731.170795692509</v>
      </c>
      <c r="F15" s="14"/>
      <c r="G15" s="14"/>
      <c r="H15" s="14"/>
      <c r="I15" s="14"/>
      <c r="J15" s="14"/>
      <c r="K15" s="13"/>
      <c r="L15" s="14">
        <f t="shared" ca="1" si="5"/>
        <v>32731.170795692509</v>
      </c>
      <c r="M15" s="16"/>
      <c r="N15" s="16"/>
      <c r="O15" s="11"/>
      <c r="P15" s="13"/>
      <c r="Q15" s="14">
        <f t="shared" ca="1" si="6"/>
        <v>32731.170795692509</v>
      </c>
      <c r="R15" s="16">
        <f t="shared" ca="1" si="4"/>
        <v>32731.170795692509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79739.664888799423</v>
      </c>
      <c r="D17" s="9">
        <f ca="1">SUM(D$2:D$11)</f>
        <v>0</v>
      </c>
      <c r="E17" s="9">
        <f ca="1">$Q$5/parameters!$B$4</f>
        <v>49041.164060557363</v>
      </c>
      <c r="F17" s="9">
        <f t="shared" ref="F17:K17" ca="1" si="7">SUM(F$2:F$11)</f>
        <v>89516.417910447766</v>
      </c>
      <c r="G17" s="9">
        <f t="shared" ca="1" si="7"/>
        <v>25513.793103448279</v>
      </c>
      <c r="H17" s="9">
        <f t="shared" ca="1" si="7"/>
        <v>108383.09999999999</v>
      </c>
      <c r="I17" s="9">
        <f t="shared" ca="1" si="7"/>
        <v>34943.677994776706</v>
      </c>
      <c r="J17" s="9">
        <f t="shared" ca="1" si="7"/>
        <v>67754.442005223274</v>
      </c>
      <c r="K17" s="9">
        <f t="shared" ca="1" si="7"/>
        <v>65001.519459459465</v>
      </c>
      <c r="L17" s="17">
        <f t="shared" ca="1" si="5"/>
        <v>519893.77942271228</v>
      </c>
      <c r="M17" s="17"/>
      <c r="N17" s="17"/>
      <c r="O17" s="9"/>
      <c r="P17" s="14"/>
      <c r="Q17" s="11">
        <f t="shared" ca="1" si="6"/>
        <v>519893.77942271228</v>
      </c>
      <c r="R17" s="17">
        <f t="shared" ca="1" si="4"/>
        <v>519893.77942271228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0.90832567781629769</v>
      </c>
      <c r="J18" s="39">
        <f ca="1">I18</f>
        <v>0.90832567781629769</v>
      </c>
      <c r="K18" s="40">
        <f ca="1">1-(-K13)/K17</f>
        <v>0.8939222839456118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28822.642648686724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28822.642648686724</v>
      </c>
      <c r="M2" s="17"/>
      <c r="N2" s="17">
        <f ca="1">Q2-(L2+O2+P2)</f>
        <v>0</v>
      </c>
      <c r="O2" s="11" cm="1">
        <f t="array" aca="1" ref="O2" ca="1">INDIRECT("'data'!$F$" &amp; $A$1)</f>
        <v>7176.6500000000005</v>
      </c>
      <c r="P2" s="13">
        <f ca="1">IF(-(L2-Q2+O2)&lt;0, -(L2-Q2+O2), 0)</f>
        <v>-2999.2926486867245</v>
      </c>
      <c r="Q2" s="17" cm="1">
        <f t="array" aca="1" ref="Q2" ca="1">INDIRECT("'data'!$D$" &amp; $A$1)</f>
        <v>33000</v>
      </c>
      <c r="R2" s="17">
        <f ca="1">SUM(L2:P2)</f>
        <v>33000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29331.400000000005</v>
      </c>
      <c r="G3" s="14">
        <f ca="1">Q3-O3-P3-F3</f>
        <v>3159.5899999999892</v>
      </c>
      <c r="H3" s="14"/>
      <c r="I3" s="14"/>
      <c r="J3" s="14"/>
      <c r="K3" s="13"/>
      <c r="L3" s="16">
        <f t="shared" ca="1" si="0"/>
        <v>32490.989999999994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41.58</v>
      </c>
      <c r="P3" s="13" cm="1">
        <f t="array" aca="1" ref="P3" ca="1">-INDIRECT("'data'!$I$" &amp; $A$1)*parameters!$B$13</f>
        <v>-3891.5099999999998</v>
      </c>
      <c r="Q3" s="16" cm="1">
        <f t="array" aca="1" ref="Q3" ca="1">INDIRECT("'data'!$G$" &amp; $A$1)*parameters!$B$13</f>
        <v>28641.059999999998</v>
      </c>
      <c r="R3" s="16">
        <f t="shared" ref="R3:R10" ca="1" si="2">SUM(L3:P3)</f>
        <v>28641.059999999998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2170.2800000000002</v>
      </c>
      <c r="H4" s="14"/>
      <c r="I4" s="14"/>
      <c r="J4" s="14"/>
      <c r="K4" s="13"/>
      <c r="L4" s="16">
        <f t="shared" ca="1" si="0"/>
        <v>2170.2800000000002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4.6000000000000005</v>
      </c>
      <c r="P4" s="13" cm="1">
        <f t="array" aca="1" ref="P4" ca="1">-INDIRECT("'data'!$L$" &amp; $A$1)*parameters!$B$14</f>
        <v>-2174.88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Q6/parameters!$B$5*18%</f>
        <v>6438.6000000000013</v>
      </c>
      <c r="G5" s="14">
        <f ca="1">Q7/parameters!$B$7-(G3+G4)</f>
        <v>48576.274200626976</v>
      </c>
      <c r="H5" s="14"/>
      <c r="I5" s="14"/>
      <c r="J5" s="14"/>
      <c r="K5" s="13"/>
      <c r="L5" s="16">
        <f t="shared" ca="1" si="0"/>
        <v>55014.874200626975</v>
      </c>
      <c r="M5" s="16"/>
      <c r="N5" s="16"/>
      <c r="O5" s="11" cm="1">
        <f t="array" aca="1" ref="O5" ca="1">INDIRECT("'data'!$M$" &amp; $A$1)*parameters!$B$15</f>
        <v>18125.099999999999</v>
      </c>
      <c r="P5" s="13" cm="1">
        <f t="array" aca="1" ref="P5" ca="1">-INDIRECT("'data'!$N$" &amp; $A$1)*parameters!$B$15</f>
        <v>-3804.36</v>
      </c>
      <c r="Q5" s="16">
        <f ca="1">SUM(L5:P5)</f>
        <v>69335.61420062698</v>
      </c>
      <c r="R5" s="16">
        <f t="shared" ca="1" si="2"/>
        <v>69335.61420062698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33552.26</v>
      </c>
      <c r="I6" s="14"/>
      <c r="J6" s="14"/>
      <c r="K6" s="13"/>
      <c r="L6" s="16">
        <f t="shared" ca="1" si="0"/>
        <v>33552.26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33552.26</v>
      </c>
      <c r="R6" s="16">
        <f t="shared" ca="1" si="2"/>
        <v>33552.26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51588.18</v>
      </c>
      <c r="I7" s="14"/>
      <c r="J7" s="14"/>
      <c r="K7" s="13"/>
      <c r="L7" s="16">
        <f t="shared" ca="1" si="0"/>
        <v>51588.18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51588.18</v>
      </c>
      <c r="R7" s="16">
        <f t="shared" ca="1" si="2"/>
        <v>51588.18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26975.38809425163</v>
      </c>
      <c r="J8" s="14">
        <f ca="1">Q10/J18</f>
        <v>64230.271905748377</v>
      </c>
      <c r="K8" s="13"/>
      <c r="L8" s="16">
        <f t="shared" ca="1" si="0"/>
        <v>91205.66</v>
      </c>
      <c r="M8" s="16"/>
      <c r="N8" s="16">
        <f t="shared" ca="1" si="3"/>
        <v>0</v>
      </c>
      <c r="O8" s="11" cm="1">
        <f t="array" aca="1" ref="O8" ca="1">INDIRECT("'data'!$R$" &amp; $A$1)*parameters!$B$15</f>
        <v>440.02</v>
      </c>
      <c r="P8" s="13" cm="1">
        <f t="array" aca="1" ref="P8" ca="1">-INDIRECT("'data'!$S$" &amp; $A$1)*parameters!$B$15</f>
        <v>-6505.24</v>
      </c>
      <c r="Q8" s="16">
        <f ca="1">SUM(Q6:Q7)</f>
        <v>85140.44</v>
      </c>
      <c r="R8" s="16">
        <f t="shared" ca="1" si="2"/>
        <v>85140.44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27218.52</v>
      </c>
      <c r="L9" s="16">
        <f t="shared" ca="1" si="0"/>
        <v>27218.52</v>
      </c>
      <c r="M9" s="16"/>
      <c r="N9" s="16">
        <f t="shared" ca="1" si="3"/>
        <v>0</v>
      </c>
      <c r="O9" s="11" cm="1">
        <f t="array" aca="1" ref="O9" ca="1">INDIRECT("'data'!$U$" &amp; $A$1)*parameters!$B$15</f>
        <v>3045.84</v>
      </c>
      <c r="P9" s="13" cm="1">
        <f t="array" aca="1" ref="P9" ca="1">-INDIRECT("'data'!$V$" &amp; $A$1)*parameters!$B$15</f>
        <v>-5309.64</v>
      </c>
      <c r="Q9" s="16" cm="1">
        <f t="array" aca="1" ref="Q9" ca="1">INDIRECT("'data'!$T$" &amp; $A$1)*parameters!$B$15</f>
        <v>24954.720000000001</v>
      </c>
      <c r="R9" s="16">
        <f t="shared" ca="1" si="2"/>
        <v>24954.720000000001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62587.260881934562</v>
      </c>
      <c r="L10" s="16">
        <f t="shared" ca="1" si="0"/>
        <v>62587.260881934562</v>
      </c>
      <c r="M10" s="16"/>
      <c r="N10" s="16">
        <f t="shared" ca="1" si="3"/>
        <v>0</v>
      </c>
      <c r="O10" s="11" cm="1">
        <f t="array" aca="1" ref="O10" ca="1">INDIRECT("'data'!$X$" &amp; $A$1)*parameters!$B$15</f>
        <v>6459.18</v>
      </c>
      <c r="P10" s="13" cm="1">
        <f t="array" aca="1" ref="P10" ca="1">-INDIRECT("'data'!$Y$" &amp; $A$1)*parameters!$B$15</f>
        <v>-9627.52</v>
      </c>
      <c r="Q10" s="16" cm="1">
        <f t="array" aca="1" ref="Q10" ca="1">INDIRECT("'data'!$W$" &amp; $A$1)*parameters!$B$15</f>
        <v>59418.920881934566</v>
      </c>
      <c r="R10" s="16">
        <f t="shared" ca="1" si="2"/>
        <v>59418.920881934566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96827.993158463738</v>
      </c>
      <c r="N11" s="19"/>
      <c r="O11" s="21" cm="1">
        <f t="array" aca="1" ref="O11" ca="1">INDIRECT("'data'!$Z$" &amp; $A$1)*parameters!$B$15</f>
        <v>20888.7</v>
      </c>
      <c r="P11" s="27" cm="1">
        <f t="array" aca="1" ref="P11" ca="1">-INDIRECT("'data'!$AA$" &amp; $A$1)*parameters!$B$15</f>
        <v>-38306.239999999998</v>
      </c>
      <c r="Q11" s="16">
        <f ca="1">K9*parameters!$B$10+K10*parameters!$B$11</f>
        <v>79410.45315846373</v>
      </c>
      <c r="R11" s="16">
        <f t="shared" ref="R11:R17" ca="1" si="4">SUM(L11:P11)</f>
        <v>79410.45315846373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-181.58264868672632</v>
      </c>
      <c r="D12" s="9">
        <f ca="1">-(D17-Q4)</f>
        <v>0</v>
      </c>
      <c r="E12" s="9">
        <f ca="1">-(E17-Q5)</f>
        <v>-8569.5702944595105</v>
      </c>
      <c r="F12" s="9">
        <f ca="1">-(F17-Q6)</f>
        <v>-2217.7400000000052</v>
      </c>
      <c r="G12" s="9">
        <f ca="1">-(G17-Q7)</f>
        <v>-2317.9642006269642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-13286.857143773206</v>
      </c>
      <c r="M12" s="17"/>
      <c r="N12" s="17"/>
      <c r="O12" s="10"/>
      <c r="P12" s="12"/>
      <c r="Q12" s="9">
        <f t="shared" ref="Q12:Q17" ca="1" si="6">SUM(L12:P12)</f>
        <v>-13286.857143773206</v>
      </c>
      <c r="R12" s="17">
        <f t="shared" ca="1" si="4"/>
        <v>-13286.857143773206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-2020.6680942516286</v>
      </c>
      <c r="J13" s="14">
        <f ca="1">-(J17-Q10)</f>
        <v>-4811.3510238138115</v>
      </c>
      <c r="K13" s="13">
        <f ca="1">-(K17-Q11)</f>
        <v>-10395.327723470837</v>
      </c>
      <c r="L13" s="14">
        <f t="shared" ca="1" si="5"/>
        <v>-17227.346841536277</v>
      </c>
      <c r="M13" s="16">
        <f ca="1">-E15</f>
        <v>-60677.837653550218</v>
      </c>
      <c r="N13" s="16"/>
      <c r="O13" s="11"/>
      <c r="P13" s="13"/>
      <c r="Q13" s="14">
        <f t="shared" ca="1" si="6"/>
        <v>-77905.184495086491</v>
      </c>
      <c r="R13" s="16">
        <f t="shared" ca="1" si="4"/>
        <v>-77905.184495086491</v>
      </c>
    </row>
    <row r="14" spans="1:20">
      <c r="A14" s="18" t="s">
        <v>78</v>
      </c>
      <c r="B14" s="11"/>
      <c r="C14" s="14"/>
      <c r="D14" s="14"/>
      <c r="E14" s="14">
        <f ca="1">-(I13+J13)-K13</f>
        <v>17227.346841536277</v>
      </c>
      <c r="F14" s="14"/>
      <c r="G14" s="14"/>
      <c r="H14" s="14"/>
      <c r="I14" s="14"/>
      <c r="J14" s="14"/>
      <c r="K14" s="13"/>
      <c r="L14" s="14">
        <f t="shared" ca="1" si="5"/>
        <v>17227.346841536277</v>
      </c>
      <c r="M14" s="16"/>
      <c r="N14" s="16"/>
      <c r="O14" s="11"/>
      <c r="P14" s="13"/>
      <c r="Q14" s="14">
        <f t="shared" ca="1" si="6"/>
        <v>17227.346841536277</v>
      </c>
      <c r="R14" s="16">
        <f t="shared" ca="1" si="4"/>
        <v>17227.346841536277</v>
      </c>
    </row>
    <row r="15" spans="1:20">
      <c r="A15" s="18" t="s">
        <v>79</v>
      </c>
      <c r="B15" s="11"/>
      <c r="C15" s="14"/>
      <c r="D15" s="14"/>
      <c r="E15" s="14">
        <f ca="1">E17-E14</f>
        <v>60677.837653550218</v>
      </c>
      <c r="F15" s="14"/>
      <c r="G15" s="14"/>
      <c r="H15" s="14"/>
      <c r="I15" s="14"/>
      <c r="J15" s="14"/>
      <c r="K15" s="13"/>
      <c r="L15" s="14">
        <f t="shared" ca="1" si="5"/>
        <v>60677.837653550218</v>
      </c>
      <c r="M15" s="16"/>
      <c r="N15" s="16"/>
      <c r="O15" s="11"/>
      <c r="P15" s="13"/>
      <c r="Q15" s="14">
        <f t="shared" ca="1" si="6"/>
        <v>60677.837653550218</v>
      </c>
      <c r="R15" s="16">
        <f t="shared" ca="1" si="4"/>
        <v>60677.837653550218</v>
      </c>
    </row>
    <row r="16" spans="1:20">
      <c r="A16" s="30" t="s">
        <v>89</v>
      </c>
      <c r="B16" s="21">
        <f ca="1">Q2</f>
        <v>33000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33000</v>
      </c>
      <c r="M16" s="19"/>
      <c r="N16" s="19"/>
      <c r="O16" s="21"/>
      <c r="P16" s="27"/>
      <c r="Q16" s="22">
        <f t="shared" ca="1" si="6"/>
        <v>33000</v>
      </c>
      <c r="R16" s="19">
        <f t="shared" ca="1" si="4"/>
        <v>33000</v>
      </c>
    </row>
    <row r="17" spans="1:18">
      <c r="A17" s="29" t="s">
        <v>88</v>
      </c>
      <c r="B17" s="9">
        <f ca="1">B16</f>
        <v>33000</v>
      </c>
      <c r="C17" s="9">
        <f ca="1">SUM(C$2:C$11)</f>
        <v>28822.642648686724</v>
      </c>
      <c r="D17" s="9">
        <f ca="1">SUM(D$2:D$11)</f>
        <v>0</v>
      </c>
      <c r="E17" s="9">
        <f ca="1">$Q$5/parameters!$B$4</f>
        <v>77905.184495086491</v>
      </c>
      <c r="F17" s="9">
        <f t="shared" ref="F17:K17" ca="1" si="7">SUM(F$2:F$11)</f>
        <v>35770.000000000007</v>
      </c>
      <c r="G17" s="9">
        <f t="shared" ca="1" si="7"/>
        <v>53906.144200626964</v>
      </c>
      <c r="H17" s="9">
        <f t="shared" ca="1" si="7"/>
        <v>85140.44</v>
      </c>
      <c r="I17" s="9">
        <f t="shared" ca="1" si="7"/>
        <v>26975.38809425163</v>
      </c>
      <c r="J17" s="9">
        <f t="shared" ca="1" si="7"/>
        <v>64230.271905748377</v>
      </c>
      <c r="K17" s="9">
        <f t="shared" ca="1" si="7"/>
        <v>89805.780881934566</v>
      </c>
      <c r="L17" s="17">
        <f t="shared" ca="1" si="5"/>
        <v>495555.85222633474</v>
      </c>
      <c r="M17" s="17"/>
      <c r="N17" s="17"/>
      <c r="O17" s="9"/>
      <c r="P17" s="14"/>
      <c r="Q17" s="11">
        <f t="shared" ca="1" si="6"/>
        <v>495555.85222633474</v>
      </c>
      <c r="R17" s="17">
        <f t="shared" ca="1" si="4"/>
        <v>495555.85222633474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0.92509215855610893</v>
      </c>
      <c r="J18" s="39">
        <f ca="1">I18</f>
        <v>0.92509215855610893</v>
      </c>
      <c r="K18" s="40">
        <f ca="1">1-(-K13)/K17</f>
        <v>0.88424656384718359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47655.122270302905</v>
      </c>
      <c r="D2" s="9">
        <f ca="1">Q4/parameters!$B$3</f>
        <v>4933.7627050417632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52588.88497534467</v>
      </c>
      <c r="M2" s="17"/>
      <c r="N2" s="17">
        <f ca="1">Q2-(L2+O2+P2)</f>
        <v>0</v>
      </c>
      <c r="O2" s="11" cm="1">
        <f t="array" aca="1" ref="O2" ca="1">INDIRECT("'data'!$F$" &amp; $A$1)</f>
        <v>16627</v>
      </c>
      <c r="P2" s="13">
        <f ca="1">IF(-(L2-Q2+O2)&lt;0, -(L2-Q2+O2), 0)</f>
        <v>-7415.8849753446702</v>
      </c>
      <c r="Q2" s="17" cm="1">
        <f t="array" aca="1" ref="Q2" ca="1">INDIRECT("'data'!$D$" &amp; $A$1)</f>
        <v>61800</v>
      </c>
      <c r="R2" s="17">
        <f ca="1">SUM(L2:P2)</f>
        <v>61800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40825.67164179105</v>
      </c>
      <c r="G3" s="14">
        <f ca="1">Q3-O3-P3-F3</f>
        <v>2800.2533582089454</v>
      </c>
      <c r="H3" s="14"/>
      <c r="I3" s="14"/>
      <c r="J3" s="14"/>
      <c r="K3" s="13"/>
      <c r="L3" s="16">
        <f t="shared" ca="1" si="0"/>
        <v>43625.924999999996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3728.97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47354.894999999997</v>
      </c>
      <c r="R3" s="16">
        <f t="shared" ref="R3:R10" ca="1" si="2">SUM(L3:P3)</f>
        <v>47354.894999999997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3005.6400000000003</v>
      </c>
      <c r="H4" s="14"/>
      <c r="I4" s="14"/>
      <c r="J4" s="14"/>
      <c r="K4" s="13"/>
      <c r="L4" s="16">
        <f t="shared" ca="1" si="0"/>
        <v>3005.6400000000003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1897.0400000000002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4902.68</v>
      </c>
      <c r="R4" s="16">
        <f t="shared" ca="1" si="2"/>
        <v>4902.68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10206.417910447763</v>
      </c>
      <c r="G5" s="14">
        <f ca="1">Q7/parameters!$B$7-(G3+G4)</f>
        <v>14679.895565511015</v>
      </c>
      <c r="H5" s="14"/>
      <c r="I5" s="14"/>
      <c r="J5" s="14"/>
      <c r="K5" s="13"/>
      <c r="L5" s="16">
        <f t="shared" ca="1" si="0"/>
        <v>24886.313475958777</v>
      </c>
      <c r="M5" s="16"/>
      <c r="N5" s="16"/>
      <c r="O5" s="11" cm="1">
        <f t="array" aca="1" ref="O5" ca="1">INDIRECT("'data'!$M$" &amp; $A$1)*parameters!$B$15</f>
        <v>3639.72</v>
      </c>
      <c r="P5" s="13" cm="1">
        <f t="array" aca="1" ref="P5" ca="1">-INDIRECT("'data'!$N$" &amp; $A$1)*parameters!$B$15</f>
        <v>-4.9000000000000004</v>
      </c>
      <c r="Q5" s="16">
        <f ca="1">SUM(L5:P5)</f>
        <v>28521.133475958777</v>
      </c>
      <c r="R5" s="16">
        <f t="shared" ca="1" si="2"/>
        <v>28521.133475958777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47868.1</v>
      </c>
      <c r="I6" s="14"/>
      <c r="J6" s="14"/>
      <c r="K6" s="13"/>
      <c r="L6" s="16">
        <f t="shared" ca="1" si="0"/>
        <v>47868.1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47868.1</v>
      </c>
      <c r="R6" s="16">
        <f t="shared" ca="1" si="2"/>
        <v>47868.1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19604.900000000001</v>
      </c>
      <c r="I7" s="14"/>
      <c r="J7" s="14"/>
      <c r="K7" s="13"/>
      <c r="L7" s="16">
        <f t="shared" ca="1" si="0"/>
        <v>19604.900000000001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19604.900000000001</v>
      </c>
      <c r="R7" s="16">
        <f t="shared" ca="1" si="2"/>
        <v>19604.900000000001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24324.118535218706</v>
      </c>
      <c r="J8" s="14">
        <f ca="1">Q10/J18</f>
        <v>29662.121464781299</v>
      </c>
      <c r="K8" s="13"/>
      <c r="L8" s="16">
        <f t="shared" ca="1" si="0"/>
        <v>53986.240000000005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13507.34</v>
      </c>
      <c r="P8" s="13" cm="1">
        <f t="array" aca="1" ref="P8" ca="1">-INDIRECT("'data'!$S$" &amp; $A$1)*parameters!$B$15</f>
        <v>-20.58</v>
      </c>
      <c r="Q8" s="16">
        <f ca="1">SUM(Q6:Q7)</f>
        <v>67473</v>
      </c>
      <c r="R8" s="16">
        <f t="shared" ca="1" si="2"/>
        <v>67473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20967.099999999999</v>
      </c>
      <c r="L9" s="16">
        <f t="shared" ca="1" si="0"/>
        <v>20967.099999999999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2155.02</v>
      </c>
      <c r="P9" s="13" cm="1">
        <f t="array" aca="1" ref="P9" ca="1">-INDIRECT("'data'!$V$" &amp; $A$1)*parameters!$B$15</f>
        <v>-2712.64</v>
      </c>
      <c r="Q9" s="16" cm="1">
        <f t="array" aca="1" ref="Q9" ca="1">INDIRECT("'data'!$T$" &amp; $A$1)*parameters!$B$15</f>
        <v>20409.48</v>
      </c>
      <c r="R9" s="16">
        <f t="shared" ca="1" si="2"/>
        <v>20409.48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20902.743413940254</v>
      </c>
      <c r="L10" s="16">
        <f t="shared" ca="1" si="0"/>
        <v>20902.743413940254</v>
      </c>
      <c r="M10" s="16"/>
      <c r="N10" s="16">
        <f t="shared" ca="1" si="3"/>
        <v>0</v>
      </c>
      <c r="O10" s="11" cm="1">
        <f t="array" aca="1" ref="O10" ca="1">INDIRECT("'data'!$X$" &amp; $A$1)*parameters!$B$15</f>
        <v>6876.66</v>
      </c>
      <c r="P10" s="13" cm="1">
        <f t="array" aca="1" ref="P10" ca="1">-INDIRECT("'data'!$Y$" &amp; $A$1)*parameters!$B$15</f>
        <v>-2891</v>
      </c>
      <c r="Q10" s="16" cm="1">
        <f t="array" aca="1" ref="Q10" ca="1">INDIRECT("'data'!$W$" &amp; $A$1)*parameters!$B$15</f>
        <v>24888.403413940254</v>
      </c>
      <c r="R10" s="16">
        <f t="shared" ca="1" si="2"/>
        <v>24888.403413940254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46450.553335988618</v>
      </c>
      <c r="N11" s="19"/>
      <c r="O11" s="21" cm="1">
        <f t="array" aca="1" ref="O11" ca="1">INDIRECT("'data'!$Z$" &amp; $A$1)*parameters!$B$15</f>
        <v>2014.8799999999999</v>
      </c>
      <c r="P11" s="27" cm="1">
        <f t="array" aca="1" ref="P11" ca="1">-INDIRECT("'data'!$AA$" &amp; $A$1)*parameters!$B$15</f>
        <v>-10780</v>
      </c>
      <c r="Q11" s="16">
        <f ca="1">K9*parameters!$B$10+K10*parameters!$B$11</f>
        <v>37685.433335988615</v>
      </c>
      <c r="R11" s="16">
        <f t="shared" ref="R11:R17" ca="1" si="4">SUM(L11:P11)</f>
        <v>37685.433335988615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-300.22727030290844</v>
      </c>
      <c r="D12" s="9">
        <f ca="1">-(D17-Q4)</f>
        <v>-31.082705041762893</v>
      </c>
      <c r="E12" s="9">
        <f ca="1">-(E17-Q5)</f>
        <v>-3525.0839127589497</v>
      </c>
      <c r="F12" s="9">
        <f ca="1">-(F17-Q6)</f>
        <v>-3163.9895522388179</v>
      </c>
      <c r="G12" s="9">
        <f ca="1">-(G17-Q7)</f>
        <v>-880.88892371995826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-7901.2723640623972</v>
      </c>
      <c r="M12" s="17"/>
      <c r="N12" s="17"/>
      <c r="O12" s="10"/>
      <c r="P12" s="12"/>
      <c r="Q12" s="9">
        <f t="shared" ref="Q12:Q17" ca="1" si="6">SUM(L12:P12)</f>
        <v>-7901.2723640623972</v>
      </c>
      <c r="R12" s="17">
        <f t="shared" ca="1" si="4"/>
        <v>-7901.2723640623972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-3914.6385352187062</v>
      </c>
      <c r="J13" s="14">
        <f ca="1">-(J17-Q10)</f>
        <v>-4773.7180508410456</v>
      </c>
      <c r="K13" s="13">
        <f ca="1">-(K17-Q11)</f>
        <v>-4184.4100779516375</v>
      </c>
      <c r="L13" s="14">
        <f t="shared" ca="1" si="5"/>
        <v>-12872.766664011389</v>
      </c>
      <c r="M13" s="16">
        <f ca="1">-E15</f>
        <v>-19173.450724706337</v>
      </c>
      <c r="N13" s="16"/>
      <c r="O13" s="11"/>
      <c r="P13" s="13"/>
      <c r="Q13" s="14">
        <f t="shared" ca="1" si="6"/>
        <v>-32046.217388717727</v>
      </c>
      <c r="R13" s="16">
        <f t="shared" ca="1" si="4"/>
        <v>-32046.217388717727</v>
      </c>
    </row>
    <row r="14" spans="1:20">
      <c r="A14" s="18" t="s">
        <v>78</v>
      </c>
      <c r="B14" s="11"/>
      <c r="C14" s="14"/>
      <c r="D14" s="14"/>
      <c r="E14" s="14">
        <f ca="1">-(I13+J13)-K13</f>
        <v>12872.766664011389</v>
      </c>
      <c r="F14" s="14"/>
      <c r="G14" s="14"/>
      <c r="H14" s="14"/>
      <c r="I14" s="14"/>
      <c r="J14" s="14"/>
      <c r="K14" s="13"/>
      <c r="L14" s="14">
        <f t="shared" ca="1" si="5"/>
        <v>12872.766664011389</v>
      </c>
      <c r="M14" s="16"/>
      <c r="N14" s="16"/>
      <c r="O14" s="11"/>
      <c r="P14" s="13"/>
      <c r="Q14" s="14">
        <f t="shared" ca="1" si="6"/>
        <v>12872.766664011389</v>
      </c>
      <c r="R14" s="16">
        <f t="shared" ca="1" si="4"/>
        <v>12872.766664011389</v>
      </c>
    </row>
    <row r="15" spans="1:20">
      <c r="A15" s="18" t="s">
        <v>79</v>
      </c>
      <c r="B15" s="11"/>
      <c r="C15" s="14"/>
      <c r="D15" s="14"/>
      <c r="E15" s="14">
        <f ca="1">E17-E14</f>
        <v>19173.450724706337</v>
      </c>
      <c r="F15" s="14"/>
      <c r="G15" s="14"/>
      <c r="H15" s="14"/>
      <c r="I15" s="14"/>
      <c r="J15" s="14"/>
      <c r="K15" s="13"/>
      <c r="L15" s="14">
        <f t="shared" ca="1" si="5"/>
        <v>19173.450724706337</v>
      </c>
      <c r="M15" s="16"/>
      <c r="N15" s="16"/>
      <c r="O15" s="11"/>
      <c r="P15" s="13"/>
      <c r="Q15" s="14">
        <f t="shared" ca="1" si="6"/>
        <v>19173.450724706337</v>
      </c>
      <c r="R15" s="16">
        <f t="shared" ca="1" si="4"/>
        <v>19173.450724706337</v>
      </c>
    </row>
    <row r="16" spans="1:20">
      <c r="A16" s="30" t="s">
        <v>89</v>
      </c>
      <c r="B16" s="21">
        <f ca="1">Q2</f>
        <v>61800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61800</v>
      </c>
      <c r="M16" s="19"/>
      <c r="N16" s="19"/>
      <c r="O16" s="21"/>
      <c r="P16" s="27"/>
      <c r="Q16" s="22">
        <f t="shared" ca="1" si="6"/>
        <v>61800</v>
      </c>
      <c r="R16" s="19">
        <f t="shared" ca="1" si="4"/>
        <v>61800</v>
      </c>
    </row>
    <row r="17" spans="1:18">
      <c r="A17" s="29" t="s">
        <v>88</v>
      </c>
      <c r="B17" s="9">
        <f ca="1">B16</f>
        <v>61800</v>
      </c>
      <c r="C17" s="9">
        <f ca="1">SUM(C$2:C$11)</f>
        <v>47655.122270302905</v>
      </c>
      <c r="D17" s="9">
        <f ca="1">SUM(D$2:D$11)</f>
        <v>4933.7627050417632</v>
      </c>
      <c r="E17" s="9">
        <f ca="1">$Q$5/parameters!$B$4</f>
        <v>32046.217388717727</v>
      </c>
      <c r="F17" s="9">
        <f t="shared" ref="F17:K17" ca="1" si="7">SUM(F$2:F$11)</f>
        <v>51032.089552238816</v>
      </c>
      <c r="G17" s="9">
        <f t="shared" ca="1" si="7"/>
        <v>20485.78892371996</v>
      </c>
      <c r="H17" s="9">
        <f t="shared" ca="1" si="7"/>
        <v>67473</v>
      </c>
      <c r="I17" s="9">
        <f t="shared" ca="1" si="7"/>
        <v>24324.118535218706</v>
      </c>
      <c r="J17" s="9">
        <f t="shared" ca="1" si="7"/>
        <v>29662.121464781299</v>
      </c>
      <c r="K17" s="9">
        <f t="shared" ca="1" si="7"/>
        <v>41869.843413940253</v>
      </c>
      <c r="L17" s="17">
        <f t="shared" ca="1" si="5"/>
        <v>381282.06425396143</v>
      </c>
      <c r="M17" s="17"/>
      <c r="N17" s="17"/>
      <c r="O17" s="9"/>
      <c r="P17" s="14"/>
      <c r="Q17" s="11">
        <f t="shared" ca="1" si="6"/>
        <v>381282.06425396143</v>
      </c>
      <c r="R17" s="17">
        <f t="shared" ca="1" si="4"/>
        <v>381282.06425396143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0.83906349866077445</v>
      </c>
      <c r="J18" s="39">
        <f ca="1">I18</f>
        <v>0.83906349866077445</v>
      </c>
      <c r="K18" s="40">
        <f ca="1">1-(-K13)/K17</f>
        <v>0.90006148251897999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39033.435644560734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39033.435644560734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-39033.435644560734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33678.567164179105</v>
      </c>
      <c r="G3" s="14">
        <f ca="1">Q3-O3-P3-F3</f>
        <v>6039.7828358208935</v>
      </c>
      <c r="H3" s="14"/>
      <c r="I3" s="14"/>
      <c r="J3" s="14"/>
      <c r="K3" s="13"/>
      <c r="L3" s="16">
        <f t="shared" ca="1" si="0"/>
        <v>39718.35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-932.71499999999992</v>
      </c>
      <c r="Q3" s="16" cm="1">
        <f t="array" aca="1" ref="Q3" ca="1">INDIRECT("'data'!$G$" &amp; $A$1)*parameters!$B$13</f>
        <v>38787.525000000001</v>
      </c>
      <c r="R3" s="16">
        <f t="shared" ref="R3:R10" ca="1" si="2">SUM(L3:P3)</f>
        <v>38787.525000000001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531.76</v>
      </c>
      <c r="H4" s="14"/>
      <c r="I4" s="14"/>
      <c r="J4" s="14"/>
      <c r="K4" s="13"/>
      <c r="L4" s="16">
        <f t="shared" ca="1" si="0"/>
        <v>531.76</v>
      </c>
      <c r="M4" s="16"/>
      <c r="N4" s="16">
        <f t="shared" ca="1" si="1"/>
        <v>0</v>
      </c>
      <c r="O4" s="11" cm="1">
        <f t="array" aca="1" ref="O4" ca="1">INDIRECT("'data'!$K$" &amp; $A$1)*parameters!$B$14</f>
        <v>60.720000000000006</v>
      </c>
      <c r="P4" s="13" cm="1">
        <f t="array" aca="1" ref="P4" ca="1">-INDIRECT("'data'!$L$" &amp; $A$1)*parameters!$B$14</f>
        <v>-592.48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8419.6417910447763</v>
      </c>
      <c r="G5" s="14">
        <f ca="1">Q7/parameters!$B$7-(G3+G4)</f>
        <v>19815.750790093422</v>
      </c>
      <c r="H5" s="14"/>
      <c r="I5" s="14"/>
      <c r="J5" s="14"/>
      <c r="K5" s="13"/>
      <c r="L5" s="16">
        <f t="shared" ca="1" si="0"/>
        <v>28235.3925811382</v>
      </c>
      <c r="M5" s="16"/>
      <c r="N5" s="16"/>
      <c r="O5" s="11" cm="1">
        <f t="array" aca="1" ref="O5" ca="1">INDIRECT("'data'!$M$" &amp; $A$1)*parameters!$B$15</f>
        <v>200.9</v>
      </c>
      <c r="P5" s="13" cm="1">
        <f t="array" aca="1" ref="P5" ca="1">-INDIRECT("'data'!$N$" &amp; $A$1)*parameters!$B$15</f>
        <v>-9074.7999999999993</v>
      </c>
      <c r="Q5" s="16">
        <f ca="1">SUM(L5:P5)</f>
        <v>19361.492581138202</v>
      </c>
      <c r="R5" s="16">
        <f t="shared" ca="1" si="2"/>
        <v>19361.492581138202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39488.120000000003</v>
      </c>
      <c r="I6" s="14"/>
      <c r="J6" s="14"/>
      <c r="K6" s="13"/>
      <c r="L6" s="16">
        <f t="shared" ca="1" si="0"/>
        <v>39488.120000000003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39488.120000000003</v>
      </c>
      <c r="R6" s="16">
        <f t="shared" ca="1" si="2"/>
        <v>39488.120000000003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25252.639999999999</v>
      </c>
      <c r="I7" s="14"/>
      <c r="J7" s="14"/>
      <c r="K7" s="13"/>
      <c r="L7" s="16">
        <f t="shared" ca="1" si="0"/>
        <v>25252.639999999999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25252.639999999999</v>
      </c>
      <c r="R7" s="16">
        <f t="shared" ca="1" si="2"/>
        <v>25252.639999999999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20861.274548517966</v>
      </c>
      <c r="J8" s="14">
        <f ca="1">Q10/J18</f>
        <v>44895.745451482042</v>
      </c>
      <c r="K8" s="13"/>
      <c r="L8" s="16">
        <f t="shared" ca="1" si="0"/>
        <v>65757.02</v>
      </c>
      <c r="M8" s="16"/>
      <c r="N8" s="16">
        <f t="shared" ca="1" si="3"/>
        <v>0</v>
      </c>
      <c r="O8" s="11" cm="1">
        <f t="array" aca="1" ref="O8" ca="1">INDIRECT("'data'!$R$" &amp; $A$1)*parameters!$B$15</f>
        <v>1319.08</v>
      </c>
      <c r="P8" s="13" cm="1">
        <f t="array" aca="1" ref="P8" ca="1">-INDIRECT("'data'!$S$" &amp; $A$1)*parameters!$B$15</f>
        <v>-2335.34</v>
      </c>
      <c r="Q8" s="16">
        <f ca="1">SUM(Q6:Q7)</f>
        <v>64740.76</v>
      </c>
      <c r="R8" s="16">
        <f t="shared" ca="1" si="2"/>
        <v>64740.760000000009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20895.560000000001</v>
      </c>
      <c r="L9" s="16">
        <f t="shared" ca="1" si="0"/>
        <v>20895.560000000001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3540.74</v>
      </c>
      <c r="P9" s="13" cm="1">
        <f t="array" aca="1" ref="P9" ca="1">-INDIRECT("'data'!$V$" &amp; $A$1)*parameters!$B$15</f>
        <v>-4756.92</v>
      </c>
      <c r="Q9" s="16" cm="1">
        <f t="array" aca="1" ref="Q9" ca="1">INDIRECT("'data'!$T$" &amp; $A$1)*parameters!$B$15</f>
        <v>19679.38</v>
      </c>
      <c r="R9" s="16">
        <f t="shared" ca="1" si="2"/>
        <v>19679.380000000005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32535.519061166426</v>
      </c>
      <c r="L10" s="16">
        <f t="shared" ca="1" si="0"/>
        <v>32535.519061166426</v>
      </c>
      <c r="M10" s="16"/>
      <c r="N10" s="16">
        <f t="shared" ca="1" si="3"/>
        <v>0</v>
      </c>
      <c r="O10" s="11" cm="1">
        <f t="array" aca="1" ref="O10" ca="1">INDIRECT("'data'!$X$" &amp; $A$1)*parameters!$B$15</f>
        <v>20384</v>
      </c>
      <c r="P10" s="13" cm="1">
        <f t="array" aca="1" ref="P10" ca="1">-INDIRECT("'data'!$Y$" &amp; $A$1)*parameters!$B$15</f>
        <v>-10567.34</v>
      </c>
      <c r="Q10" s="16" cm="1">
        <f t="array" aca="1" ref="Q10" ca="1">INDIRECT("'data'!$W$" &amp; $A$1)*parameters!$B$15</f>
        <v>42352.179061166426</v>
      </c>
      <c r="R10" s="16">
        <f t="shared" ca="1" si="2"/>
        <v>42352.179061166433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31770.872792603128</v>
      </c>
      <c r="N11" s="19"/>
      <c r="O11" s="21" cm="1">
        <f t="array" aca="1" ref="O11" ca="1">INDIRECT("'data'!$Z$" &amp; $A$1)*parameters!$B$15</f>
        <v>22220.52</v>
      </c>
      <c r="P11" s="27" cm="1">
        <f t="array" aca="1" ref="P11" ca="1">-INDIRECT("'data'!$AA$" &amp; $A$1)*parameters!$B$15</f>
        <v>-6369.0199999999995</v>
      </c>
      <c r="Q11" s="16">
        <f ca="1">K9*parameters!$B$10+K10*parameters!$B$11</f>
        <v>47622.372792603128</v>
      </c>
      <c r="R11" s="16">
        <f t="shared" ref="R11:R17" ca="1" si="4">SUM(L11:P11)</f>
        <v>47622.372792603135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-245.91064456073218</v>
      </c>
      <c r="D12" s="9">
        <f ca="1">-(D17-Q4)</f>
        <v>0</v>
      </c>
      <c r="E12" s="9">
        <f ca="1">-(E17-Q5)</f>
        <v>-2392.9934650844953</v>
      </c>
      <c r="F12" s="9">
        <f ca="1">-(F17-Q6)</f>
        <v>-2610.0889552238805</v>
      </c>
      <c r="G12" s="9">
        <f ca="1">-(G17-Q7)</f>
        <v>-1134.6536259143177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-6383.6466907834256</v>
      </c>
      <c r="M12" s="17"/>
      <c r="N12" s="17"/>
      <c r="O12" s="10"/>
      <c r="P12" s="12"/>
      <c r="Q12" s="9">
        <f t="shared" ref="Q12:Q17" ca="1" si="6">SUM(L12:P12)</f>
        <v>-6383.6466907834256</v>
      </c>
      <c r="R12" s="17">
        <f t="shared" ca="1" si="4"/>
        <v>-6383.6466907834256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-1181.8945485179647</v>
      </c>
      <c r="J13" s="14">
        <f ca="1">-(J17-Q10)</f>
        <v>-2543.5663903156164</v>
      </c>
      <c r="K13" s="13">
        <f ca="1">-(K17-Q11)</f>
        <v>-5808.7062685632991</v>
      </c>
      <c r="L13" s="14">
        <f t="shared" ca="1" si="5"/>
        <v>-9534.1672073968803</v>
      </c>
      <c r="M13" s="16">
        <f ca="1">-E15</f>
        <v>-12220.318838825817</v>
      </c>
      <c r="N13" s="16"/>
      <c r="O13" s="11"/>
      <c r="P13" s="13"/>
      <c r="Q13" s="14">
        <f t="shared" ca="1" si="6"/>
        <v>-21754.486046222697</v>
      </c>
      <c r="R13" s="16">
        <f t="shared" ca="1" si="4"/>
        <v>-21754.486046222697</v>
      </c>
    </row>
    <row r="14" spans="1:20">
      <c r="A14" s="18" t="s">
        <v>78</v>
      </c>
      <c r="B14" s="11"/>
      <c r="C14" s="14"/>
      <c r="D14" s="14"/>
      <c r="E14" s="14">
        <f ca="1">-(I13+J13)-K13</f>
        <v>9534.1672073968803</v>
      </c>
      <c r="F14" s="14"/>
      <c r="G14" s="14"/>
      <c r="H14" s="14"/>
      <c r="I14" s="14"/>
      <c r="J14" s="14"/>
      <c r="K14" s="13"/>
      <c r="L14" s="14">
        <f t="shared" ca="1" si="5"/>
        <v>9534.1672073968803</v>
      </c>
      <c r="M14" s="16"/>
      <c r="N14" s="16"/>
      <c r="O14" s="11"/>
      <c r="P14" s="13"/>
      <c r="Q14" s="14">
        <f t="shared" ca="1" si="6"/>
        <v>9534.1672073968803</v>
      </c>
      <c r="R14" s="16">
        <f t="shared" ca="1" si="4"/>
        <v>9534.1672073968803</v>
      </c>
    </row>
    <row r="15" spans="1:20">
      <c r="A15" s="18" t="s">
        <v>79</v>
      </c>
      <c r="B15" s="11"/>
      <c r="C15" s="14"/>
      <c r="D15" s="14"/>
      <c r="E15" s="14">
        <f ca="1">E17-E14</f>
        <v>12220.318838825817</v>
      </c>
      <c r="F15" s="14"/>
      <c r="G15" s="14"/>
      <c r="H15" s="14"/>
      <c r="I15" s="14"/>
      <c r="J15" s="14"/>
      <c r="K15" s="13"/>
      <c r="L15" s="14">
        <f t="shared" ca="1" si="5"/>
        <v>12220.318838825817</v>
      </c>
      <c r="M15" s="16"/>
      <c r="N15" s="16"/>
      <c r="O15" s="11"/>
      <c r="P15" s="13"/>
      <c r="Q15" s="14">
        <f t="shared" ca="1" si="6"/>
        <v>12220.318838825817</v>
      </c>
      <c r="R15" s="16">
        <f t="shared" ca="1" si="4"/>
        <v>12220.318838825817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39033.435644560734</v>
      </c>
      <c r="D17" s="9">
        <f ca="1">SUM(D$2:D$11)</f>
        <v>0</v>
      </c>
      <c r="E17" s="9">
        <f ca="1">$Q$5/parameters!$B$4</f>
        <v>21754.486046222697</v>
      </c>
      <c r="F17" s="9">
        <f t="shared" ref="F17:K17" ca="1" si="7">SUM(F$2:F$11)</f>
        <v>42098.208955223883</v>
      </c>
      <c r="G17" s="9">
        <f t="shared" ca="1" si="7"/>
        <v>26387.293625914317</v>
      </c>
      <c r="H17" s="9">
        <f t="shared" ca="1" si="7"/>
        <v>64740.76</v>
      </c>
      <c r="I17" s="9">
        <f t="shared" ca="1" si="7"/>
        <v>20861.274548517966</v>
      </c>
      <c r="J17" s="9">
        <f t="shared" ca="1" si="7"/>
        <v>44895.745451482042</v>
      </c>
      <c r="K17" s="9">
        <f t="shared" ca="1" si="7"/>
        <v>53431.079061166427</v>
      </c>
      <c r="L17" s="17">
        <f t="shared" ca="1" si="5"/>
        <v>313202.2833330881</v>
      </c>
      <c r="M17" s="17"/>
      <c r="N17" s="17"/>
      <c r="O17" s="9"/>
      <c r="P17" s="14"/>
      <c r="Q17" s="11">
        <f t="shared" ca="1" si="6"/>
        <v>313202.2833330881</v>
      </c>
      <c r="R17" s="17">
        <f t="shared" ca="1" si="4"/>
        <v>313202.2833330881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0.94334504606757452</v>
      </c>
      <c r="J18" s="39">
        <f ca="1">I18</f>
        <v>0.94334504606757452</v>
      </c>
      <c r="K18" s="40">
        <f ca="1">1-(-K13)/K17</f>
        <v>0.89128600113215661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25370.544429908423</v>
      </c>
      <c r="D2" s="9">
        <f ca="1">Q4/parameters!$B$3</f>
        <v>461.06470765824696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25831.609137566669</v>
      </c>
      <c r="M2" s="17"/>
      <c r="N2" s="16">
        <v>0</v>
      </c>
      <c r="O2" s="11" cm="1">
        <f t="array" aca="1" ref="O2" ca="1">INDIRECT("'data'!$F$" &amp; $A$1)</f>
        <v>28.6</v>
      </c>
      <c r="P2" s="13">
        <f ca="1">IF(-(L2-Q2+O2)&lt;0, -(L2-Q2+O2), 0)</f>
        <v>-25813.009137566667</v>
      </c>
      <c r="Q2" s="17" cm="1">
        <f t="array" aca="1" ref="Q2" ca="1">INDIRECT("'data'!$D$" &amp; $A$1)</f>
        <v>47.2</v>
      </c>
      <c r="R2" s="17">
        <f ca="1">SUM(L2:P2)</f>
        <v>47.200000000000728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24393.432835820895</v>
      </c>
      <c r="G3" s="14">
        <f ca="1">Q3-O3-P3-F3</f>
        <v>1111.1721641791046</v>
      </c>
      <c r="H3" s="14"/>
      <c r="I3" s="14"/>
      <c r="J3" s="14"/>
      <c r="K3" s="13"/>
      <c r="L3" s="16">
        <f t="shared" ca="1" si="0"/>
        <v>25504.605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129.465</v>
      </c>
      <c r="P3" s="13" cm="1">
        <f t="array" aca="1" ref="P3" ca="1">-INDIRECT("'data'!$I$" &amp; $A$1)*parameters!$B$13</f>
        <v>-423.35999999999996</v>
      </c>
      <c r="Q3" s="16" cm="1">
        <f t="array" aca="1" ref="Q3" ca="1">INDIRECT("'data'!$G$" &amp; $A$1)*parameters!$B$13</f>
        <v>25210.71</v>
      </c>
      <c r="R3" s="16">
        <f t="shared" ref="R3:R10" ca="1" si="2">SUM(L3:P3)</f>
        <v>25210.71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766.36</v>
      </c>
      <c r="H4" s="14"/>
      <c r="I4" s="14"/>
      <c r="J4" s="14"/>
      <c r="K4" s="13"/>
      <c r="L4" s="16">
        <f t="shared" ca="1" si="0"/>
        <v>766.36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-308.2</v>
      </c>
      <c r="Q4" s="16" cm="1">
        <f t="array" aca="1" ref="Q4" ca="1">INDIRECT("'data'!$J$" &amp; $A$1)*parameters!$B$14</f>
        <v>458.16</v>
      </c>
      <c r="R4" s="16">
        <f t="shared" ca="1" si="2"/>
        <v>458.16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6098.3582089552247</v>
      </c>
      <c r="G5" s="14">
        <f ca="1">Q7/parameters!$B$7-(G3+G4)</f>
        <v>11904.933875528313</v>
      </c>
      <c r="H5" s="14"/>
      <c r="I5" s="14"/>
      <c r="J5" s="14"/>
      <c r="K5" s="13"/>
      <c r="L5" s="16">
        <f t="shared" ca="1" si="0"/>
        <v>18003.292084483539</v>
      </c>
      <c r="M5" s="16"/>
      <c r="N5" s="16"/>
      <c r="O5" s="11" cm="1">
        <f t="array" aca="1" ref="O5" ca="1">INDIRECT("'data'!$M$" &amp; $A$1)*parameters!$B$15</f>
        <v>8210.44</v>
      </c>
      <c r="P5" s="13" cm="1">
        <f t="array" aca="1" ref="P5" ca="1">-INDIRECT("'data'!$N$" &amp; $A$1)*parameters!$B$15</f>
        <v>-5233.2</v>
      </c>
      <c r="Q5" s="16">
        <f ca="1">SUM(L5:P5)</f>
        <v>20980.532084483541</v>
      </c>
      <c r="R5" s="16">
        <f t="shared" ca="1" si="2"/>
        <v>20980.532084483541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28601.3</v>
      </c>
      <c r="I6" s="14"/>
      <c r="J6" s="14"/>
      <c r="K6" s="13"/>
      <c r="L6" s="16">
        <f t="shared" ca="1" si="0"/>
        <v>28601.3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28601.3</v>
      </c>
      <c r="R6" s="16">
        <f t="shared" ca="1" si="2"/>
        <v>28601.3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13189.82</v>
      </c>
      <c r="I7" s="14"/>
      <c r="J7" s="14"/>
      <c r="K7" s="13"/>
      <c r="L7" s="16">
        <f t="shared" ca="1" si="0"/>
        <v>13189.82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13189.82</v>
      </c>
      <c r="R7" s="16">
        <f t="shared" ca="1" si="2"/>
        <v>13189.82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15731.33843492051</v>
      </c>
      <c r="J8" s="14">
        <f ca="1">Q10/J18</f>
        <v>25599.181565079485</v>
      </c>
      <c r="K8" s="13"/>
      <c r="L8" s="16">
        <f t="shared" ca="1" si="0"/>
        <v>41330.519999999997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1785.56</v>
      </c>
      <c r="P8" s="13" cm="1">
        <f t="array" aca="1" ref="P8" ca="1">-INDIRECT("'data'!$S$" &amp; $A$1)*parameters!$B$15</f>
        <v>-1324.96</v>
      </c>
      <c r="Q8" s="16">
        <f ca="1">SUM(Q6:Q7)</f>
        <v>41791.119999999995</v>
      </c>
      <c r="R8" s="16">
        <f t="shared" ca="1" si="2"/>
        <v>41791.119999999995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13051.64</v>
      </c>
      <c r="L9" s="16">
        <f t="shared" ca="1" si="0"/>
        <v>13051.64</v>
      </c>
      <c r="M9" s="16"/>
      <c r="N9" s="16">
        <f t="shared" ca="1" si="3"/>
        <v>0</v>
      </c>
      <c r="O9" s="11" cm="1">
        <f t="array" aca="1" ref="O9" ca="1">INDIRECT("'data'!$U$" &amp; $A$1)*parameters!$B$15</f>
        <v>6721.82</v>
      </c>
      <c r="P9" s="13" cm="1">
        <f t="array" aca="1" ref="P9" ca="1">-INDIRECT("'data'!$V$" &amp; $A$1)*parameters!$B$15</f>
        <v>-5966.24</v>
      </c>
      <c r="Q9" s="16" cm="1">
        <f t="array" aca="1" ref="Q9" ca="1">INDIRECT("'data'!$T$" &amp; $A$1)*parameters!$B$15</f>
        <v>13807.22</v>
      </c>
      <c r="R9" s="16">
        <f t="shared" ca="1" si="2"/>
        <v>13807.22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22177.055675675678</v>
      </c>
      <c r="L10" s="16">
        <f t="shared" ca="1" si="0"/>
        <v>22177.055675675678</v>
      </c>
      <c r="M10" s="16"/>
      <c r="N10" s="16">
        <f t="shared" ca="1" si="3"/>
        <v>0</v>
      </c>
      <c r="O10" s="11" cm="1">
        <f t="array" aca="1" ref="O10" ca="1">INDIRECT("'data'!$X$" &amp; $A$1)*parameters!$B$15</f>
        <v>12397</v>
      </c>
      <c r="P10" s="13" cm="1">
        <f t="array" aca="1" ref="P10" ca="1">-INDIRECT("'data'!$Y$" &amp; $A$1)*parameters!$B$15</f>
        <v>-12105.94</v>
      </c>
      <c r="Q10" s="16" cm="1">
        <f t="array" aca="1" ref="Q10" ca="1">INDIRECT("'data'!$W$" &amp; $A$1)*parameters!$B$15</f>
        <v>22468.115675675675</v>
      </c>
      <c r="R10" s="16">
        <f t="shared" ca="1" si="2"/>
        <v>22468.115675675675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21808.349481081081</v>
      </c>
      <c r="N11" s="19"/>
      <c r="O11" s="21" cm="1">
        <f t="array" aca="1" ref="O11" ca="1">INDIRECT("'data'!$Z$" &amp; $A$1)*parameters!$B$15</f>
        <v>30037</v>
      </c>
      <c r="P11" s="27" cm="1">
        <f t="array" aca="1" ref="P11" ca="1">-INDIRECT("'data'!$AA$" &amp; $A$1)*parameters!$B$15</f>
        <v>-20504.54</v>
      </c>
      <c r="Q11" s="16">
        <f ca="1">K9*parameters!$B$10+K10*parameters!$B$11</f>
        <v>31340.80948108108</v>
      </c>
      <c r="R11" s="16">
        <f t="shared" ref="R11:R17" ca="1" si="4">SUM(L11:P11)</f>
        <v>31340.80948108108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-159.83442990842377</v>
      </c>
      <c r="D12" s="9">
        <f ca="1">-(D17-Q4)</f>
        <v>-2.9047076582469344</v>
      </c>
      <c r="E12" s="9">
        <f ca="1">-(E17-Q5)</f>
        <v>-2593.0994711159437</v>
      </c>
      <c r="F12" s="9">
        <f ca="1">-(F17-Q6)</f>
        <v>-1890.4910447761213</v>
      </c>
      <c r="G12" s="9">
        <f ca="1">-(G17-Q7)</f>
        <v>-592.64603970741882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-5238.9756931661541</v>
      </c>
      <c r="M12" s="17"/>
      <c r="N12" s="17"/>
      <c r="O12" s="10"/>
      <c r="P12" s="12"/>
      <c r="Q12" s="9">
        <f t="shared" ref="Q12:Q17" ca="1" si="6">SUM(L12:P12)</f>
        <v>-5238.9756931661541</v>
      </c>
      <c r="R12" s="17">
        <f t="shared" ca="1" si="4"/>
        <v>-5238.9756931661541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-1924.1184349205105</v>
      </c>
      <c r="J13" s="14">
        <f ca="1">-(J17-Q10)</f>
        <v>-3131.0658894038097</v>
      </c>
      <c r="K13" s="13">
        <f ca="1">-(K17-Q11)</f>
        <v>-3887.8861945945973</v>
      </c>
      <c r="L13" s="14">
        <f t="shared" ca="1" si="5"/>
        <v>-8943.0705189189175</v>
      </c>
      <c r="M13" s="16">
        <f ca="1">-E15</f>
        <v>-14630.561036680567</v>
      </c>
      <c r="N13" s="16"/>
      <c r="O13" s="11"/>
      <c r="P13" s="13"/>
      <c r="Q13" s="14">
        <f t="shared" ca="1" si="6"/>
        <v>-23573.631555599484</v>
      </c>
      <c r="R13" s="16">
        <f t="shared" ca="1" si="4"/>
        <v>-23573.631555599484</v>
      </c>
    </row>
    <row r="14" spans="1:20">
      <c r="A14" s="18" t="s">
        <v>78</v>
      </c>
      <c r="B14" s="11"/>
      <c r="C14" s="14"/>
      <c r="D14" s="14"/>
      <c r="E14" s="14">
        <f ca="1">-(I13+J13)-K13</f>
        <v>8943.0705189189175</v>
      </c>
      <c r="F14" s="14"/>
      <c r="G14" s="14"/>
      <c r="H14" s="14"/>
      <c r="I14" s="14"/>
      <c r="J14" s="14"/>
      <c r="K14" s="13"/>
      <c r="L14" s="14">
        <f t="shared" ca="1" si="5"/>
        <v>8943.0705189189175</v>
      </c>
      <c r="M14" s="16"/>
      <c r="N14" s="16"/>
      <c r="O14" s="11"/>
      <c r="P14" s="13"/>
      <c r="Q14" s="14">
        <f t="shared" ca="1" si="6"/>
        <v>8943.0705189189175</v>
      </c>
      <c r="R14" s="16">
        <f t="shared" ca="1" si="4"/>
        <v>8943.0705189189175</v>
      </c>
    </row>
    <row r="15" spans="1:20">
      <c r="A15" s="18" t="s">
        <v>79</v>
      </c>
      <c r="B15" s="11"/>
      <c r="C15" s="14"/>
      <c r="D15" s="14"/>
      <c r="E15" s="14">
        <f ca="1">E17-E14</f>
        <v>14630.561036680567</v>
      </c>
      <c r="F15" s="14"/>
      <c r="G15" s="14"/>
      <c r="H15" s="14"/>
      <c r="I15" s="14"/>
      <c r="J15" s="14"/>
      <c r="K15" s="13"/>
      <c r="L15" s="14">
        <f t="shared" ca="1" si="5"/>
        <v>14630.561036680567</v>
      </c>
      <c r="M15" s="16"/>
      <c r="N15" s="16"/>
      <c r="O15" s="11"/>
      <c r="P15" s="13"/>
      <c r="Q15" s="14">
        <f t="shared" ca="1" si="6"/>
        <v>14630.561036680567</v>
      </c>
      <c r="R15" s="16">
        <f t="shared" ca="1" si="4"/>
        <v>14630.561036680567</v>
      </c>
    </row>
    <row r="16" spans="1:20">
      <c r="A16" s="30" t="s">
        <v>89</v>
      </c>
      <c r="B16" s="21">
        <f ca="1">Q2</f>
        <v>47.2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47.2</v>
      </c>
      <c r="M16" s="19"/>
      <c r="N16" s="19"/>
      <c r="O16" s="21"/>
      <c r="P16" s="27"/>
      <c r="Q16" s="22">
        <f t="shared" ca="1" si="6"/>
        <v>47.2</v>
      </c>
      <c r="R16" s="19">
        <f t="shared" ca="1" si="4"/>
        <v>47.2</v>
      </c>
    </row>
    <row r="17" spans="1:18">
      <c r="A17" s="29" t="s">
        <v>88</v>
      </c>
      <c r="B17" s="9">
        <f ca="1">B16</f>
        <v>47.2</v>
      </c>
      <c r="C17" s="9">
        <f ca="1">SUM(C$2:C$11)</f>
        <v>25370.544429908423</v>
      </c>
      <c r="D17" s="9">
        <f ca="1">SUM(D$2:D$11)</f>
        <v>461.06470765824696</v>
      </c>
      <c r="E17" s="9">
        <f ca="1">$Q$5/parameters!$B$4</f>
        <v>23573.631555599484</v>
      </c>
      <c r="F17" s="9">
        <f t="shared" ref="F17:K17" ca="1" si="7">SUM(F$2:F$11)</f>
        <v>30491.791044776121</v>
      </c>
      <c r="G17" s="9">
        <f t="shared" ca="1" si="7"/>
        <v>13782.466039707419</v>
      </c>
      <c r="H17" s="9">
        <f t="shared" ca="1" si="7"/>
        <v>41791.119999999995</v>
      </c>
      <c r="I17" s="9">
        <f t="shared" ca="1" si="7"/>
        <v>15731.33843492051</v>
      </c>
      <c r="J17" s="9">
        <f t="shared" ca="1" si="7"/>
        <v>25599.181565079485</v>
      </c>
      <c r="K17" s="9">
        <f t="shared" ca="1" si="7"/>
        <v>35228.695675675677</v>
      </c>
      <c r="L17" s="17">
        <f t="shared" ca="1" si="5"/>
        <v>212077.03345332533</v>
      </c>
      <c r="M17" s="17"/>
      <c r="N17" s="17"/>
      <c r="O17" s="9"/>
      <c r="P17" s="14"/>
      <c r="Q17" s="11">
        <f t="shared" ca="1" si="6"/>
        <v>212077.03345332533</v>
      </c>
      <c r="R17" s="17">
        <f t="shared" ca="1" si="4"/>
        <v>212077.03345332533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0.87768882839305384</v>
      </c>
      <c r="J18" s="39">
        <f ca="1">I18</f>
        <v>0.87768882839305384</v>
      </c>
      <c r="K18" s="40">
        <f ca="1">1-(-K13)/K17</f>
        <v>0.88963865621402893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8730.099627654221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8730.099627654221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-3530.099627654221</v>
      </c>
      <c r="Q2" s="17" cm="1">
        <f t="array" aca="1" ref="Q2" ca="1">INDIRECT("'data'!$D$" &amp; $A$1)</f>
        <v>5200</v>
      </c>
      <c r="R2" s="17">
        <f ca="1">SUM(L2:P2)</f>
        <v>5200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8300.5373134328365</v>
      </c>
      <c r="G3" s="14">
        <f ca="1">Q3-O3-P3-F3</f>
        <v>1283.652686567164</v>
      </c>
      <c r="H3" s="14"/>
      <c r="I3" s="14"/>
      <c r="J3" s="14"/>
      <c r="K3" s="13"/>
      <c r="L3" s="16">
        <f t="shared" ca="1" si="0"/>
        <v>9584.19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-914.76</v>
      </c>
      <c r="Q3" s="16" cm="1">
        <f t="array" aca="1" ref="Q3" ca="1">INDIRECT("'data'!$G$" &amp; $A$1)*parameters!$B$13</f>
        <v>8675.1</v>
      </c>
      <c r="R3" s="16">
        <f t="shared" ref="R3:R10" ca="1" si="2">SUM(L3:P3)</f>
        <v>8675.1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26.68</v>
      </c>
      <c r="H4" s="14"/>
      <c r="I4" s="14"/>
      <c r="J4" s="14"/>
      <c r="K4" s="13"/>
      <c r="L4" s="16">
        <f t="shared" ca="1" si="0"/>
        <v>26.68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-26.68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2075.1343283582091</v>
      </c>
      <c r="G5" s="14">
        <f ca="1">Q7/parameters!$B$7-(G3+G4)</f>
        <v>24006.845996818418</v>
      </c>
      <c r="H5" s="14"/>
      <c r="I5" s="14"/>
      <c r="J5" s="14"/>
      <c r="K5" s="13"/>
      <c r="L5" s="16">
        <f t="shared" ca="1" si="0"/>
        <v>26081.980325176628</v>
      </c>
      <c r="M5" s="16"/>
      <c r="N5" s="16"/>
      <c r="O5" s="11" cm="1">
        <f t="array" aca="1" ref="O5" ca="1">INDIRECT("'data'!$M$" &amp; $A$1)*parameters!$B$15</f>
        <v>99.96</v>
      </c>
      <c r="P5" s="13" cm="1">
        <f t="array" aca="1" ref="P5" ca="1">-INDIRECT("'data'!$N$" &amp; $A$1)*parameters!$B$15</f>
        <v>-19330.5</v>
      </c>
      <c r="Q5" s="16">
        <f ca="1">SUM(L5:P5)</f>
        <v>6851.4403251766271</v>
      </c>
      <c r="R5" s="16">
        <f t="shared" ca="1" si="2"/>
        <v>6851.4403251766271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9732.3799999999992</v>
      </c>
      <c r="I6" s="14"/>
      <c r="J6" s="14"/>
      <c r="K6" s="13"/>
      <c r="L6" s="16">
        <f t="shared" ca="1" si="0"/>
        <v>9732.3799999999992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9732.3799999999992</v>
      </c>
      <c r="R6" s="16">
        <f t="shared" ca="1" si="2"/>
        <v>9732.3799999999992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24228.54</v>
      </c>
      <c r="I7" s="14"/>
      <c r="J7" s="14"/>
      <c r="K7" s="13"/>
      <c r="L7" s="16">
        <f t="shared" ca="1" si="0"/>
        <v>24228.54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24228.54</v>
      </c>
      <c r="R7" s="16">
        <f t="shared" ca="1" si="2"/>
        <v>24228.54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27727.797051753008</v>
      </c>
      <c r="J8" s="14">
        <f ca="1">Q10/J18</f>
        <v>10018.862948246991</v>
      </c>
      <c r="K8" s="13"/>
      <c r="L8" s="16">
        <f t="shared" ca="1" si="0"/>
        <v>37746.660000000003</v>
      </c>
      <c r="M8" s="16"/>
      <c r="N8" s="16">
        <f t="shared" ca="1" si="3"/>
        <v>0</v>
      </c>
      <c r="O8" s="11" cm="1">
        <f t="array" aca="1" ref="O8" ca="1">INDIRECT("'data'!$R$" &amp; $A$1)*parameters!$B$15</f>
        <v>1535.66</v>
      </c>
      <c r="P8" s="13" cm="1">
        <f t="array" aca="1" ref="P8" ca="1">-INDIRECT("'data'!$S$" &amp; $A$1)*parameters!$B$15</f>
        <v>-5321.4</v>
      </c>
      <c r="Q8" s="16">
        <f ca="1">SUM(Q6:Q7)</f>
        <v>33960.92</v>
      </c>
      <c r="R8" s="16">
        <f t="shared" ca="1" si="2"/>
        <v>33960.920000000006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16214.099999999999</v>
      </c>
      <c r="L9" s="16">
        <f t="shared" ca="1" si="0"/>
        <v>16214.099999999999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11218.06</v>
      </c>
      <c r="P9" s="13" cm="1">
        <f t="array" aca="1" ref="P9" ca="1">-INDIRECT("'data'!$V$" &amp; $A$1)*parameters!$B$15</f>
        <v>-1426.8799999999999</v>
      </c>
      <c r="Q9" s="16" cm="1">
        <f t="array" aca="1" ref="Q9" ca="1">INDIRECT("'data'!$T$" &amp; $A$1)*parameters!$B$15</f>
        <v>26005.279999999999</v>
      </c>
      <c r="R9" s="16">
        <f t="shared" ca="1" si="2"/>
        <v>26005.279999999995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14039.707226173541</v>
      </c>
      <c r="L10" s="16">
        <f t="shared" ca="1" si="0"/>
        <v>14039.707226173541</v>
      </c>
      <c r="M10" s="16"/>
      <c r="N10" s="16">
        <f t="shared" ca="1" si="3"/>
        <v>0</v>
      </c>
      <c r="O10" s="11" cm="1">
        <f t="array" aca="1" ref="O10" ca="1">INDIRECT("'data'!$X$" &amp; $A$1)*parameters!$B$15</f>
        <v>2331.42</v>
      </c>
      <c r="P10" s="13" cm="1">
        <f t="array" aca="1" ref="P10" ca="1">-INDIRECT("'data'!$Y$" &amp; $A$1)*parameters!$B$15</f>
        <v>-6974.66</v>
      </c>
      <c r="Q10" s="16" cm="1">
        <f t="array" aca="1" ref="Q10" ca="1">INDIRECT("'data'!$W$" &amp; $A$1)*parameters!$B$15</f>
        <v>9396.4672261735413</v>
      </c>
      <c r="R10" s="16">
        <f t="shared" ca="1" si="2"/>
        <v>9396.4672261735413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25824.82221450924</v>
      </c>
      <c r="N11" s="19"/>
      <c r="O11" s="21" cm="1">
        <f t="array" aca="1" ref="O11" ca="1">INDIRECT("'data'!$Z$" &amp; $A$1)*parameters!$B$15</f>
        <v>5714.38</v>
      </c>
      <c r="P11" s="27" cm="1">
        <f t="array" aca="1" ref="P11" ca="1">-INDIRECT("'data'!$AA$" &amp; $A$1)*parameters!$B$15</f>
        <v>-4223.8</v>
      </c>
      <c r="Q11" s="16">
        <f ca="1">K9*parameters!$B$10+K10*parameters!$B$11</f>
        <v>27315.402214509242</v>
      </c>
      <c r="R11" s="16">
        <f t="shared" ref="R11:R17" ca="1" si="4">SUM(L11:P11)</f>
        <v>27315.402214509242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-54.999627654220603</v>
      </c>
      <c r="D12" s="9">
        <f ca="1">-(D17-Q4)</f>
        <v>0</v>
      </c>
      <c r="E12" s="9">
        <f ca="1">-(E17-Q5)</f>
        <v>-846.80723120160565</v>
      </c>
      <c r="F12" s="9">
        <f ca="1">-(F17-Q6)</f>
        <v>-643.29164179104737</v>
      </c>
      <c r="G12" s="9">
        <f ca="1">-(G17-Q7)</f>
        <v>-1088.6386833855795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-2633.7371840324531</v>
      </c>
      <c r="M12" s="17"/>
      <c r="N12" s="17"/>
      <c r="O12" s="10"/>
      <c r="P12" s="12"/>
      <c r="Q12" s="9">
        <f t="shared" ref="Q12:Q17" ca="1" si="6">SUM(L12:P12)</f>
        <v>-2633.7371840324531</v>
      </c>
      <c r="R12" s="17">
        <f t="shared" ca="1" si="4"/>
        <v>-2633.7371840324531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-1722.5170517530096</v>
      </c>
      <c r="J13" s="14">
        <f ca="1">-(J17-Q10)</f>
        <v>-622.39572207345009</v>
      </c>
      <c r="K13" s="13">
        <f ca="1">-(K17-Q11)</f>
        <v>-2938.4050116642975</v>
      </c>
      <c r="L13" s="14">
        <f t="shared" ca="1" si="5"/>
        <v>-5283.3177854907572</v>
      </c>
      <c r="M13" s="16">
        <f ca="1">-E15</f>
        <v>-2414.9297708874756</v>
      </c>
      <c r="N13" s="16"/>
      <c r="O13" s="11"/>
      <c r="P13" s="13"/>
      <c r="Q13" s="14">
        <f t="shared" ca="1" si="6"/>
        <v>-7698.2475563782327</v>
      </c>
      <c r="R13" s="16">
        <f t="shared" ca="1" si="4"/>
        <v>-7698.2475563782327</v>
      </c>
    </row>
    <row r="14" spans="1:20">
      <c r="A14" s="18" t="s">
        <v>78</v>
      </c>
      <c r="B14" s="11"/>
      <c r="C14" s="14"/>
      <c r="D14" s="14"/>
      <c r="E14" s="14">
        <f ca="1">-(I13+J13)-K13</f>
        <v>5283.3177854907572</v>
      </c>
      <c r="F14" s="14"/>
      <c r="G14" s="14"/>
      <c r="H14" s="14"/>
      <c r="I14" s="14"/>
      <c r="J14" s="14"/>
      <c r="K14" s="13"/>
      <c r="L14" s="14">
        <f t="shared" ca="1" si="5"/>
        <v>5283.3177854907572</v>
      </c>
      <c r="M14" s="16"/>
      <c r="N14" s="16"/>
      <c r="O14" s="11"/>
      <c r="P14" s="13"/>
      <c r="Q14" s="14">
        <f t="shared" ca="1" si="6"/>
        <v>5283.3177854907572</v>
      </c>
      <c r="R14" s="16">
        <f t="shared" ca="1" si="4"/>
        <v>5283.3177854907572</v>
      </c>
    </row>
    <row r="15" spans="1:20">
      <c r="A15" s="18" t="s">
        <v>79</v>
      </c>
      <c r="B15" s="11"/>
      <c r="C15" s="14"/>
      <c r="D15" s="14"/>
      <c r="E15" s="14">
        <f ca="1">E17-E14</f>
        <v>2414.9297708874756</v>
      </c>
      <c r="F15" s="14"/>
      <c r="G15" s="14"/>
      <c r="H15" s="14"/>
      <c r="I15" s="14"/>
      <c r="J15" s="14"/>
      <c r="K15" s="13"/>
      <c r="L15" s="14">
        <f t="shared" ca="1" si="5"/>
        <v>2414.9297708874756</v>
      </c>
      <c r="M15" s="16"/>
      <c r="N15" s="16"/>
      <c r="O15" s="11"/>
      <c r="P15" s="13"/>
      <c r="Q15" s="14">
        <f t="shared" ca="1" si="6"/>
        <v>2414.9297708874756</v>
      </c>
      <c r="R15" s="16">
        <f t="shared" ca="1" si="4"/>
        <v>2414.9297708874756</v>
      </c>
    </row>
    <row r="16" spans="1:20">
      <c r="A16" s="30" t="s">
        <v>89</v>
      </c>
      <c r="B16" s="21">
        <f ca="1">Q2</f>
        <v>5200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5200</v>
      </c>
      <c r="M16" s="19"/>
      <c r="N16" s="19"/>
      <c r="O16" s="21"/>
      <c r="P16" s="27"/>
      <c r="Q16" s="22">
        <f t="shared" ca="1" si="6"/>
        <v>5200</v>
      </c>
      <c r="R16" s="19">
        <f t="shared" ca="1" si="4"/>
        <v>5200</v>
      </c>
    </row>
    <row r="17" spans="1:18">
      <c r="A17" s="29" t="s">
        <v>88</v>
      </c>
      <c r="B17" s="9">
        <f ca="1">B16</f>
        <v>5200</v>
      </c>
      <c r="C17" s="9">
        <f ca="1">SUM(C$2:C$11)</f>
        <v>8730.099627654221</v>
      </c>
      <c r="D17" s="9">
        <f ca="1">SUM(D$2:D$11)</f>
        <v>0</v>
      </c>
      <c r="E17" s="9">
        <f ca="1">$Q$5/parameters!$B$4</f>
        <v>7698.2475563782327</v>
      </c>
      <c r="F17" s="9">
        <f t="shared" ref="F17:K17" ca="1" si="7">SUM(F$2:F$11)</f>
        <v>10375.671641791047</v>
      </c>
      <c r="G17" s="9">
        <f t="shared" ca="1" si="7"/>
        <v>25317.17868338558</v>
      </c>
      <c r="H17" s="9">
        <f t="shared" ca="1" si="7"/>
        <v>33960.92</v>
      </c>
      <c r="I17" s="9">
        <f t="shared" ca="1" si="7"/>
        <v>27727.797051753008</v>
      </c>
      <c r="J17" s="9">
        <f t="shared" ca="1" si="7"/>
        <v>10018.862948246991</v>
      </c>
      <c r="K17" s="9">
        <f t="shared" ca="1" si="7"/>
        <v>30253.80722617354</v>
      </c>
      <c r="L17" s="17">
        <f t="shared" ca="1" si="5"/>
        <v>159282.58473538264</v>
      </c>
      <c r="M17" s="17"/>
      <c r="N17" s="17"/>
      <c r="O17" s="9"/>
      <c r="P17" s="14"/>
      <c r="Q17" s="11">
        <f t="shared" ca="1" si="6"/>
        <v>159282.58473538264</v>
      </c>
      <c r="R17" s="17">
        <f t="shared" ca="1" si="4"/>
        <v>159282.58473538264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0.93787760893741434</v>
      </c>
      <c r="J18" s="39">
        <f ca="1">I18</f>
        <v>0.93787760893741434</v>
      </c>
      <c r="K18" s="40">
        <f ca="1">1-(-K13)/K17</f>
        <v>0.90287486828691799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24915.970614873702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24915.970614873702</v>
      </c>
      <c r="M2" s="17"/>
      <c r="N2" s="17">
        <f ca="1">Q2-(L2+O2+P2)</f>
        <v>6818.6793851262773</v>
      </c>
      <c r="O2" s="11" cm="1">
        <f t="array" aca="1" ref="O2" ca="1">INDIRECT("'data'!$F$" &amp; $A$1)</f>
        <v>214265.35</v>
      </c>
      <c r="P2" s="13">
        <f ca="1">IF(-(L2-Q2+O2)&lt;0, -(L2-Q2+O2), 0)</f>
        <v>0</v>
      </c>
      <c r="Q2" s="17" cm="1">
        <f t="array" aca="1" ref="Q2" ca="1">INDIRECT("'data'!$D$" &amp; $A$1)</f>
        <v>246000</v>
      </c>
      <c r="R2" s="17">
        <f ca="1">SUM(L2:P2)</f>
        <v>246000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21391.164179104479</v>
      </c>
      <c r="G3" s="14">
        <f ca="1">Q3-O3-P3-F3</f>
        <v>823.89582089552277</v>
      </c>
      <c r="H3" s="14"/>
      <c r="I3" s="14"/>
      <c r="J3" s="14"/>
      <c r="K3" s="13"/>
      <c r="L3" s="16">
        <f t="shared" ca="1" si="0"/>
        <v>22215.06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2543.94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24759</v>
      </c>
      <c r="R3" s="16">
        <f t="shared" ref="R3:R10" ca="1" si="2">SUM(L3:P3)</f>
        <v>24759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5347.7910447761205</v>
      </c>
      <c r="G5" s="14">
        <f ca="1">Q7/parameters!$B$7-(G3+G4)</f>
        <v>7952.0707412779375</v>
      </c>
      <c r="H5" s="14"/>
      <c r="I5" s="14"/>
      <c r="J5" s="14"/>
      <c r="K5" s="13"/>
      <c r="L5" s="16">
        <f t="shared" ca="1" si="0"/>
        <v>13299.861786054058</v>
      </c>
      <c r="M5" s="16"/>
      <c r="N5" s="16"/>
      <c r="O5" s="11" cm="1">
        <f t="array" aca="1" ref="O5" ca="1">INDIRECT("'data'!$M$" &amp; $A$1)*parameters!$B$15</f>
        <v>443.94</v>
      </c>
      <c r="P5" s="13" cm="1">
        <f t="array" aca="1" ref="P5" ca="1">-INDIRECT("'data'!$N$" &amp; $A$1)*parameters!$B$15</f>
        <v>-53.9</v>
      </c>
      <c r="Q5" s="16">
        <f ca="1">SUM(L5:P5)</f>
        <v>13689.901786054059</v>
      </c>
      <c r="R5" s="16">
        <f t="shared" ca="1" si="2"/>
        <v>13689.901786054059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25081.14</v>
      </c>
      <c r="I6" s="14"/>
      <c r="J6" s="14"/>
      <c r="K6" s="13"/>
      <c r="L6" s="16">
        <f t="shared" ca="1" si="0"/>
        <v>25081.14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25081.14</v>
      </c>
      <c r="R6" s="16">
        <f t="shared" ca="1" si="2"/>
        <v>25081.14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8398.6</v>
      </c>
      <c r="I7" s="14"/>
      <c r="J7" s="14"/>
      <c r="K7" s="13"/>
      <c r="L7" s="16">
        <f t="shared" ca="1" si="0"/>
        <v>8398.6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8398.6</v>
      </c>
      <c r="R7" s="16">
        <f t="shared" ca="1" si="2"/>
        <v>8398.6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12332.981534501419</v>
      </c>
      <c r="J8" s="14">
        <f ca="1">Q10/J18</f>
        <v>15989.998465498576</v>
      </c>
      <c r="K8" s="13"/>
      <c r="L8" s="16">
        <f t="shared" ca="1" si="0"/>
        <v>28322.979999999996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5167.54</v>
      </c>
      <c r="P8" s="13" cm="1">
        <f t="array" aca="1" ref="P8" ca="1">-INDIRECT("'data'!$S$" &amp; $A$1)*parameters!$B$15</f>
        <v>-10.78</v>
      </c>
      <c r="Q8" s="16">
        <f ca="1">SUM(Q6:Q7)</f>
        <v>33479.74</v>
      </c>
      <c r="R8" s="16">
        <f t="shared" ca="1" si="2"/>
        <v>33479.74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11414.06</v>
      </c>
      <c r="L9" s="16">
        <f t="shared" ca="1" si="0"/>
        <v>11414.06</v>
      </c>
      <c r="M9" s="16"/>
      <c r="N9" s="16">
        <f t="shared" ca="1" si="3"/>
        <v>0</v>
      </c>
      <c r="O9" s="11" cm="1">
        <f t="array" aca="1" ref="O9" ca="1">INDIRECT("'data'!$U$" &amp; $A$1)*parameters!$B$15</f>
        <v>913.36</v>
      </c>
      <c r="P9" s="13" cm="1">
        <f t="array" aca="1" ref="P9" ca="1">-INDIRECT("'data'!$V$" &amp; $A$1)*parameters!$B$15</f>
        <v>-1302.42</v>
      </c>
      <c r="Q9" s="16" cm="1">
        <f t="array" aca="1" ref="Q9" ca="1">INDIRECT("'data'!$T$" &amp; $A$1)*parameters!$B$15</f>
        <v>11025</v>
      </c>
      <c r="R9" s="16">
        <f t="shared" ca="1" si="2"/>
        <v>11025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14760.649871977239</v>
      </c>
      <c r="L10" s="16">
        <f t="shared" ca="1" si="0"/>
        <v>14760.649871977239</v>
      </c>
      <c r="M10" s="16"/>
      <c r="N10" s="16">
        <f t="shared" ca="1" si="3"/>
        <v>0</v>
      </c>
      <c r="O10" s="11" cm="1">
        <f t="array" aca="1" ref="O10" ca="1">INDIRECT("'data'!$X$" &amp; $A$1)*parameters!$B$15</f>
        <v>1482.74</v>
      </c>
      <c r="P10" s="13" cm="1">
        <f t="array" aca="1" ref="P10" ca="1">-INDIRECT("'data'!$Y$" &amp; $A$1)*parameters!$B$15</f>
        <v>-1949.22</v>
      </c>
      <c r="Q10" s="16" cm="1">
        <f t="array" aca="1" ref="Q10" ca="1">INDIRECT("'data'!$W$" &amp; $A$1)*parameters!$B$15</f>
        <v>14294.169871977239</v>
      </c>
      <c r="R10" s="16">
        <f t="shared" ca="1" si="2"/>
        <v>14294.169871977239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25759.695289900425</v>
      </c>
      <c r="N11" s="19"/>
      <c r="O11" s="21" cm="1">
        <f t="array" aca="1" ref="O11" ca="1">INDIRECT("'data'!$Z$" &amp; $A$1)*parameters!$B$15</f>
        <v>2903.74</v>
      </c>
      <c r="P11" s="27" cm="1">
        <f t="array" aca="1" ref="P11" ca="1">-INDIRECT("'data'!$AA$" &amp; $A$1)*parameters!$B$15</f>
        <v>-5240.0599999999995</v>
      </c>
      <c r="Q11" s="16">
        <f ca="1">K9*parameters!$B$10+K10*parameters!$B$11</f>
        <v>23423.375289900425</v>
      </c>
      <c r="R11" s="16">
        <f t="shared" ref="R11:R17" ca="1" si="4">SUM(L11:P11)</f>
        <v>23423.375289900425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-156.97061487370229</v>
      </c>
      <c r="D12" s="9">
        <f ca="1">-(D17-Q4)</f>
        <v>0</v>
      </c>
      <c r="E12" s="9">
        <f ca="1">-(E17-Q5)</f>
        <v>-1692.0103331078044</v>
      </c>
      <c r="F12" s="9">
        <f ca="1">-(F17-Q6)</f>
        <v>-1657.8152238805997</v>
      </c>
      <c r="G12" s="9">
        <f ca="1">-(G17-Q7)</f>
        <v>-377.3665621734599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-3884.1627340355662</v>
      </c>
      <c r="M12" s="17"/>
      <c r="N12" s="17"/>
      <c r="O12" s="10"/>
      <c r="P12" s="12"/>
      <c r="Q12" s="9">
        <f t="shared" ref="Q12:Q17" ca="1" si="6">SUM(L12:P12)</f>
        <v>-3884.1627340355662</v>
      </c>
      <c r="R12" s="17">
        <f t="shared" ca="1" si="4"/>
        <v>-3884.1627340355662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-1307.9815345014194</v>
      </c>
      <c r="J13" s="14">
        <f ca="1">-(J17-Q10)</f>
        <v>-1695.8285935213371</v>
      </c>
      <c r="K13" s="13">
        <f ca="1">-(K17-Q11)</f>
        <v>-2751.3345820768154</v>
      </c>
      <c r="L13" s="14">
        <f t="shared" ca="1" si="5"/>
        <v>-5755.144710099572</v>
      </c>
      <c r="M13" s="16">
        <f ca="1">-E15</f>
        <v>-9626.7674090622913</v>
      </c>
      <c r="N13" s="16"/>
      <c r="O13" s="11"/>
      <c r="P13" s="13"/>
      <c r="Q13" s="14">
        <f t="shared" ca="1" si="6"/>
        <v>-15381.912119161863</v>
      </c>
      <c r="R13" s="16">
        <f t="shared" ca="1" si="4"/>
        <v>-15381.912119161863</v>
      </c>
    </row>
    <row r="14" spans="1:20">
      <c r="A14" s="18" t="s">
        <v>78</v>
      </c>
      <c r="B14" s="11"/>
      <c r="C14" s="14"/>
      <c r="D14" s="14"/>
      <c r="E14" s="14">
        <f ca="1">-(I13+J13)-K13</f>
        <v>5755.144710099572</v>
      </c>
      <c r="F14" s="14"/>
      <c r="G14" s="14"/>
      <c r="H14" s="14"/>
      <c r="I14" s="14"/>
      <c r="J14" s="14"/>
      <c r="K14" s="13"/>
      <c r="L14" s="14">
        <f t="shared" ca="1" si="5"/>
        <v>5755.144710099572</v>
      </c>
      <c r="M14" s="16"/>
      <c r="N14" s="16"/>
      <c r="O14" s="11"/>
      <c r="P14" s="13"/>
      <c r="Q14" s="14">
        <f t="shared" ca="1" si="6"/>
        <v>5755.144710099572</v>
      </c>
      <c r="R14" s="16">
        <f t="shared" ca="1" si="4"/>
        <v>5755.144710099572</v>
      </c>
    </row>
    <row r="15" spans="1:20">
      <c r="A15" s="18" t="s">
        <v>79</v>
      </c>
      <c r="B15" s="11"/>
      <c r="C15" s="14"/>
      <c r="D15" s="14"/>
      <c r="E15" s="14">
        <f ca="1">E17-E14</f>
        <v>9626.7674090622913</v>
      </c>
      <c r="F15" s="14"/>
      <c r="G15" s="14"/>
      <c r="H15" s="14"/>
      <c r="I15" s="14"/>
      <c r="J15" s="14"/>
      <c r="K15" s="13"/>
      <c r="L15" s="14">
        <f t="shared" ca="1" si="5"/>
        <v>9626.7674090622913</v>
      </c>
      <c r="M15" s="16"/>
      <c r="N15" s="16"/>
      <c r="O15" s="11"/>
      <c r="P15" s="13"/>
      <c r="Q15" s="14">
        <f t="shared" ca="1" si="6"/>
        <v>9626.7674090622913</v>
      </c>
      <c r="R15" s="16">
        <f t="shared" ca="1" si="4"/>
        <v>9626.7674090622913</v>
      </c>
    </row>
    <row r="16" spans="1:20">
      <c r="A16" s="30" t="s">
        <v>89</v>
      </c>
      <c r="B16" s="21">
        <f ca="1">Q2</f>
        <v>246000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246000</v>
      </c>
      <c r="M16" s="19"/>
      <c r="N16" s="19"/>
      <c r="O16" s="21"/>
      <c r="P16" s="27"/>
      <c r="Q16" s="22">
        <f t="shared" ca="1" si="6"/>
        <v>246000</v>
      </c>
      <c r="R16" s="19">
        <f t="shared" ca="1" si="4"/>
        <v>246000</v>
      </c>
    </row>
    <row r="17" spans="1:18">
      <c r="A17" s="29" t="s">
        <v>88</v>
      </c>
      <c r="B17" s="9">
        <f ca="1">B16</f>
        <v>246000</v>
      </c>
      <c r="C17" s="9">
        <f ca="1">SUM(C$2:C$11)</f>
        <v>24915.970614873702</v>
      </c>
      <c r="D17" s="9">
        <f ca="1">SUM(D$2:D$11)</f>
        <v>0</v>
      </c>
      <c r="E17" s="9">
        <f ca="1">$Q$5/parameters!$B$4</f>
        <v>15381.912119161863</v>
      </c>
      <c r="F17" s="9">
        <f t="shared" ref="F17:K17" ca="1" si="7">SUM(F$2:F$11)</f>
        <v>26738.955223880599</v>
      </c>
      <c r="G17" s="9">
        <f t="shared" ca="1" si="7"/>
        <v>8775.9665621734603</v>
      </c>
      <c r="H17" s="9">
        <f t="shared" ca="1" si="7"/>
        <v>33479.74</v>
      </c>
      <c r="I17" s="9">
        <f t="shared" ca="1" si="7"/>
        <v>12332.981534501419</v>
      </c>
      <c r="J17" s="9">
        <f t="shared" ca="1" si="7"/>
        <v>15989.998465498576</v>
      </c>
      <c r="K17" s="9">
        <f t="shared" ca="1" si="7"/>
        <v>26174.70987197724</v>
      </c>
      <c r="L17" s="17">
        <f t="shared" ca="1" si="5"/>
        <v>409790.23439206678</v>
      </c>
      <c r="M17" s="17"/>
      <c r="N17" s="17"/>
      <c r="O17" s="9"/>
      <c r="P17" s="14"/>
      <c r="Q17" s="11">
        <f t="shared" ca="1" si="6"/>
        <v>409790.23439206678</v>
      </c>
      <c r="R17" s="17">
        <f t="shared" ca="1" si="4"/>
        <v>409790.23439206678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0.89394441799476054</v>
      </c>
      <c r="J18" s="39">
        <f ca="1">I18</f>
        <v>0.89394441799476054</v>
      </c>
      <c r="K18" s="40">
        <f ca="1">1-(-K13)/K17</f>
        <v>0.89488576585819557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1684.0442996208237</v>
      </c>
      <c r="D2" s="9">
        <f ca="1">Q4/parameters!$B$3</f>
        <v>11810.556958162011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13494.601257782835</v>
      </c>
      <c r="M2" s="17"/>
      <c r="N2" s="17">
        <f ca="1">Q2-(L2+O2+P2)</f>
        <v>0</v>
      </c>
      <c r="O2" s="11" cm="1">
        <f t="array" aca="1" ref="O2" ca="1">INDIRECT("'data'!$F$" &amp; $A$1)</f>
        <v>14600.300000000001</v>
      </c>
      <c r="P2" s="13">
        <f ca="1">IF(-(L2-Q2+O2)&lt;0, -(L2-Q2+O2), 0)</f>
        <v>-12301.246094481636</v>
      </c>
      <c r="Q2" s="17" cm="1">
        <f t="array" aca="1" ref="Q2" ca="1">INDIRECT("'data'!$D$" &amp; $A$1)</f>
        <v>15793.6551633012</v>
      </c>
      <c r="R2" s="17">
        <f ca="1">SUM(L2:P2)</f>
        <v>15793.6551633012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1661.4761194029852</v>
      </c>
      <c r="G3" s="14">
        <f ca="1">Q3-O3-P3-F3</f>
        <v>11.958701130227382</v>
      </c>
      <c r="H3" s="14"/>
      <c r="I3" s="14"/>
      <c r="J3" s="14"/>
      <c r="K3" s="13"/>
      <c r="L3" s="16">
        <f t="shared" ca="1" si="0"/>
        <v>1673.4348205332126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1673.4348205332126</v>
      </c>
      <c r="R3" s="16">
        <f t="shared" ref="R3:R10" ca="1" si="2">SUM(L3:P3)</f>
        <v>1673.4348205332126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11706.71044932559</v>
      </c>
      <c r="H4" s="14"/>
      <c r="I4" s="14"/>
      <c r="J4" s="14"/>
      <c r="K4" s="13"/>
      <c r="L4" s="16">
        <f t="shared" ca="1" si="0"/>
        <v>11706.71044932559</v>
      </c>
      <c r="M4" s="16"/>
      <c r="N4" s="16">
        <f t="shared" ca="1" si="1"/>
        <v>0</v>
      </c>
      <c r="O4" s="11" cm="1">
        <f t="array" aca="1" ref="O4" ca="1">INDIRECT("'data'!$K$" &amp; $A$1)*parameters!$B$14</f>
        <v>29.44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11736.150449325591</v>
      </c>
      <c r="R4" s="16">
        <f t="shared" ca="1" si="2"/>
        <v>11736.150449325591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Q6/parameters!$B$5*21%</f>
        <v>441.65820895522393</v>
      </c>
      <c r="G5" s="14">
        <f ca="1">Q7/parameters!$B$7-(G3+G4)</f>
        <v>2012.5952173602745</v>
      </c>
      <c r="H5" s="14"/>
      <c r="I5" s="14"/>
      <c r="J5" s="14"/>
      <c r="K5" s="13"/>
      <c r="L5" s="16">
        <f t="shared" ca="1" si="0"/>
        <v>2454.2534263154985</v>
      </c>
      <c r="M5" s="16"/>
      <c r="N5" s="16"/>
      <c r="O5" s="11" cm="1">
        <f t="array" aca="1" ref="O5" ca="1">INDIRECT("'data'!$M$" &amp; $A$1)*parameters!$B$15</f>
        <v>1.96</v>
      </c>
      <c r="P5" s="13" cm="1">
        <f t="array" aca="1" ref="P5" ca="1">-INDIRECT("'data'!$N$" &amp; $A$1)*parameters!$B$15</f>
        <v>-23.52</v>
      </c>
      <c r="Q5" s="16">
        <f ca="1">SUM(L5:P5)</f>
        <v>2432.6934263154985</v>
      </c>
      <c r="R5" s="16">
        <f t="shared" ca="1" si="2"/>
        <v>2432.6934263154985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1972.74</v>
      </c>
      <c r="I6" s="14"/>
      <c r="J6" s="14"/>
      <c r="K6" s="13"/>
      <c r="L6" s="16">
        <f t="shared" ca="1" si="0"/>
        <v>1972.74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1972.74</v>
      </c>
      <c r="R6" s="16">
        <f t="shared" ca="1" si="2"/>
        <v>1972.74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13140.82</v>
      </c>
      <c r="I7" s="14"/>
      <c r="J7" s="14"/>
      <c r="K7" s="13"/>
      <c r="L7" s="16">
        <f t="shared" ca="1" si="0"/>
        <v>13140.82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13140.82</v>
      </c>
      <c r="R7" s="16">
        <f t="shared" ca="1" si="2"/>
        <v>13140.82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8406</v>
      </c>
      <c r="J8" s="14">
        <f ca="1">Q10/J18</f>
        <v>8015.2916073968709</v>
      </c>
      <c r="K8" s="13"/>
      <c r="L8" s="16">
        <f t="shared" ca="1" si="0"/>
        <v>16421.29160739687</v>
      </c>
      <c r="M8" s="16"/>
      <c r="N8" s="16">
        <f t="shared" ca="1" si="3"/>
        <v>-1098.0116073968711</v>
      </c>
      <c r="O8" s="11" cm="1">
        <f t="array" aca="1" ref="O8" ca="1">INDIRECT("'data'!$R$" &amp; $A$1)*parameters!$B$15</f>
        <v>88.2</v>
      </c>
      <c r="P8" s="13" cm="1">
        <f t="array" aca="1" ref="P8" ca="1">-INDIRECT("'data'!$S$" &amp; $A$1)*parameters!$B$15</f>
        <v>-297.92</v>
      </c>
      <c r="Q8" s="16">
        <f ca="1">SUM(Q6:Q7)</f>
        <v>15113.56</v>
      </c>
      <c r="R8" s="16">
        <f t="shared" ca="1" si="2"/>
        <v>15113.56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8876.84</v>
      </c>
      <c r="L9" s="16">
        <f t="shared" ca="1" si="0"/>
        <v>8876.84</v>
      </c>
      <c r="M9" s="16"/>
      <c r="N9" s="16">
        <f t="shared" ca="1" si="3"/>
        <v>0</v>
      </c>
      <c r="O9" s="11" cm="1">
        <f t="array" aca="1" ref="O9" ca="1">INDIRECT("'data'!$U$" &amp; $A$1)*parameters!$B$15</f>
        <v>26.46</v>
      </c>
      <c r="P9" s="13" cm="1">
        <f t="array" aca="1" ref="P9" ca="1">-INDIRECT("'data'!$V$" &amp; $A$1)*parameters!$B$15</f>
        <v>-665.42</v>
      </c>
      <c r="Q9" s="16" cm="1">
        <f t="array" aca="1" ref="Q9" ca="1">INDIRECT("'data'!$T$" &amp; $A$1)*parameters!$B$15</f>
        <v>8237.8799999999992</v>
      </c>
      <c r="R9" s="16">
        <f t="shared" ca="1" si="2"/>
        <v>8237.8799999999992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9305.385775248933</v>
      </c>
      <c r="L10" s="16">
        <f t="shared" ca="1" si="0"/>
        <v>9305.385775248933</v>
      </c>
      <c r="M10" s="16"/>
      <c r="N10" s="16">
        <f t="shared" ca="1" si="3"/>
        <v>0</v>
      </c>
      <c r="O10" s="11" cm="1">
        <f t="array" aca="1" ref="O10" ca="1">INDIRECT("'data'!$X$" &amp; $A$1)*parameters!$B$15</f>
        <v>243.04</v>
      </c>
      <c r="P10" s="13" cm="1">
        <f t="array" aca="1" ref="P10" ca="1">-INDIRECT("'data'!$Y$" &amp; $A$1)*parameters!$B$15</f>
        <v>-1693.44</v>
      </c>
      <c r="Q10" s="16" cm="1">
        <f t="array" aca="1" ref="Q10" ca="1">INDIRECT("'data'!$W$" &amp; $A$1)*parameters!$B$15</f>
        <v>7854.9857752489334</v>
      </c>
      <c r="R10" s="16">
        <f t="shared" ca="1" si="2"/>
        <v>7854.9857752489334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17744.341366714081</v>
      </c>
      <c r="N11" s="19"/>
      <c r="O11" s="21" cm="1">
        <f t="array" aca="1" ref="O11" ca="1">INDIRECT("'data'!$Z$" &amp; $A$1)*parameters!$B$15</f>
        <v>57.82</v>
      </c>
      <c r="P11" s="27" cm="1">
        <f t="array" aca="1" ref="P11" ca="1">-INDIRECT("'data'!$AA$" &amp; $A$1)*parameters!$B$15</f>
        <v>-1455.3</v>
      </c>
      <c r="Q11" s="16">
        <f ca="1">K9*parameters!$B$10+K10*parameters!$B$11</f>
        <v>16346.861366714082</v>
      </c>
      <c r="R11" s="16">
        <f t="shared" ref="R11:R17" ca="1" si="4">SUM(L11:P11)</f>
        <v>16346.861366714082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-10.609479087611135</v>
      </c>
      <c r="D12" s="9">
        <f ca="1">-(D17-Q4)</f>
        <v>-74.406508836420471</v>
      </c>
      <c r="E12" s="9">
        <f ca="1">-(E17-Q5)</f>
        <v>-300.66997403899404</v>
      </c>
      <c r="F12" s="9">
        <f ca="1">-(F17-Q6)</f>
        <v>-130.39432835820912</v>
      </c>
      <c r="G12" s="9">
        <f ca="1">-(G17-Q7)</f>
        <v>-590.44436781609329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-1106.5246581373281</v>
      </c>
      <c r="M12" s="17"/>
      <c r="N12" s="17"/>
      <c r="O12" s="10"/>
      <c r="P12" s="12"/>
      <c r="Q12" s="9">
        <f t="shared" ref="Q12:Q17" ca="1" si="6">SUM(L12:P12)</f>
        <v>-1106.5246581373281</v>
      </c>
      <c r="R12" s="17">
        <f t="shared" ca="1" si="4"/>
        <v>-1106.5246581373281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-168.1200000000008</v>
      </c>
      <c r="J13" s="14">
        <f ca="1">-(J17-Q10)</f>
        <v>-160.30583214793751</v>
      </c>
      <c r="K13" s="13">
        <f ca="1">-(K17-Q11)</f>
        <v>-1835.3644085348496</v>
      </c>
      <c r="L13" s="14">
        <f t="shared" ca="1" si="5"/>
        <v>-2163.790240682788</v>
      </c>
      <c r="M13" s="16">
        <f ca="1">-E15</f>
        <v>-569.57315967170462</v>
      </c>
      <c r="N13" s="16"/>
      <c r="O13" s="11"/>
      <c r="P13" s="13"/>
      <c r="Q13" s="14">
        <f t="shared" ca="1" si="6"/>
        <v>-2733.3634003544926</v>
      </c>
      <c r="R13" s="16">
        <f t="shared" ca="1" si="4"/>
        <v>-2733.3634003544926</v>
      </c>
    </row>
    <row r="14" spans="1:22">
      <c r="A14" s="18" t="s">
        <v>78</v>
      </c>
      <c r="B14" s="11"/>
      <c r="C14" s="14"/>
      <c r="D14" s="14"/>
      <c r="E14" s="14">
        <f ca="1">-(I13+J13)-K13</f>
        <v>2163.790240682788</v>
      </c>
      <c r="F14" s="14"/>
      <c r="G14" s="14"/>
      <c r="H14" s="14"/>
      <c r="I14" s="14"/>
      <c r="J14" s="14"/>
      <c r="K14" s="13"/>
      <c r="L14" s="14">
        <f t="shared" ca="1" si="5"/>
        <v>2163.790240682788</v>
      </c>
      <c r="M14" s="16"/>
      <c r="N14" s="16"/>
      <c r="O14" s="11"/>
      <c r="P14" s="13"/>
      <c r="Q14" s="14">
        <f t="shared" ca="1" si="6"/>
        <v>2163.790240682788</v>
      </c>
      <c r="R14" s="16">
        <f t="shared" ca="1" si="4"/>
        <v>2163.790240682788</v>
      </c>
    </row>
    <row r="15" spans="1:22">
      <c r="A15" s="18" t="s">
        <v>79</v>
      </c>
      <c r="B15" s="11"/>
      <c r="C15" s="14"/>
      <c r="D15" s="14"/>
      <c r="E15" s="14">
        <f ca="1">E17-E14</f>
        <v>569.57315967170462</v>
      </c>
      <c r="F15" s="14"/>
      <c r="G15" s="14"/>
      <c r="H15" s="14"/>
      <c r="I15" s="14"/>
      <c r="J15" s="14"/>
      <c r="K15" s="13"/>
      <c r="L15" s="14">
        <f t="shared" ca="1" si="5"/>
        <v>569.57315967170462</v>
      </c>
      <c r="M15" s="16"/>
      <c r="N15" s="16"/>
      <c r="O15" s="11"/>
      <c r="P15" s="13"/>
      <c r="Q15" s="14">
        <f t="shared" ca="1" si="6"/>
        <v>569.57315967170462</v>
      </c>
      <c r="R15" s="16">
        <f t="shared" ca="1" si="4"/>
        <v>569.57315967170462</v>
      </c>
    </row>
    <row r="16" spans="1:22">
      <c r="A16" s="30" t="s">
        <v>89</v>
      </c>
      <c r="B16" s="21">
        <f ca="1">Q2</f>
        <v>15793.6551633012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15793.6551633012</v>
      </c>
      <c r="M16" s="19"/>
      <c r="N16" s="19"/>
      <c r="O16" s="21"/>
      <c r="P16" s="27"/>
      <c r="Q16" s="22">
        <f t="shared" ca="1" si="6"/>
        <v>15793.6551633012</v>
      </c>
      <c r="R16" s="19">
        <f t="shared" ca="1" si="4"/>
        <v>15793.6551633012</v>
      </c>
    </row>
    <row r="17" spans="1:18">
      <c r="A17" s="29" t="s">
        <v>88</v>
      </c>
      <c r="B17" s="9">
        <f ca="1">B16</f>
        <v>15793.6551633012</v>
      </c>
      <c r="C17" s="9">
        <f ca="1">SUM(C$2:C$11)</f>
        <v>1684.0442996208237</v>
      </c>
      <c r="D17" s="9">
        <f ca="1">SUM(D$2:D$11)</f>
        <v>11810.556958162011</v>
      </c>
      <c r="E17" s="9">
        <f ca="1">$Q$5/parameters!$B$4</f>
        <v>2733.3634003544926</v>
      </c>
      <c r="F17" s="9">
        <f t="shared" ref="F17:K17" ca="1" si="7">SUM(F$2:F$11)</f>
        <v>2103.1343283582091</v>
      </c>
      <c r="G17" s="9">
        <f t="shared" ca="1" si="7"/>
        <v>13731.264367816093</v>
      </c>
      <c r="H17" s="9">
        <f t="shared" ca="1" si="7"/>
        <v>15113.56</v>
      </c>
      <c r="I17" s="9">
        <f t="shared" ca="1" si="7"/>
        <v>8406</v>
      </c>
      <c r="J17" s="9">
        <f t="shared" ca="1" si="7"/>
        <v>8015.2916073968709</v>
      </c>
      <c r="K17" s="9">
        <f t="shared" ca="1" si="7"/>
        <v>18182.225775248931</v>
      </c>
      <c r="L17" s="17">
        <f t="shared" ca="1" si="5"/>
        <v>97573.095900258631</v>
      </c>
      <c r="M17" s="17"/>
      <c r="N17" s="17"/>
      <c r="O17" s="9"/>
      <c r="P17" s="14"/>
      <c r="Q17" s="11">
        <f t="shared" ca="1" si="6"/>
        <v>97573.095900258631</v>
      </c>
      <c r="R17" s="17">
        <f t="shared" ca="1" si="4"/>
        <v>97573.095900258631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0.89905722042934422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6593.2223004931056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6593.2223004931056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-6593.2223004931056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5681.9104477611945</v>
      </c>
      <c r="G3" s="14">
        <f ca="1">Q3-O3-P3-F3</f>
        <v>2231.5195522388049</v>
      </c>
      <c r="H3" s="14"/>
      <c r="I3" s="14"/>
      <c r="J3" s="14"/>
      <c r="K3" s="13"/>
      <c r="L3" s="16">
        <f t="shared" ca="1" si="0"/>
        <v>7913.4299999999994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37.799999999999997</v>
      </c>
      <c r="P3" s="13" cm="1">
        <f t="array" aca="1" ref="P3" ca="1">-INDIRECT("'data'!$I$" &amp; $A$1)*parameters!$B$13</f>
        <v>-1399.5449999999998</v>
      </c>
      <c r="Q3" s="16" cm="1">
        <f t="array" aca="1" ref="Q3" ca="1">INDIRECT("'data'!$G$" &amp; $A$1)*parameters!$B$13</f>
        <v>6551.6849999999995</v>
      </c>
      <c r="R3" s="16">
        <f t="shared" ref="R3:R10" ca="1" si="2">SUM(L3:P3)</f>
        <v>6551.6849999999995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599.84</v>
      </c>
      <c r="H4" s="14"/>
      <c r="I4" s="14"/>
      <c r="J4" s="14"/>
      <c r="K4" s="13"/>
      <c r="L4" s="16">
        <f t="shared" ca="1" si="0"/>
        <v>599.84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-599.84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1420.4776119402986</v>
      </c>
      <c r="G5" s="14">
        <f ca="1">Q7/parameters!$B$7-(G3+G4)</f>
        <v>14879.298754971223</v>
      </c>
      <c r="H5" s="14"/>
      <c r="I5" s="14"/>
      <c r="J5" s="14"/>
      <c r="K5" s="13"/>
      <c r="L5" s="16">
        <f t="shared" ca="1" si="0"/>
        <v>16299.776366911523</v>
      </c>
      <c r="M5" s="16"/>
      <c r="N5" s="16"/>
      <c r="O5" s="11" cm="1">
        <f t="array" aca="1" ref="O5" ca="1">INDIRECT("'data'!$M$" &amp; $A$1)*parameters!$B$15</f>
        <v>248.92</v>
      </c>
      <c r="P5" s="13" cm="1">
        <f t="array" aca="1" ref="P5" ca="1">-INDIRECT("'data'!$N$" &amp; $A$1)*parameters!$B$15</f>
        <v>-4857.8599999999997</v>
      </c>
      <c r="Q5" s="16">
        <f ca="1">SUM(L5:P5)</f>
        <v>11690.836366911521</v>
      </c>
      <c r="R5" s="16">
        <f t="shared" ca="1" si="2"/>
        <v>11690.836366911521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6662.04</v>
      </c>
      <c r="I6" s="14"/>
      <c r="J6" s="14"/>
      <c r="K6" s="13"/>
      <c r="L6" s="16">
        <f t="shared" ca="1" si="0"/>
        <v>6662.04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6662.04</v>
      </c>
      <c r="R6" s="16">
        <f t="shared" ca="1" si="2"/>
        <v>6662.04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16949.099999999999</v>
      </c>
      <c r="I7" s="14"/>
      <c r="J7" s="14"/>
      <c r="K7" s="13"/>
      <c r="L7" s="16">
        <f t="shared" ca="1" si="0"/>
        <v>16949.099999999999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16949.099999999999</v>
      </c>
      <c r="R7" s="16">
        <f t="shared" ca="1" si="2"/>
        <v>16949.099999999999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13151.738950374867</v>
      </c>
      <c r="J8" s="14">
        <f ca="1">Q10/J18</f>
        <v>12904.501049625134</v>
      </c>
      <c r="K8" s="13"/>
      <c r="L8" s="16">
        <f t="shared" ca="1" si="0"/>
        <v>26056.240000000002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688.93999999999994</v>
      </c>
      <c r="P8" s="13" cm="1">
        <f t="array" aca="1" ref="P8" ca="1">-INDIRECT("'data'!$S$" &amp; $A$1)*parameters!$B$15</f>
        <v>-3134.04</v>
      </c>
      <c r="Q8" s="16">
        <f ca="1">SUM(Q6:Q7)</f>
        <v>23611.14</v>
      </c>
      <c r="R8" s="16">
        <f t="shared" ca="1" si="2"/>
        <v>23611.14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8737.68</v>
      </c>
      <c r="L9" s="16">
        <f t="shared" ca="1" si="0"/>
        <v>8737.68</v>
      </c>
      <c r="M9" s="16"/>
      <c r="N9" s="16">
        <f t="shared" ca="1" si="3"/>
        <v>0</v>
      </c>
      <c r="O9" s="11" cm="1">
        <f t="array" aca="1" ref="O9" ca="1">INDIRECT("'data'!$U$" &amp; $A$1)*parameters!$B$15</f>
        <v>5145.9799999999996</v>
      </c>
      <c r="P9" s="13" cm="1">
        <f t="array" aca="1" ref="P9" ca="1">-INDIRECT("'data'!$V$" &amp; $A$1)*parameters!$B$15</f>
        <v>-2143.2599999999998</v>
      </c>
      <c r="Q9" s="16" cm="1">
        <f t="array" aca="1" ref="Q9" ca="1">INDIRECT("'data'!$T$" &amp; $A$1)*parameters!$B$15</f>
        <v>11740.4</v>
      </c>
      <c r="R9" s="16">
        <f t="shared" ca="1" si="2"/>
        <v>11740.4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13627.673684210526</v>
      </c>
      <c r="L10" s="16">
        <f t="shared" ca="1" si="0"/>
        <v>13627.673684210526</v>
      </c>
      <c r="M10" s="16"/>
      <c r="N10" s="16">
        <f t="shared" ca="1" si="3"/>
        <v>0</v>
      </c>
      <c r="O10" s="11" cm="1">
        <f t="array" aca="1" ref="O10" ca="1">INDIRECT("'data'!$X$" &amp; $A$1)*parameters!$B$15</f>
        <v>7080.5</v>
      </c>
      <c r="P10" s="13" cm="1">
        <f t="array" aca="1" ref="P10" ca="1">-INDIRECT("'data'!$Y$" &amp; $A$1)*parameters!$B$15</f>
        <v>-9188.48</v>
      </c>
      <c r="Q10" s="16" cm="1">
        <f t="array" aca="1" ref="Q10" ca="1">INDIRECT("'data'!$W$" &amp; $A$1)*parameters!$B$15</f>
        <v>11519.693684210526</v>
      </c>
      <c r="R10" s="16">
        <f t="shared" ca="1" si="2"/>
        <v>11519.693684210524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13567.138568421055</v>
      </c>
      <c r="N11" s="19"/>
      <c r="O11" s="21" cm="1">
        <f t="array" aca="1" ref="O11" ca="1">INDIRECT("'data'!$Z$" &amp; $A$1)*parameters!$B$15</f>
        <v>12566.539999999999</v>
      </c>
      <c r="P11" s="27" cm="1">
        <f t="array" aca="1" ref="P11" ca="1">-INDIRECT("'data'!$AA$" &amp; $A$1)*parameters!$B$15</f>
        <v>-6200.46</v>
      </c>
      <c r="Q11" s="16">
        <f ca="1">K9*parameters!$B$10+K10*parameters!$B$11</f>
        <v>19933.218568421053</v>
      </c>
      <c r="R11" s="16">
        <f t="shared" ref="R11:R17" ca="1" si="4">SUM(L11:P11)</f>
        <v>19933.218568421056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-41.537300493106159</v>
      </c>
      <c r="D12" s="9">
        <f ca="1">-(D17-Q4)</f>
        <v>0</v>
      </c>
      <c r="E12" s="9">
        <f ca="1">-(E17-Q5)</f>
        <v>-1444.9348318654684</v>
      </c>
      <c r="F12" s="9">
        <f ca="1">-(F17-Q6)</f>
        <v>-440.34805970149318</v>
      </c>
      <c r="G12" s="9">
        <f ca="1">-(G17-Q7)</f>
        <v>-761.55830721003076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-2688.3784992700985</v>
      </c>
      <c r="M12" s="17"/>
      <c r="N12" s="17"/>
      <c r="O12" s="10"/>
      <c r="P12" s="12"/>
      <c r="Q12" s="9">
        <f t="shared" ref="Q12:Q17" ca="1" si="6">SUM(L12:P12)</f>
        <v>-2688.3784992700985</v>
      </c>
      <c r="R12" s="17">
        <f t="shared" ca="1" si="4"/>
        <v>-2688.3784992700985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-1411.3389503748676</v>
      </c>
      <c r="J13" s="14">
        <f ca="1">-(J17-Q10)</f>
        <v>-1384.8073654146083</v>
      </c>
      <c r="K13" s="13">
        <f ca="1">-(K17-Q11)</f>
        <v>-2432.1351157894715</v>
      </c>
      <c r="L13" s="14">
        <f t="shared" ca="1" si="5"/>
        <v>-5228.2814315789474</v>
      </c>
      <c r="M13" s="16">
        <f ca="1">-E15</f>
        <v>-7907.4897671980416</v>
      </c>
      <c r="N13" s="16"/>
      <c r="O13" s="11"/>
      <c r="P13" s="13"/>
      <c r="Q13" s="14">
        <f t="shared" ca="1" si="6"/>
        <v>-13135.771198776989</v>
      </c>
      <c r="R13" s="16">
        <f t="shared" ca="1" si="4"/>
        <v>-13135.771198776989</v>
      </c>
    </row>
    <row r="14" spans="1:20">
      <c r="A14" s="18" t="s">
        <v>78</v>
      </c>
      <c r="B14" s="11"/>
      <c r="C14" s="14"/>
      <c r="D14" s="14"/>
      <c r="E14" s="14">
        <f ca="1">-(I13+J13)-K13</f>
        <v>5228.2814315789474</v>
      </c>
      <c r="F14" s="14"/>
      <c r="G14" s="14"/>
      <c r="H14" s="14"/>
      <c r="I14" s="14"/>
      <c r="J14" s="14"/>
      <c r="K14" s="13"/>
      <c r="L14" s="14">
        <f t="shared" ca="1" si="5"/>
        <v>5228.2814315789474</v>
      </c>
      <c r="M14" s="16"/>
      <c r="N14" s="16"/>
      <c r="O14" s="11"/>
      <c r="P14" s="13"/>
      <c r="Q14" s="14">
        <f t="shared" ca="1" si="6"/>
        <v>5228.2814315789474</v>
      </c>
      <c r="R14" s="16">
        <f t="shared" ca="1" si="4"/>
        <v>5228.2814315789474</v>
      </c>
    </row>
    <row r="15" spans="1:20">
      <c r="A15" s="18" t="s">
        <v>79</v>
      </c>
      <c r="B15" s="11"/>
      <c r="C15" s="14"/>
      <c r="D15" s="14"/>
      <c r="E15" s="14">
        <f ca="1">E17-E14</f>
        <v>7907.4897671980416</v>
      </c>
      <c r="F15" s="14"/>
      <c r="G15" s="14"/>
      <c r="H15" s="14"/>
      <c r="I15" s="14"/>
      <c r="J15" s="14"/>
      <c r="K15" s="13"/>
      <c r="L15" s="14">
        <f t="shared" ca="1" si="5"/>
        <v>7907.4897671980416</v>
      </c>
      <c r="M15" s="16"/>
      <c r="N15" s="16"/>
      <c r="O15" s="11"/>
      <c r="P15" s="13"/>
      <c r="Q15" s="14">
        <f t="shared" ca="1" si="6"/>
        <v>7907.4897671980416</v>
      </c>
      <c r="R15" s="16">
        <f t="shared" ca="1" si="4"/>
        <v>7907.4897671980416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6593.2223004931056</v>
      </c>
      <c r="D17" s="9">
        <f ca="1">SUM(D$2:D$11)</f>
        <v>0</v>
      </c>
      <c r="E17" s="9">
        <f ca="1">$Q$5/parameters!$B$4</f>
        <v>13135.771198776989</v>
      </c>
      <c r="F17" s="9">
        <f t="shared" ref="F17:K17" ca="1" si="7">SUM(F$2:F$11)</f>
        <v>7102.3880597014931</v>
      </c>
      <c r="G17" s="9">
        <f t="shared" ca="1" si="7"/>
        <v>17710.658307210029</v>
      </c>
      <c r="H17" s="9">
        <f t="shared" ca="1" si="7"/>
        <v>23611.14</v>
      </c>
      <c r="I17" s="9">
        <f t="shared" ca="1" si="7"/>
        <v>13151.738950374867</v>
      </c>
      <c r="J17" s="9">
        <f t="shared" ca="1" si="7"/>
        <v>12904.501049625134</v>
      </c>
      <c r="K17" s="9">
        <f t="shared" ca="1" si="7"/>
        <v>22365.353684210524</v>
      </c>
      <c r="L17" s="17">
        <f t="shared" ca="1" si="5"/>
        <v>116574.77355039214</v>
      </c>
      <c r="M17" s="17"/>
      <c r="N17" s="17"/>
      <c r="O17" s="9"/>
      <c r="P17" s="14"/>
      <c r="Q17" s="11">
        <f t="shared" ca="1" si="6"/>
        <v>116574.77355039214</v>
      </c>
      <c r="R17" s="17">
        <f t="shared" ca="1" si="4"/>
        <v>116574.77355039214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0.89268803496630844</v>
      </c>
      <c r="J18" s="39">
        <f ca="1">I18</f>
        <v>0.89268803496630844</v>
      </c>
      <c r="K18" s="40">
        <f ca="1">1-(-K13)/K17</f>
        <v>0.89125434141886573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27668.139277447921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27668.139277447921</v>
      </c>
      <c r="M2" s="17"/>
      <c r="N2" s="17">
        <f ca="1">Q2-(L2+O2+P2)</f>
        <v>0</v>
      </c>
      <c r="O2" s="11" cm="1">
        <f t="array" aca="1" ref="O2" ca="1">INDIRECT("'data'!$F$" &amp; $A$1)</f>
        <v>24690.9</v>
      </c>
      <c r="P2" s="13">
        <f ca="1">IF(-(L2-Q2+O2)&lt;0, -(L2-Q2+O2), 0)</f>
        <v>-11859.039277447922</v>
      </c>
      <c r="Q2" s="17" cm="1">
        <f t="array" aca="1" ref="Q2" ca="1">INDIRECT("'data'!$D$" &amp; $A$1)</f>
        <v>40500</v>
      </c>
      <c r="R2" s="17">
        <f ca="1">SUM(L2:P2)</f>
        <v>40500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25116</v>
      </c>
      <c r="G3" s="14">
        <f ca="1">Q3-O3-P3-F3</f>
        <v>253.46999999999753</v>
      </c>
      <c r="H3" s="14"/>
      <c r="I3" s="14"/>
      <c r="J3" s="14"/>
      <c r="K3" s="13"/>
      <c r="L3" s="16">
        <f t="shared" ca="1" si="0"/>
        <v>25369.469999999998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2136.645</v>
      </c>
      <c r="P3" s="13" cm="1">
        <f t="array" aca="1" ref="P3" ca="1">-INDIRECT("'data'!$I$" &amp; $A$1)*parameters!$B$13</f>
        <v>-12.285</v>
      </c>
      <c r="Q3" s="16" cm="1">
        <f t="array" aca="1" ref="Q3" ca="1">INDIRECT("'data'!$G$" &amp; $A$1)*parameters!$B$13</f>
        <v>27493.829999999998</v>
      </c>
      <c r="R3" s="16">
        <f t="shared" ref="R3:R10" ca="1" si="2">SUM(L3:P3)</f>
        <v>27493.829999999998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56.120000000000005</v>
      </c>
      <c r="H4" s="14"/>
      <c r="I4" s="14"/>
      <c r="J4" s="14"/>
      <c r="K4" s="13"/>
      <c r="L4" s="16">
        <f t="shared" ca="1" si="0"/>
        <v>56.120000000000005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-56.120000000000005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Q6/parameters!$B$5*22%</f>
        <v>7084</v>
      </c>
      <c r="G5" s="14">
        <f ca="1">Q7/parameters!$B$7-(G3+G4)</f>
        <v>1688.2992371995847</v>
      </c>
      <c r="H5" s="14"/>
      <c r="I5" s="14"/>
      <c r="J5" s="14"/>
      <c r="K5" s="13"/>
      <c r="L5" s="16">
        <f t="shared" ca="1" si="0"/>
        <v>8772.2992371995842</v>
      </c>
      <c r="M5" s="16"/>
      <c r="N5" s="16"/>
      <c r="O5" s="11" cm="1">
        <f t="array" aca="1" ref="O5" ca="1">INDIRECT("'data'!$M$" &amp; $A$1)*parameters!$B$15</f>
        <v>249.9</v>
      </c>
      <c r="P5" s="13" cm="1">
        <f t="array" aca="1" ref="P5" ca="1">-INDIRECT("'data'!$N$" &amp; $A$1)*parameters!$B$15</f>
        <v>-234.22</v>
      </c>
      <c r="Q5" s="16">
        <f ca="1">SUM(L5:P5)</f>
        <v>8787.9792371995845</v>
      </c>
      <c r="R5" s="16">
        <f t="shared" ca="1" si="2"/>
        <v>8787.9792371995845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30203.599999999999</v>
      </c>
      <c r="I6" s="14"/>
      <c r="J6" s="14"/>
      <c r="K6" s="13"/>
      <c r="L6" s="16">
        <f t="shared" ca="1" si="0"/>
        <v>30203.599999999999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30203.599999999999</v>
      </c>
      <c r="R6" s="16">
        <f t="shared" ca="1" si="2"/>
        <v>30203.599999999999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1911.98</v>
      </c>
      <c r="I7" s="14"/>
      <c r="J7" s="14"/>
      <c r="K7" s="13"/>
      <c r="L7" s="16">
        <f t="shared" ca="1" si="0"/>
        <v>1911.98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1911.98</v>
      </c>
      <c r="R7" s="16">
        <f t="shared" ca="1" si="2"/>
        <v>1911.98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10726.296409574008</v>
      </c>
      <c r="J8" s="14">
        <f ca="1">Q10/J18</f>
        <v>10738.643590425989</v>
      </c>
      <c r="K8" s="13"/>
      <c r="L8" s="16">
        <f t="shared" ca="1" si="0"/>
        <v>21464.939999999995</v>
      </c>
      <c r="M8" s="16"/>
      <c r="N8" s="16">
        <f t="shared" ca="1" si="3"/>
        <v>0</v>
      </c>
      <c r="O8" s="11" cm="1">
        <f t="array" aca="1" ref="O8" ca="1">INDIRECT("'data'!$R$" &amp; $A$1)*parameters!$B$15</f>
        <v>10732.96</v>
      </c>
      <c r="P8" s="13" cm="1">
        <f t="array" aca="1" ref="P8" ca="1">-INDIRECT("'data'!$S$" &amp; $A$1)*parameters!$B$15</f>
        <v>-82.32</v>
      </c>
      <c r="Q8" s="16">
        <f ca="1">SUM(Q6:Q7)</f>
        <v>32115.579999999998</v>
      </c>
      <c r="R8" s="16">
        <f t="shared" ca="1" si="2"/>
        <v>32115.579999999994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3139.920000000001</v>
      </c>
      <c r="L9" s="16">
        <f t="shared" ca="1" si="0"/>
        <v>3139.920000000001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5715.36</v>
      </c>
      <c r="P9" s="13" cm="1">
        <f t="array" aca="1" ref="P9" ca="1">-INDIRECT("'data'!$V$" &amp; $A$1)*parameters!$B$15</f>
        <v>-363.58</v>
      </c>
      <c r="Q9" s="16" cm="1">
        <f t="array" aca="1" ref="Q9" ca="1">INDIRECT("'data'!$T$" &amp; $A$1)*parameters!$B$15</f>
        <v>8491.7000000000007</v>
      </c>
      <c r="R9" s="16">
        <f t="shared" ca="1" si="2"/>
        <v>8491.7000000000007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3069.3349075391188</v>
      </c>
      <c r="L10" s="16">
        <f t="shared" ca="1" si="0"/>
        <v>3069.3349075391188</v>
      </c>
      <c r="M10" s="16"/>
      <c r="N10" s="16">
        <f t="shared" ca="1" si="3"/>
        <v>0</v>
      </c>
      <c r="O10" s="11" cm="1">
        <f t="array" aca="1" ref="O10" ca="1">INDIRECT("'data'!$X$" &amp; $A$1)*parameters!$B$15</f>
        <v>6616.96</v>
      </c>
      <c r="P10" s="13" cm="1">
        <f t="array" aca="1" ref="P10" ca="1">-INDIRECT("'data'!$Y$" &amp; $A$1)*parameters!$B$15</f>
        <v>-1184.82</v>
      </c>
      <c r="Q10" s="16" cm="1">
        <f t="array" aca="1" ref="Q10" ca="1">INDIRECT("'data'!$W$" &amp; $A$1)*parameters!$B$15</f>
        <v>8501.4749075391192</v>
      </c>
      <c r="R10" s="16">
        <f t="shared" ca="1" si="2"/>
        <v>8501.4749075391192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5732.272820483643</v>
      </c>
      <c r="N11" s="19"/>
      <c r="O11" s="21" cm="1">
        <f t="array" aca="1" ref="O11" ca="1">INDIRECT("'data'!$Z$" &amp; $A$1)*parameters!$B$15</f>
        <v>1696.3799999999999</v>
      </c>
      <c r="P11" s="27" cm="1">
        <f t="array" aca="1" ref="P11" ca="1">-INDIRECT("'data'!$AA$" &amp; $A$1)*parameters!$B$15</f>
        <v>-1837.5</v>
      </c>
      <c r="Q11" s="16">
        <f ca="1">K9*parameters!$B$10+K10*parameters!$B$11</f>
        <v>5591.1528204836432</v>
      </c>
      <c r="R11" s="16">
        <f t="shared" ref="R11:R17" ca="1" si="4">SUM(L11:P11)</f>
        <v>5591.1528204836432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-174.3092774479228</v>
      </c>
      <c r="D12" s="9">
        <f ca="1">-(D17-Q4)</f>
        <v>0</v>
      </c>
      <c r="E12" s="9">
        <f ca="1">-(E17-Q5)</f>
        <v>-1086.1547371819706</v>
      </c>
      <c r="F12" s="9">
        <f ca="1">-(F17-Q6)</f>
        <v>-1996.4000000000015</v>
      </c>
      <c r="G12" s="9">
        <f ca="1">-(G17-Q7)</f>
        <v>-85.909237199582094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-3342.773251829477</v>
      </c>
      <c r="M12" s="17"/>
      <c r="N12" s="17"/>
      <c r="O12" s="10"/>
      <c r="P12" s="12"/>
      <c r="Q12" s="9">
        <f t="shared" ref="Q12:Q17" ca="1" si="6">SUM(L12:P12)</f>
        <v>-3342.773251829477</v>
      </c>
      <c r="R12" s="17">
        <f t="shared" ca="1" si="4"/>
        <v>-3342.773251829477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-2234.5964095740073</v>
      </c>
      <c r="J13" s="14">
        <f ca="1">-(J17-Q10)</f>
        <v>-2237.1686828868696</v>
      </c>
      <c r="K13" s="13">
        <f ca="1">-(K17-Q11)</f>
        <v>-618.10208705547666</v>
      </c>
      <c r="L13" s="14">
        <f t="shared" ca="1" si="5"/>
        <v>-5089.8671795163536</v>
      </c>
      <c r="M13" s="16">
        <f ca="1">-E15</f>
        <v>-4784.2667948652015</v>
      </c>
      <c r="N13" s="16"/>
      <c r="O13" s="11"/>
      <c r="P13" s="13"/>
      <c r="Q13" s="14">
        <f t="shared" ca="1" si="6"/>
        <v>-9874.1339743815552</v>
      </c>
      <c r="R13" s="16">
        <f t="shared" ca="1" si="4"/>
        <v>-9874.1339743815552</v>
      </c>
    </row>
    <row r="14" spans="1:20">
      <c r="A14" s="18" t="s">
        <v>78</v>
      </c>
      <c r="B14" s="11"/>
      <c r="C14" s="14"/>
      <c r="D14" s="14"/>
      <c r="E14" s="14">
        <f ca="1">-(I13+J13)-K13</f>
        <v>5089.8671795163536</v>
      </c>
      <c r="F14" s="14"/>
      <c r="G14" s="14"/>
      <c r="H14" s="14"/>
      <c r="I14" s="14"/>
      <c r="J14" s="14"/>
      <c r="K14" s="13"/>
      <c r="L14" s="14">
        <f t="shared" ca="1" si="5"/>
        <v>5089.8671795163536</v>
      </c>
      <c r="M14" s="16"/>
      <c r="N14" s="16"/>
      <c r="O14" s="11"/>
      <c r="P14" s="13"/>
      <c r="Q14" s="14">
        <f t="shared" ca="1" si="6"/>
        <v>5089.8671795163536</v>
      </c>
      <c r="R14" s="16">
        <f t="shared" ca="1" si="4"/>
        <v>5089.8671795163536</v>
      </c>
    </row>
    <row r="15" spans="1:20">
      <c r="A15" s="18" t="s">
        <v>79</v>
      </c>
      <c r="B15" s="11"/>
      <c r="C15" s="14"/>
      <c r="D15" s="14"/>
      <c r="E15" s="14">
        <f ca="1">E17-E14</f>
        <v>4784.2667948652015</v>
      </c>
      <c r="F15" s="14"/>
      <c r="G15" s="14"/>
      <c r="H15" s="14"/>
      <c r="I15" s="14"/>
      <c r="J15" s="14"/>
      <c r="K15" s="13"/>
      <c r="L15" s="14">
        <f t="shared" ca="1" si="5"/>
        <v>4784.2667948652015</v>
      </c>
      <c r="M15" s="16"/>
      <c r="N15" s="16"/>
      <c r="O15" s="11"/>
      <c r="P15" s="13"/>
      <c r="Q15" s="14">
        <f t="shared" ca="1" si="6"/>
        <v>4784.2667948652015</v>
      </c>
      <c r="R15" s="16">
        <f t="shared" ca="1" si="4"/>
        <v>4784.2667948652015</v>
      </c>
    </row>
    <row r="16" spans="1:20">
      <c r="A16" s="30" t="s">
        <v>89</v>
      </c>
      <c r="B16" s="21">
        <f ca="1">Q2</f>
        <v>40500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40500</v>
      </c>
      <c r="M16" s="19"/>
      <c r="N16" s="19"/>
      <c r="O16" s="21"/>
      <c r="P16" s="27"/>
      <c r="Q16" s="22">
        <f t="shared" ca="1" si="6"/>
        <v>40500</v>
      </c>
      <c r="R16" s="19">
        <f t="shared" ca="1" si="4"/>
        <v>40500</v>
      </c>
    </row>
    <row r="17" spans="1:18">
      <c r="A17" s="29" t="s">
        <v>88</v>
      </c>
      <c r="B17" s="9">
        <f ca="1">B16</f>
        <v>40500</v>
      </c>
      <c r="C17" s="9">
        <f ca="1">SUM(C$2:C$11)</f>
        <v>27668.139277447921</v>
      </c>
      <c r="D17" s="9">
        <f ca="1">SUM(D$2:D$11)</f>
        <v>0</v>
      </c>
      <c r="E17" s="9">
        <f ca="1">$Q$5/parameters!$B$4</f>
        <v>9874.1339743815552</v>
      </c>
      <c r="F17" s="9">
        <f t="shared" ref="F17:K17" ca="1" si="7">SUM(F$2:F$11)</f>
        <v>32200</v>
      </c>
      <c r="G17" s="9">
        <f t="shared" ca="1" si="7"/>
        <v>1997.8892371995821</v>
      </c>
      <c r="H17" s="9">
        <f t="shared" ca="1" si="7"/>
        <v>32115.579999999998</v>
      </c>
      <c r="I17" s="9">
        <f t="shared" ca="1" si="7"/>
        <v>10726.296409574008</v>
      </c>
      <c r="J17" s="9">
        <f t="shared" ca="1" si="7"/>
        <v>10738.643590425989</v>
      </c>
      <c r="K17" s="9">
        <f t="shared" ca="1" si="7"/>
        <v>6209.2549075391198</v>
      </c>
      <c r="L17" s="17">
        <f t="shared" ca="1" si="5"/>
        <v>172029.93739656816</v>
      </c>
      <c r="M17" s="17"/>
      <c r="N17" s="17"/>
      <c r="O17" s="9"/>
      <c r="P17" s="14"/>
      <c r="Q17" s="11">
        <f t="shared" ca="1" si="6"/>
        <v>172029.93739656816</v>
      </c>
      <c r="R17" s="17">
        <f t="shared" ca="1" si="4"/>
        <v>172029.93739656816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0.79167120464996044</v>
      </c>
      <c r="J18" s="39">
        <f ca="1">I18</f>
        <v>0.79167120464996044</v>
      </c>
      <c r="K18" s="40">
        <f ca="1">1-(-K13)/K17</f>
        <v>0.90045470893697843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4670.3180034215547</v>
      </c>
      <c r="D2" s="9">
        <f ca="1">Q4/parameters!$B$3</f>
        <v>5647.5797524403742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10317.89775586193</v>
      </c>
      <c r="M2" s="17"/>
      <c r="N2" s="17">
        <f ca="1">Q2-(L2+O2+P2)</f>
        <v>0</v>
      </c>
      <c r="O2" s="11" cm="1">
        <f t="array" aca="1" ref="O2" ca="1">INDIRECT("'data'!$F$" &amp; $A$1)</f>
        <v>6568.25</v>
      </c>
      <c r="P2" s="13">
        <f ca="1">IF(-(L2-Q2+O2)&lt;0, -(L2-Q2+O2), 0)</f>
        <v>-5086.1477558619299</v>
      </c>
      <c r="Q2" s="17" cm="1">
        <f t="array" aca="1" ref="Q2" ca="1">INDIRECT("'data'!$D$" &amp; $A$1)</f>
        <v>11800</v>
      </c>
      <c r="R2" s="17">
        <f ca="1">SUM(L2:P2)</f>
        <v>11800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4482.5074626865671</v>
      </c>
      <c r="G3" s="14">
        <f ca="1">Q3-O3-P3-F3</f>
        <v>426.76753731343251</v>
      </c>
      <c r="H3" s="14"/>
      <c r="I3" s="14"/>
      <c r="J3" s="14"/>
      <c r="K3" s="13"/>
      <c r="L3" s="16">
        <f t="shared" ca="1" si="0"/>
        <v>4909.2749999999996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-268.38</v>
      </c>
      <c r="Q3" s="16" cm="1">
        <f t="array" aca="1" ref="Q3" ca="1">INDIRECT("'data'!$G$" &amp; $A$1)*parameters!$B$13</f>
        <v>4640.8949999999995</v>
      </c>
      <c r="R3" s="16">
        <f t="shared" ref="R3:R10" ca="1" si="2">SUM(L3:P3)</f>
        <v>4640.8949999999995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5712.28</v>
      </c>
      <c r="H4" s="14"/>
      <c r="I4" s="14"/>
      <c r="J4" s="14"/>
      <c r="K4" s="13"/>
      <c r="L4" s="16">
        <f t="shared" ca="1" si="0"/>
        <v>5712.28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-100.28</v>
      </c>
      <c r="Q4" s="16" cm="1">
        <f t="array" aca="1" ref="Q4" ca="1">INDIRECT("'data'!$J$" &amp; $A$1)*parameters!$B$14</f>
        <v>5612</v>
      </c>
      <c r="R4" s="16">
        <f t="shared" ca="1" si="2"/>
        <v>5612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1120.6268656716418</v>
      </c>
      <c r="G5" s="14">
        <f ca="1">Q7/parameters!$B$7-(G3+G4)</f>
        <v>7050.5031418924191</v>
      </c>
      <c r="H5" s="14"/>
      <c r="I5" s="14"/>
      <c r="J5" s="14"/>
      <c r="K5" s="13"/>
      <c r="L5" s="16">
        <f t="shared" ca="1" si="0"/>
        <v>8171.1300075640611</v>
      </c>
      <c r="M5" s="16"/>
      <c r="N5" s="16"/>
      <c r="O5" s="11" cm="1">
        <f t="array" aca="1" ref="O5" ca="1">INDIRECT("'data'!$M$" &amp; $A$1)*parameters!$B$15</f>
        <v>763.42</v>
      </c>
      <c r="P5" s="13" cm="1">
        <f t="array" aca="1" ref="P5" ca="1">-INDIRECT("'data'!$N$" &amp; $A$1)*parameters!$B$15</f>
        <v>-846.72</v>
      </c>
      <c r="Q5" s="16">
        <f ca="1">SUM(L5:P5)</f>
        <v>8087.8300075640609</v>
      </c>
      <c r="R5" s="16">
        <f t="shared" ca="1" si="2"/>
        <v>8087.8300075640609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5255.74</v>
      </c>
      <c r="I6" s="14"/>
      <c r="J6" s="14"/>
      <c r="K6" s="13"/>
      <c r="L6" s="16">
        <f t="shared" ca="1" si="0"/>
        <v>5255.74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5255.74</v>
      </c>
      <c r="R6" s="16">
        <f t="shared" ca="1" si="2"/>
        <v>5255.74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12622.4</v>
      </c>
      <c r="I7" s="14"/>
      <c r="J7" s="14"/>
      <c r="K7" s="13"/>
      <c r="L7" s="16">
        <f t="shared" ca="1" si="0"/>
        <v>12622.4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12622.4</v>
      </c>
      <c r="R7" s="16">
        <f t="shared" ca="1" si="2"/>
        <v>12622.4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9136.352629580173</v>
      </c>
      <c r="J8" s="14">
        <f ca="1">Q10/J18</f>
        <v>7754.9273704198258</v>
      </c>
      <c r="K8" s="13"/>
      <c r="L8" s="16">
        <f t="shared" ca="1" si="0"/>
        <v>16891.28</v>
      </c>
      <c r="M8" s="16"/>
      <c r="N8" s="16">
        <f t="shared" ca="1" si="3"/>
        <v>0</v>
      </c>
      <c r="O8" s="11" cm="1">
        <f t="array" aca="1" ref="O8" ca="1">INDIRECT("'data'!$R$" &amp; $A$1)*parameters!$B$15</f>
        <v>1313.2</v>
      </c>
      <c r="P8" s="13" cm="1">
        <f t="array" aca="1" ref="P8" ca="1">-INDIRECT("'data'!$S$" &amp; $A$1)*parameters!$B$15</f>
        <v>-326.33999999999997</v>
      </c>
      <c r="Q8" s="16">
        <f ca="1">SUM(Q6:Q7)</f>
        <v>17878.14</v>
      </c>
      <c r="R8" s="16">
        <f t="shared" ca="1" si="2"/>
        <v>17878.14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8273.16</v>
      </c>
      <c r="L9" s="16">
        <f t="shared" ca="1" si="0"/>
        <v>8273.16</v>
      </c>
      <c r="M9" s="16"/>
      <c r="N9" s="16">
        <f t="shared" ca="1" si="3"/>
        <v>0</v>
      </c>
      <c r="O9" s="11" cm="1">
        <f t="array" aca="1" ref="O9" ca="1">INDIRECT("'data'!$U$" &amp; $A$1)*parameters!$B$15</f>
        <v>1775.76</v>
      </c>
      <c r="P9" s="13" cm="1">
        <f t="array" aca="1" ref="P9" ca="1">-INDIRECT("'data'!$V$" &amp; $A$1)*parameters!$B$15</f>
        <v>-1493.52</v>
      </c>
      <c r="Q9" s="16" cm="1">
        <f t="array" aca="1" ref="Q9" ca="1">INDIRECT("'data'!$T$" &amp; $A$1)*parameters!$B$15</f>
        <v>8555.4</v>
      </c>
      <c r="R9" s="16">
        <f t="shared" ca="1" si="2"/>
        <v>8555.4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11308.23533428165</v>
      </c>
      <c r="L10" s="16">
        <f t="shared" ca="1" si="0"/>
        <v>11308.23533428165</v>
      </c>
      <c r="M10" s="16"/>
      <c r="N10" s="16">
        <f t="shared" ca="1" si="3"/>
        <v>0</v>
      </c>
      <c r="O10" s="11" cm="1">
        <f t="array" aca="1" ref="O10" ca="1">INDIRECT("'data'!$X$" &amp; $A$1)*parameters!$B$15</f>
        <v>1281.8399999999999</v>
      </c>
      <c r="P10" s="13" cm="1">
        <f t="array" aca="1" ref="P10" ca="1">-INDIRECT("'data'!$Y$" &amp; $A$1)*parameters!$B$15</f>
        <v>-5328.26</v>
      </c>
      <c r="Q10" s="16" cm="1">
        <f t="array" aca="1" ref="Q10" ca="1">INDIRECT("'data'!$W$" &amp; $A$1)*parameters!$B$15</f>
        <v>7261.8153342816495</v>
      </c>
      <c r="R10" s="16">
        <f t="shared" ca="1" si="2"/>
        <v>7261.8153342816495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14601.052787482218</v>
      </c>
      <c r="N11" s="19"/>
      <c r="O11" s="21" cm="1">
        <f t="array" aca="1" ref="O11" ca="1">INDIRECT("'data'!$Z$" &amp; $A$1)*parameters!$B$15</f>
        <v>11944.24</v>
      </c>
      <c r="P11" s="27" cm="1">
        <f t="array" aca="1" ref="P11" ca="1">-INDIRECT("'data'!$AA$" &amp; $A$1)*parameters!$B$15</f>
        <v>-9043.44</v>
      </c>
      <c r="Q11" s="16">
        <f ca="1">K9*parameters!$B$10+K10*parameters!$B$11</f>
        <v>17501.852787482218</v>
      </c>
      <c r="R11" s="16">
        <f t="shared" ref="R11:R17" ca="1" si="4">SUM(L11:P11)</f>
        <v>17501.852787482218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-29.423003421555222</v>
      </c>
      <c r="D12" s="9">
        <f ca="1">-(D17-Q4)</f>
        <v>-35.57975244037425</v>
      </c>
      <c r="E12" s="9">
        <f ca="1">-(E17-Q5)</f>
        <v>-999.61943913713094</v>
      </c>
      <c r="F12" s="9">
        <f ca="1">-(F17-Q6)</f>
        <v>-347.39432835820935</v>
      </c>
      <c r="G12" s="9">
        <f ca="1">-(G17-Q7)</f>
        <v>-567.1506792058517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-1979.1672025631215</v>
      </c>
      <c r="M12" s="17"/>
      <c r="N12" s="17"/>
      <c r="O12" s="10"/>
      <c r="P12" s="12"/>
      <c r="Q12" s="9">
        <f t="shared" ref="Q12:Q17" ca="1" si="6">SUM(L12:P12)</f>
        <v>-1979.1672025631215</v>
      </c>
      <c r="R12" s="17">
        <f t="shared" ca="1" si="4"/>
        <v>-1979.1672025631215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-580.95262958017338</v>
      </c>
      <c r="J13" s="14">
        <f ca="1">-(J17-Q10)</f>
        <v>-493.11203613817634</v>
      </c>
      <c r="K13" s="13">
        <f ca="1">-(K17-Q11)</f>
        <v>-2079.5425467994319</v>
      </c>
      <c r="L13" s="14">
        <f t="shared" ca="1" si="5"/>
        <v>-3153.6072125177816</v>
      </c>
      <c r="M13" s="16">
        <f ca="1">-E15</f>
        <v>-5933.8422341834103</v>
      </c>
      <c r="N13" s="16"/>
      <c r="O13" s="11"/>
      <c r="P13" s="13"/>
      <c r="Q13" s="14">
        <f t="shared" ca="1" si="6"/>
        <v>-9087.4494467011918</v>
      </c>
      <c r="R13" s="16">
        <f t="shared" ca="1" si="4"/>
        <v>-9087.4494467011918</v>
      </c>
    </row>
    <row r="14" spans="1:20">
      <c r="A14" s="18" t="s">
        <v>78</v>
      </c>
      <c r="B14" s="11"/>
      <c r="C14" s="14"/>
      <c r="D14" s="14"/>
      <c r="E14" s="14">
        <f ca="1">-(I13+J13)-K13</f>
        <v>3153.6072125177816</v>
      </c>
      <c r="F14" s="14"/>
      <c r="G14" s="14"/>
      <c r="H14" s="14"/>
      <c r="I14" s="14"/>
      <c r="J14" s="14"/>
      <c r="K14" s="13"/>
      <c r="L14" s="14">
        <f t="shared" ca="1" si="5"/>
        <v>3153.6072125177816</v>
      </c>
      <c r="M14" s="16"/>
      <c r="N14" s="16"/>
      <c r="O14" s="11"/>
      <c r="P14" s="13"/>
      <c r="Q14" s="14">
        <f t="shared" ca="1" si="6"/>
        <v>3153.6072125177816</v>
      </c>
      <c r="R14" s="16">
        <f t="shared" ca="1" si="4"/>
        <v>3153.6072125177816</v>
      </c>
    </row>
    <row r="15" spans="1:20">
      <c r="A15" s="18" t="s">
        <v>79</v>
      </c>
      <c r="B15" s="11"/>
      <c r="C15" s="14"/>
      <c r="D15" s="14"/>
      <c r="E15" s="14">
        <f ca="1">E17-E14</f>
        <v>5933.8422341834103</v>
      </c>
      <c r="F15" s="14"/>
      <c r="G15" s="14"/>
      <c r="H15" s="14"/>
      <c r="I15" s="14"/>
      <c r="J15" s="14"/>
      <c r="K15" s="13"/>
      <c r="L15" s="14">
        <f t="shared" ca="1" si="5"/>
        <v>5933.8422341834103</v>
      </c>
      <c r="M15" s="16"/>
      <c r="N15" s="16"/>
      <c r="O15" s="11"/>
      <c r="P15" s="13"/>
      <c r="Q15" s="14">
        <f t="shared" ca="1" si="6"/>
        <v>5933.8422341834103</v>
      </c>
      <c r="R15" s="16">
        <f t="shared" ca="1" si="4"/>
        <v>5933.8422341834103</v>
      </c>
    </row>
    <row r="16" spans="1:20">
      <c r="A16" s="30" t="s">
        <v>89</v>
      </c>
      <c r="B16" s="21">
        <f ca="1">Q2</f>
        <v>11800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11800</v>
      </c>
      <c r="M16" s="19"/>
      <c r="N16" s="19"/>
      <c r="O16" s="21"/>
      <c r="P16" s="27"/>
      <c r="Q16" s="22">
        <f t="shared" ca="1" si="6"/>
        <v>11800</v>
      </c>
      <c r="R16" s="19">
        <f t="shared" ca="1" si="4"/>
        <v>11800</v>
      </c>
    </row>
    <row r="17" spans="1:18">
      <c r="A17" s="29" t="s">
        <v>88</v>
      </c>
      <c r="B17" s="9">
        <f ca="1">B16</f>
        <v>11800</v>
      </c>
      <c r="C17" s="9">
        <f ca="1">SUM(C$2:C$11)</f>
        <v>4670.3180034215547</v>
      </c>
      <c r="D17" s="9">
        <f ca="1">SUM(D$2:D$11)</f>
        <v>5647.5797524403742</v>
      </c>
      <c r="E17" s="9">
        <f ca="1">$Q$5/parameters!$B$4</f>
        <v>9087.4494467011918</v>
      </c>
      <c r="F17" s="9">
        <f t="shared" ref="F17:K17" ca="1" si="7">SUM(F$2:F$11)</f>
        <v>5603.1343283582091</v>
      </c>
      <c r="G17" s="9">
        <f t="shared" ca="1" si="7"/>
        <v>13189.550679205851</v>
      </c>
      <c r="H17" s="9">
        <f t="shared" ca="1" si="7"/>
        <v>17878.14</v>
      </c>
      <c r="I17" s="9">
        <f t="shared" ca="1" si="7"/>
        <v>9136.352629580173</v>
      </c>
      <c r="J17" s="9">
        <f t="shared" ca="1" si="7"/>
        <v>7754.9273704198258</v>
      </c>
      <c r="K17" s="9">
        <f t="shared" ca="1" si="7"/>
        <v>19581.395334281649</v>
      </c>
      <c r="L17" s="17">
        <f t="shared" ca="1" si="5"/>
        <v>104348.84754440883</v>
      </c>
      <c r="M17" s="17"/>
      <c r="N17" s="17"/>
      <c r="O17" s="9"/>
      <c r="P17" s="14"/>
      <c r="Q17" s="11">
        <f t="shared" ca="1" si="6"/>
        <v>104348.84754440883</v>
      </c>
      <c r="R17" s="17">
        <f t="shared" ca="1" si="4"/>
        <v>104348.84754440883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0.93641306841646399</v>
      </c>
      <c r="J18" s="39">
        <f ca="1">I18</f>
        <v>0.93641306841646399</v>
      </c>
      <c r="K18" s="40">
        <f ca="1">1-(-K13)/K17</f>
        <v>0.89380008363557606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618.14430914763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618.14430914763</v>
      </c>
      <c r="M2" s="17"/>
      <c r="N2" s="17">
        <f ca="1">Q2-(L2+O2+P2)</f>
        <v>0</v>
      </c>
      <c r="O2" s="11" cm="1">
        <f t="array" aca="1" ref="O2" ca="1">INDIRECT("'data'!$F$" &amp; $A$1)</f>
        <v>2926.3</v>
      </c>
      <c r="P2" s="13">
        <f ca="1">IF(-(L2-Q2+O2)&lt;0, -(L2-Q2+O2), 0)</f>
        <v>-1044.4443091476301</v>
      </c>
      <c r="Q2" s="17" cm="1">
        <f t="array" aca="1" ref="Q2" ca="1">INDIRECT("'data'!$D$" &amp; $A$1)</f>
        <v>2500</v>
      </c>
      <c r="R2" s="17">
        <f ca="1">SUM(L2:P2)</f>
        <v>2500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417.91044776119406</v>
      </c>
      <c r="G3" s="14">
        <f ca="1">Q3-O3-P3-F3</f>
        <v>240.7545522388059</v>
      </c>
      <c r="H3" s="14"/>
      <c r="I3" s="14"/>
      <c r="J3" s="14"/>
      <c r="K3" s="13"/>
      <c r="L3" s="16">
        <f t="shared" ca="1" si="0"/>
        <v>658.66499999999996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-44.414999999999999</v>
      </c>
      <c r="Q3" s="16" cm="1">
        <f t="array" aca="1" ref="Q3" ca="1">INDIRECT("'data'!$G$" &amp; $A$1)*parameters!$B$13</f>
        <v>614.25</v>
      </c>
      <c r="R3" s="16">
        <f t="shared" ref="R3:R10" ca="1" si="2">SUM(L3:P3)</f>
        <v>614.25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104.47761194029852</v>
      </c>
      <c r="G5" s="14">
        <f ca="1">Q7/parameters!$B$7-(G3+G4)</f>
        <v>4852.78776751041</v>
      </c>
      <c r="H5" s="14"/>
      <c r="I5" s="14"/>
      <c r="J5" s="14"/>
      <c r="K5" s="13"/>
      <c r="L5" s="16">
        <f t="shared" ca="1" si="0"/>
        <v>4957.2653794507087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-2088.38</v>
      </c>
      <c r="Q5" s="16">
        <f ca="1">SUM(L5:P5)</f>
        <v>2868.8853794507086</v>
      </c>
      <c r="R5" s="16">
        <f t="shared" ca="1" si="2"/>
        <v>2868.8853794507086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490</v>
      </c>
      <c r="I6" s="14"/>
      <c r="J6" s="14"/>
      <c r="K6" s="13"/>
      <c r="L6" s="16">
        <f t="shared" ca="1" si="0"/>
        <v>490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490</v>
      </c>
      <c r="R6" s="16">
        <f t="shared" ca="1" si="2"/>
        <v>490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4874.5199999999995</v>
      </c>
      <c r="I7" s="14"/>
      <c r="J7" s="14"/>
      <c r="K7" s="13"/>
      <c r="L7" s="16">
        <f t="shared" ca="1" si="0"/>
        <v>4874.5199999999995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4874.5199999999995</v>
      </c>
      <c r="R7" s="16">
        <f t="shared" ca="1" si="2"/>
        <v>4874.5199999999995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5635.98</v>
      </c>
      <c r="J8" s="14">
        <f ca="1">Q10/J18</f>
        <v>0</v>
      </c>
      <c r="K8" s="13"/>
      <c r="L8" s="16">
        <f t="shared" ca="1" si="0"/>
        <v>5635.98</v>
      </c>
      <c r="M8" s="16"/>
      <c r="N8" s="16">
        <f t="shared" ca="1" si="3"/>
        <v>0</v>
      </c>
      <c r="O8" s="11" cm="1">
        <f t="array" aca="1" ref="O8" ca="1">INDIRECT("'data'!$R$" &amp; $A$1)*parameters!$B$15</f>
        <v>79.38</v>
      </c>
      <c r="P8" s="13" cm="1">
        <f t="array" aca="1" ref="P8" ca="1">-INDIRECT("'data'!$S$" &amp; $A$1)*parameters!$B$15</f>
        <v>-350.84</v>
      </c>
      <c r="Q8" s="16">
        <f ca="1">SUM(Q6:Q7)</f>
        <v>5364.5199999999995</v>
      </c>
      <c r="R8" s="16">
        <f t="shared" ca="1" si="2"/>
        <v>5364.5199999999995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6665.96</v>
      </c>
      <c r="L9" s="16">
        <f t="shared" ca="1" si="0"/>
        <v>6665.96</v>
      </c>
      <c r="M9" s="16"/>
      <c r="N9" s="16">
        <f t="shared" ca="1" si="3"/>
        <v>0</v>
      </c>
      <c r="O9" s="11" cm="1">
        <f t="array" aca="1" ref="O9" ca="1">INDIRECT("'data'!$U$" &amp; $A$1)*parameters!$B$15</f>
        <v>52.92</v>
      </c>
      <c r="P9" s="13" cm="1">
        <f t="array" aca="1" ref="P9" ca="1">-INDIRECT("'data'!$V$" &amp; $A$1)*parameters!$B$15</f>
        <v>-1698.34</v>
      </c>
      <c r="Q9" s="16" cm="1">
        <f t="array" aca="1" ref="Q9" ca="1">INDIRECT("'data'!$T$" &amp; $A$1)*parameters!$B$15</f>
        <v>5020.54</v>
      </c>
      <c r="R9" s="16">
        <f t="shared" ca="1" si="2"/>
        <v>5020.54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6478.78</v>
      </c>
      <c r="L10" s="16">
        <f t="shared" ca="1" si="0"/>
        <v>6478.78</v>
      </c>
      <c r="M10" s="16"/>
      <c r="N10" s="16">
        <f t="shared" ca="1" si="3"/>
        <v>0</v>
      </c>
      <c r="O10" s="11" cm="1">
        <f t="array" aca="1" ref="O10" ca="1">INDIRECT("'data'!$X$" &amp; $A$1)*parameters!$B$15</f>
        <v>896.69999999999993</v>
      </c>
      <c r="P10" s="13" cm="1">
        <f t="array" aca="1" ref="P10" ca="1">-INDIRECT("'data'!$Y$" &amp; $A$1)*parameters!$B$15</f>
        <v>-7375.48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12377.733199999999</v>
      </c>
      <c r="N11" s="19"/>
      <c r="O11" s="21" cm="1">
        <f t="array" aca="1" ref="O11" ca="1">INDIRECT("'data'!$Z$" &amp; $A$1)*parameters!$B$15</f>
        <v>788.9</v>
      </c>
      <c r="P11" s="27" cm="1">
        <f t="array" aca="1" ref="P11" ca="1">-INDIRECT("'data'!$AA$" &amp; $A$1)*parameters!$B$15</f>
        <v>-1328.8799999999999</v>
      </c>
      <c r="Q11" s="16">
        <f ca="1">K9*parameters!$B$10+K10*parameters!$B$11</f>
        <v>11837.753199999999</v>
      </c>
      <c r="R11" s="16">
        <f t="shared" ref="R11:R17" ca="1" si="4">SUM(L11:P11)</f>
        <v>11837.753199999999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-3.8943091476299969</v>
      </c>
      <c r="D12" s="9">
        <f ca="1">-(D17-Q4)</f>
        <v>0</v>
      </c>
      <c r="E12" s="9">
        <f ca="1">-(E17-Q5)</f>
        <v>-354.58133903323369</v>
      </c>
      <c r="F12" s="9">
        <f ca="1">-(F17-Q6)</f>
        <v>-32.38805970149258</v>
      </c>
      <c r="G12" s="9">
        <f ca="1">-(G17-Q7)</f>
        <v>-219.02231974921688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-609.88602763157314</v>
      </c>
      <c r="M12" s="17"/>
      <c r="N12" s="17"/>
      <c r="O12" s="10"/>
      <c r="P12" s="12"/>
      <c r="Q12" s="9">
        <f t="shared" ref="Q12:Q17" ca="1" si="6">SUM(L12:P12)</f>
        <v>-609.88602763157314</v>
      </c>
      <c r="R12" s="17">
        <f t="shared" ca="1" si="4"/>
        <v>-609.88602763157314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-615.4399999999996</v>
      </c>
      <c r="J13" s="14">
        <f ca="1">-(J17-Q10)</f>
        <v>0</v>
      </c>
      <c r="K13" s="13">
        <f ca="1">-(K17-Q11)</f>
        <v>-1306.9868000000006</v>
      </c>
      <c r="L13" s="14">
        <f t="shared" ca="1" si="5"/>
        <v>-1922.4268000000002</v>
      </c>
      <c r="M13" s="16">
        <f ca="1">-E15</f>
        <v>-1301.0399184839421</v>
      </c>
      <c r="N13" s="16"/>
      <c r="O13" s="11"/>
      <c r="P13" s="13"/>
      <c r="Q13" s="14">
        <f t="shared" ca="1" si="6"/>
        <v>-3223.4667184839423</v>
      </c>
      <c r="R13" s="16">
        <f t="shared" ca="1" si="4"/>
        <v>-3223.4667184839423</v>
      </c>
    </row>
    <row r="14" spans="1:19">
      <c r="A14" s="18" t="s">
        <v>78</v>
      </c>
      <c r="B14" s="11"/>
      <c r="C14" s="14"/>
      <c r="D14" s="14"/>
      <c r="E14" s="14">
        <f ca="1">-(I13+J13)-K13</f>
        <v>1922.4268000000002</v>
      </c>
      <c r="F14" s="14"/>
      <c r="G14" s="14"/>
      <c r="H14" s="14"/>
      <c r="I14" s="14"/>
      <c r="J14" s="14"/>
      <c r="K14" s="13"/>
      <c r="L14" s="14">
        <f t="shared" ca="1" si="5"/>
        <v>1922.4268000000002</v>
      </c>
      <c r="M14" s="16"/>
      <c r="N14" s="16"/>
      <c r="O14" s="11"/>
      <c r="P14" s="13"/>
      <c r="Q14" s="14">
        <f t="shared" ca="1" si="6"/>
        <v>1922.4268000000002</v>
      </c>
      <c r="R14" s="16">
        <f t="shared" ca="1" si="4"/>
        <v>1922.4268000000002</v>
      </c>
    </row>
    <row r="15" spans="1:19">
      <c r="A15" s="18" t="s">
        <v>79</v>
      </c>
      <c r="B15" s="11"/>
      <c r="C15" s="14"/>
      <c r="D15" s="14"/>
      <c r="E15" s="14">
        <f ca="1">E17-E14</f>
        <v>1301.0399184839421</v>
      </c>
      <c r="F15" s="14"/>
      <c r="G15" s="14"/>
      <c r="H15" s="14"/>
      <c r="I15" s="14"/>
      <c r="J15" s="14"/>
      <c r="K15" s="13"/>
      <c r="L15" s="14">
        <f t="shared" ca="1" si="5"/>
        <v>1301.0399184839421</v>
      </c>
      <c r="M15" s="16"/>
      <c r="N15" s="16"/>
      <c r="O15" s="11"/>
      <c r="P15" s="13"/>
      <c r="Q15" s="14">
        <f t="shared" ca="1" si="6"/>
        <v>1301.0399184839421</v>
      </c>
      <c r="R15" s="16">
        <f t="shared" ca="1" si="4"/>
        <v>1301.0399184839421</v>
      </c>
    </row>
    <row r="16" spans="1:19">
      <c r="A16" s="30" t="s">
        <v>89</v>
      </c>
      <c r="B16" s="21">
        <f ca="1">Q2</f>
        <v>2500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2500</v>
      </c>
      <c r="M16" s="19"/>
      <c r="N16" s="19"/>
      <c r="O16" s="21"/>
      <c r="P16" s="27"/>
      <c r="Q16" s="22">
        <f t="shared" ca="1" si="6"/>
        <v>2500</v>
      </c>
      <c r="R16" s="19">
        <f t="shared" ca="1" si="4"/>
        <v>2500</v>
      </c>
    </row>
    <row r="17" spans="1:18">
      <c r="A17" s="29" t="s">
        <v>88</v>
      </c>
      <c r="B17" s="9">
        <f ca="1">B16</f>
        <v>2500</v>
      </c>
      <c r="C17" s="9">
        <f ca="1">SUM(C$2:C$11)</f>
        <v>618.14430914763</v>
      </c>
      <c r="D17" s="9">
        <f ca="1">SUM(D$2:D$11)</f>
        <v>0</v>
      </c>
      <c r="E17" s="9">
        <f ca="1">$Q$5/parameters!$B$4</f>
        <v>3223.4667184839423</v>
      </c>
      <c r="F17" s="9">
        <f t="shared" ref="F17:K17" ca="1" si="7">SUM(F$2:F$11)</f>
        <v>522.38805970149258</v>
      </c>
      <c r="G17" s="9">
        <f t="shared" ca="1" si="7"/>
        <v>5093.5423197492164</v>
      </c>
      <c r="H17" s="9">
        <f t="shared" ca="1" si="7"/>
        <v>5364.5199999999995</v>
      </c>
      <c r="I17" s="9">
        <f t="shared" ca="1" si="7"/>
        <v>5635.98</v>
      </c>
      <c r="J17" s="9">
        <f t="shared" ca="1" si="7"/>
        <v>0</v>
      </c>
      <c r="K17" s="9">
        <f t="shared" ca="1" si="7"/>
        <v>13144.74</v>
      </c>
      <c r="L17" s="17">
        <f t="shared" ca="1" si="5"/>
        <v>36102.781407082279</v>
      </c>
      <c r="M17" s="17"/>
      <c r="N17" s="17"/>
      <c r="O17" s="9"/>
      <c r="P17" s="14"/>
      <c r="Q17" s="11">
        <f t="shared" ca="1" si="6"/>
        <v>36102.781407082279</v>
      </c>
      <c r="R17" s="17">
        <f t="shared" ca="1" si="4"/>
        <v>36102.781407082279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0.89080159972178763</v>
      </c>
      <c r="J18" s="39">
        <f ca="1">I18</f>
        <v>0.89080159972178763</v>
      </c>
      <c r="K18" s="40">
        <f ca="1">1-(-K13)/K17</f>
        <v>0.90056959665995673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9772.3860320016101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9772.3860320016101</v>
      </c>
      <c r="M2" s="17"/>
      <c r="N2" s="17">
        <f ca="1">Q2-(L2+O2+P2)</f>
        <v>0</v>
      </c>
      <c r="O2" s="11" cm="1">
        <f t="array" aca="1" ref="O2" ca="1">INDIRECT("'data'!$F$" &amp; $A$1)</f>
        <v>109.2</v>
      </c>
      <c r="P2" s="13">
        <f ca="1">IF(-(L2-Q2+O2)&lt;0, -(L2-Q2+O2), 0)</f>
        <v>-9881.5860320016109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8521.194029850747</v>
      </c>
      <c r="G3" s="14">
        <f ca="1">Q3-O3-P3-F3</f>
        <v>1325.7059701492526</v>
      </c>
      <c r="H3" s="14"/>
      <c r="I3" s="14"/>
      <c r="J3" s="14"/>
      <c r="K3" s="13"/>
      <c r="L3" s="16">
        <f t="shared" ca="1" si="0"/>
        <v>9846.9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39.69</v>
      </c>
      <c r="P3" s="13" cm="1">
        <f t="array" aca="1" ref="P3" ca="1">-INDIRECT("'data'!$I$" &amp; $A$1)*parameters!$B$13</f>
        <v>-175.76999999999998</v>
      </c>
      <c r="Q3" s="16" cm="1">
        <f t="array" aca="1" ref="Q3" ca="1">INDIRECT("'data'!$G$" &amp; $A$1)*parameters!$B$13</f>
        <v>9710.82</v>
      </c>
      <c r="R3" s="16">
        <f t="shared" ref="R3:R10" ca="1" si="2">SUM(L3:P3)</f>
        <v>9710.82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35.880000000000003</v>
      </c>
      <c r="H4" s="14"/>
      <c r="I4" s="14"/>
      <c r="J4" s="14"/>
      <c r="K4" s="13"/>
      <c r="L4" s="16">
        <f t="shared" ca="1" si="0"/>
        <v>35.880000000000003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-38.64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2130.2985074626868</v>
      </c>
      <c r="G5" s="14">
        <f ca="1">Q7/parameters!$B$7-(G3+G4)</f>
        <v>4261.3816369562855</v>
      </c>
      <c r="H5" s="14"/>
      <c r="I5" s="14"/>
      <c r="J5" s="14"/>
      <c r="K5" s="13"/>
      <c r="L5" s="16">
        <f t="shared" ca="1" si="0"/>
        <v>6391.6801444189723</v>
      </c>
      <c r="M5" s="16"/>
      <c r="N5" s="16"/>
      <c r="O5" s="11" cm="1">
        <f t="array" aca="1" ref="O5" ca="1">INDIRECT("'data'!$M$" &amp; $A$1)*parameters!$B$15</f>
        <v>5865.3</v>
      </c>
      <c r="P5" s="13" cm="1">
        <f t="array" aca="1" ref="P5" ca="1">-INDIRECT("'data'!$N$" &amp; $A$1)*parameters!$B$15</f>
        <v>-2315.7399999999998</v>
      </c>
      <c r="Q5" s="16">
        <f ca="1">SUM(L5:P5)</f>
        <v>9941.2401444189727</v>
      </c>
      <c r="R5" s="16">
        <f t="shared" ca="1" si="2"/>
        <v>9941.2401444189727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9991.1</v>
      </c>
      <c r="I6" s="14"/>
      <c r="J6" s="14"/>
      <c r="K6" s="13"/>
      <c r="L6" s="16">
        <f t="shared" ca="1" si="0"/>
        <v>9991.1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9991.1</v>
      </c>
      <c r="R6" s="16">
        <f t="shared" ca="1" si="2"/>
        <v>9991.1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5381.18</v>
      </c>
      <c r="I7" s="14"/>
      <c r="J7" s="14"/>
      <c r="K7" s="13"/>
      <c r="L7" s="16">
        <f t="shared" ca="1" si="0"/>
        <v>5381.18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5381.18</v>
      </c>
      <c r="R7" s="16">
        <f t="shared" ca="1" si="2"/>
        <v>5381.18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5313.7583133196249</v>
      </c>
      <c r="J8" s="14">
        <f ca="1">Q10/J18</f>
        <v>10609.281686680377</v>
      </c>
      <c r="K8" s="13"/>
      <c r="L8" s="16">
        <f t="shared" ca="1" si="0"/>
        <v>15923.04</v>
      </c>
      <c r="M8" s="16"/>
      <c r="N8" s="16">
        <f t="shared" ca="1" si="3"/>
        <v>0</v>
      </c>
      <c r="O8" s="11" cm="1">
        <f t="array" aca="1" ref="O8" ca="1">INDIRECT("'data'!$R$" &amp; $A$1)*parameters!$B$15</f>
        <v>1109.3599999999999</v>
      </c>
      <c r="P8" s="13" cm="1">
        <f t="array" aca="1" ref="P8" ca="1">-INDIRECT("'data'!$S$" &amp; $A$1)*parameters!$B$15</f>
        <v>-1660.12</v>
      </c>
      <c r="Q8" s="16">
        <f ca="1">SUM(Q6:Q7)</f>
        <v>15372.28</v>
      </c>
      <c r="R8" s="16">
        <f t="shared" ca="1" si="2"/>
        <v>15372.280000000002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5352.7599999999993</v>
      </c>
      <c r="L9" s="16">
        <f t="shared" ca="1" si="0"/>
        <v>5352.7599999999993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2449.02</v>
      </c>
      <c r="P9" s="13" cm="1">
        <f t="array" aca="1" ref="P9" ca="1">-INDIRECT("'data'!$V$" &amp; $A$1)*parameters!$B$15</f>
        <v>-2904.72</v>
      </c>
      <c r="Q9" s="16" cm="1">
        <f t="array" aca="1" ref="Q9" ca="1">INDIRECT("'data'!$T$" &amp; $A$1)*parameters!$B$15</f>
        <v>4897.0599999999995</v>
      </c>
      <c r="R9" s="16">
        <f t="shared" ca="1" si="2"/>
        <v>4897.0599999999995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7456.6750213371251</v>
      </c>
      <c r="L10" s="16">
        <f t="shared" ca="1" si="0"/>
        <v>7456.6750213371251</v>
      </c>
      <c r="M10" s="16"/>
      <c r="N10" s="16">
        <f t="shared" ca="1" si="3"/>
        <v>0</v>
      </c>
      <c r="O10" s="11" cm="1">
        <f t="array" aca="1" ref="O10" ca="1">INDIRECT("'data'!$X$" &amp; $A$1)*parameters!$B$15</f>
        <v>9373.7000000000007</v>
      </c>
      <c r="P10" s="13" cm="1">
        <f t="array" aca="1" ref="P10" ca="1">-INDIRECT("'data'!$Y$" &amp; $A$1)*parameters!$B$15</f>
        <v>-7053.0599999999995</v>
      </c>
      <c r="Q10" s="16" cm="1">
        <f t="array" aca="1" ref="Q10" ca="1">INDIRECT("'data'!$W$" &amp; $A$1)*parameters!$B$15</f>
        <v>9777.3150213371264</v>
      </c>
      <c r="R10" s="16">
        <f t="shared" ca="1" si="2"/>
        <v>9777.3150213371246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14650.894918349926</v>
      </c>
      <c r="N11" s="19"/>
      <c r="O11" s="21" cm="1">
        <f t="array" aca="1" ref="O11" ca="1">INDIRECT("'data'!$Z$" &amp; $A$1)*parameters!$B$15</f>
        <v>7782.18</v>
      </c>
      <c r="P11" s="27" cm="1">
        <f t="array" aca="1" ref="P11" ca="1">-INDIRECT("'data'!$AA$" &amp; $A$1)*parameters!$B$15</f>
        <v>-10988.74</v>
      </c>
      <c r="Q11" s="16">
        <f ca="1">K9*parameters!$B$10+K10*parameters!$B$11</f>
        <v>11444.334918349927</v>
      </c>
      <c r="R11" s="16">
        <f t="shared" ref="R11:R17" ca="1" si="4">SUM(L11:P11)</f>
        <v>11444.334918349929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-61.566032001610438</v>
      </c>
      <c r="D12" s="9">
        <f ca="1">-(D17-Q4)</f>
        <v>0</v>
      </c>
      <c r="E12" s="9">
        <f ca="1">-(E17-Q5)</f>
        <v>-1228.6926021191994</v>
      </c>
      <c r="F12" s="9">
        <f ca="1">-(F17-Q6)</f>
        <v>-660.39253731343342</v>
      </c>
      <c r="G12" s="9">
        <f ca="1">-(G17-Q7)</f>
        <v>-241.78760710553797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-2192.4387785397812</v>
      </c>
      <c r="M12" s="17"/>
      <c r="N12" s="17"/>
      <c r="O12" s="10"/>
      <c r="P12" s="12"/>
      <c r="Q12" s="9">
        <f t="shared" ref="Q12:Q17" ca="1" si="6">SUM(L12:P12)</f>
        <v>-2192.4387785397812</v>
      </c>
      <c r="R12" s="17">
        <f t="shared" ca="1" si="4"/>
        <v>-2192.4387785397812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-416.69831331962541</v>
      </c>
      <c r="J13" s="14">
        <f ca="1">-(J17-Q10)</f>
        <v>-831.9666653432505</v>
      </c>
      <c r="K13" s="13">
        <f ca="1">-(K17-Q11)</f>
        <v>-1365.1001029871986</v>
      </c>
      <c r="L13" s="14">
        <f t="shared" ca="1" si="5"/>
        <v>-2613.7650816500745</v>
      </c>
      <c r="M13" s="16">
        <f ca="1">-E15</f>
        <v>-8556.1676648880966</v>
      </c>
      <c r="N13" s="16"/>
      <c r="O13" s="11"/>
      <c r="P13" s="13"/>
      <c r="Q13" s="14">
        <f t="shared" ca="1" si="6"/>
        <v>-11169.932746538172</v>
      </c>
      <c r="R13" s="16">
        <f t="shared" ca="1" si="4"/>
        <v>-11169.932746538172</v>
      </c>
    </row>
    <row r="14" spans="1:20">
      <c r="A14" s="18" t="s">
        <v>78</v>
      </c>
      <c r="B14" s="11"/>
      <c r="C14" s="14"/>
      <c r="D14" s="14"/>
      <c r="E14" s="14">
        <f ca="1">-(I13+J13)-K13</f>
        <v>2613.7650816500745</v>
      </c>
      <c r="F14" s="14"/>
      <c r="G14" s="14"/>
      <c r="H14" s="14"/>
      <c r="I14" s="14"/>
      <c r="J14" s="14"/>
      <c r="K14" s="13"/>
      <c r="L14" s="14">
        <f t="shared" ca="1" si="5"/>
        <v>2613.7650816500745</v>
      </c>
      <c r="M14" s="16"/>
      <c r="N14" s="16"/>
      <c r="O14" s="11"/>
      <c r="P14" s="13"/>
      <c r="Q14" s="14">
        <f t="shared" ca="1" si="6"/>
        <v>2613.7650816500745</v>
      </c>
      <c r="R14" s="16">
        <f t="shared" ca="1" si="4"/>
        <v>2613.7650816500745</v>
      </c>
    </row>
    <row r="15" spans="1:20">
      <c r="A15" s="18" t="s">
        <v>79</v>
      </c>
      <c r="B15" s="11"/>
      <c r="C15" s="14"/>
      <c r="D15" s="14"/>
      <c r="E15" s="14">
        <f ca="1">E17-E14</f>
        <v>8556.1676648880966</v>
      </c>
      <c r="F15" s="14"/>
      <c r="G15" s="14"/>
      <c r="H15" s="14"/>
      <c r="I15" s="14"/>
      <c r="J15" s="14"/>
      <c r="K15" s="13"/>
      <c r="L15" s="14">
        <f t="shared" ca="1" si="5"/>
        <v>8556.1676648880966</v>
      </c>
      <c r="M15" s="16"/>
      <c r="N15" s="16"/>
      <c r="O15" s="11"/>
      <c r="P15" s="13"/>
      <c r="Q15" s="14">
        <f t="shared" ca="1" si="6"/>
        <v>8556.1676648880966</v>
      </c>
      <c r="R15" s="16">
        <f t="shared" ca="1" si="4"/>
        <v>8556.1676648880966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9772.3860320016101</v>
      </c>
      <c r="D17" s="9">
        <f ca="1">SUM(D$2:D$11)</f>
        <v>0</v>
      </c>
      <c r="E17" s="9">
        <f ca="1">$Q$5/parameters!$B$4</f>
        <v>11169.932746538172</v>
      </c>
      <c r="F17" s="9">
        <f t="shared" ref="F17:K17" ca="1" si="7">SUM(F$2:F$11)</f>
        <v>10651.492537313434</v>
      </c>
      <c r="G17" s="9">
        <f t="shared" ca="1" si="7"/>
        <v>5622.9676071055383</v>
      </c>
      <c r="H17" s="9">
        <f t="shared" ca="1" si="7"/>
        <v>15372.28</v>
      </c>
      <c r="I17" s="9">
        <f t="shared" ca="1" si="7"/>
        <v>5313.7583133196249</v>
      </c>
      <c r="J17" s="9">
        <f t="shared" ca="1" si="7"/>
        <v>10609.281686680377</v>
      </c>
      <c r="K17" s="9">
        <f t="shared" ca="1" si="7"/>
        <v>12809.435021337125</v>
      </c>
      <c r="L17" s="17">
        <f t="shared" ca="1" si="5"/>
        <v>81321.533944295865</v>
      </c>
      <c r="M17" s="17"/>
      <c r="N17" s="17"/>
      <c r="O17" s="9"/>
      <c r="P17" s="14"/>
      <c r="Q17" s="11">
        <f t="shared" ca="1" si="6"/>
        <v>81321.533944295865</v>
      </c>
      <c r="R17" s="17">
        <f t="shared" ca="1" si="4"/>
        <v>81321.533944295865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0.92158124462019342</v>
      </c>
      <c r="J18" s="39">
        <f ca="1">I18</f>
        <v>0.92158124462019342</v>
      </c>
      <c r="K18" s="40">
        <f ca="1">1-(-K13)/K17</f>
        <v>0.89343010829803937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3755.4644258830631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3755.4644258830631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-3755.4644258830631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3518.8059701492543</v>
      </c>
      <c r="G3" s="14">
        <f ca="1">Q3-O3-P3-F3</f>
        <v>403.88902985074537</v>
      </c>
      <c r="H3" s="14"/>
      <c r="I3" s="14"/>
      <c r="J3" s="14"/>
      <c r="K3" s="13"/>
      <c r="L3" s="16">
        <f t="shared" ca="1" si="0"/>
        <v>3922.6949999999997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16.064999999999998</v>
      </c>
      <c r="P3" s="13" cm="1">
        <f t="array" aca="1" ref="P3" ca="1">-INDIRECT("'data'!$I$" &amp; $A$1)*parameters!$B$13</f>
        <v>-206.95499999999998</v>
      </c>
      <c r="Q3" s="16" cm="1">
        <f t="array" aca="1" ref="Q3" ca="1">INDIRECT("'data'!$G$" &amp; $A$1)*parameters!$B$13</f>
        <v>3731.8049999999998</v>
      </c>
      <c r="R3" s="16">
        <f t="shared" ref="R3:R10" ca="1" si="2">SUM(L3:P3)</f>
        <v>3731.8049999999998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586.96</v>
      </c>
      <c r="H4" s="14"/>
      <c r="I4" s="14"/>
      <c r="J4" s="14"/>
      <c r="K4" s="13"/>
      <c r="L4" s="16">
        <f t="shared" ca="1" si="0"/>
        <v>586.96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-588.80000000000007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879.7014925373137</v>
      </c>
      <c r="G5" s="14">
        <f ca="1">Q7/parameters!$B$7-(G3+G4)</f>
        <v>9292.4947528033827</v>
      </c>
      <c r="H5" s="14"/>
      <c r="I5" s="14"/>
      <c r="J5" s="14"/>
      <c r="K5" s="13"/>
      <c r="L5" s="16">
        <f t="shared" ca="1" si="0"/>
        <v>10172.196245340696</v>
      </c>
      <c r="M5" s="16"/>
      <c r="N5" s="16"/>
      <c r="O5" s="11" cm="1">
        <f t="array" aca="1" ref="O5" ca="1">INDIRECT("'data'!$M$" &amp; $A$1)*parameters!$B$15</f>
        <v>499.8</v>
      </c>
      <c r="P5" s="13" cm="1">
        <f t="array" aca="1" ref="P5" ca="1">-INDIRECT("'data'!$N$" &amp; $A$1)*parameters!$B$15</f>
        <v>-4610.8999999999996</v>
      </c>
      <c r="Q5" s="16">
        <f ca="1">SUM(L5:P5)</f>
        <v>6061.0962453406955</v>
      </c>
      <c r="R5" s="16">
        <f t="shared" ca="1" si="2"/>
        <v>6061.0962453406955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4125.8</v>
      </c>
      <c r="I6" s="14"/>
      <c r="J6" s="14"/>
      <c r="K6" s="13"/>
      <c r="L6" s="16">
        <f t="shared" ca="1" si="0"/>
        <v>4125.8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4125.8</v>
      </c>
      <c r="R6" s="16">
        <f t="shared" ca="1" si="2"/>
        <v>4125.8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9841.16</v>
      </c>
      <c r="I7" s="14"/>
      <c r="J7" s="14"/>
      <c r="K7" s="13"/>
      <c r="L7" s="16">
        <f t="shared" ca="1" si="0"/>
        <v>9841.16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9841.16</v>
      </c>
      <c r="R7" s="16">
        <f t="shared" ca="1" si="2"/>
        <v>9841.16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9812.7954469768483</v>
      </c>
      <c r="J8" s="14">
        <f ca="1">Q10/J18</f>
        <v>4685.3245530231497</v>
      </c>
      <c r="K8" s="13"/>
      <c r="L8" s="16">
        <f t="shared" ca="1" si="0"/>
        <v>14498.119999999999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221.48</v>
      </c>
      <c r="P8" s="13" cm="1">
        <f t="array" aca="1" ref="P8" ca="1">-INDIRECT("'data'!$S$" &amp; $A$1)*parameters!$B$15</f>
        <v>-752.64</v>
      </c>
      <c r="Q8" s="16">
        <f ca="1">SUM(Q6:Q7)</f>
        <v>13966.96</v>
      </c>
      <c r="R8" s="16">
        <f t="shared" ca="1" si="2"/>
        <v>13966.96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3556.4200000000005</v>
      </c>
      <c r="L9" s="16">
        <f t="shared" ca="1" si="0"/>
        <v>3556.4200000000005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6033.86</v>
      </c>
      <c r="P9" s="13" cm="1">
        <f t="array" aca="1" ref="P9" ca="1">-INDIRECT("'data'!$V$" &amp; $A$1)*parameters!$B$15</f>
        <v>-933.93999999999994</v>
      </c>
      <c r="Q9" s="16" cm="1">
        <f t="array" aca="1" ref="Q9" ca="1">INDIRECT("'data'!$T$" &amp; $A$1)*parameters!$B$15</f>
        <v>8656.34</v>
      </c>
      <c r="R9" s="16">
        <f t="shared" ca="1" si="2"/>
        <v>8656.34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7431.8306970128024</v>
      </c>
      <c r="L10" s="16">
        <f t="shared" ca="1" si="0"/>
        <v>7431.8306970128024</v>
      </c>
      <c r="M10" s="16"/>
      <c r="N10" s="16">
        <f t="shared" ca="1" si="3"/>
        <v>0</v>
      </c>
      <c r="O10" s="11" cm="1">
        <f t="array" aca="1" ref="O10" ca="1">INDIRECT("'data'!$X$" &amp; $A$1)*parameters!$B$15</f>
        <v>1850.24</v>
      </c>
      <c r="P10" s="13" cm="1">
        <f t="array" aca="1" ref="P10" ca="1">-INDIRECT("'data'!$Y$" &amp; $A$1)*parameters!$B$15</f>
        <v>-5148.92</v>
      </c>
      <c r="Q10" s="16" cm="1">
        <f t="array" aca="1" ref="Q10" ca="1">INDIRECT("'data'!$W$" &amp; $A$1)*parameters!$B$15</f>
        <v>4133.1506970128021</v>
      </c>
      <c r="R10" s="16">
        <f t="shared" ca="1" si="2"/>
        <v>4133.150697012803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7850.8491994310107</v>
      </c>
      <c r="N11" s="19"/>
      <c r="O11" s="21" cm="1">
        <f t="array" aca="1" ref="O11" ca="1">INDIRECT("'data'!$Z$" &amp; $A$1)*parameters!$B$15</f>
        <v>8522.08</v>
      </c>
      <c r="P11" s="27" cm="1">
        <f t="array" aca="1" ref="P11" ca="1">-INDIRECT("'data'!$AA$" &amp; $A$1)*parameters!$B$15</f>
        <v>-6638.5199999999995</v>
      </c>
      <c r="Q11" s="16">
        <f ca="1">K9*parameters!$B$10+K10*parameters!$B$11</f>
        <v>9734.4091994310111</v>
      </c>
      <c r="R11" s="16">
        <f t="shared" ref="R11:R17" ca="1" si="4">SUM(L11:P11)</f>
        <v>9734.4091994310111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-23.65942588306325</v>
      </c>
      <c r="D12" s="9">
        <f ca="1">-(D17-Q4)</f>
        <v>0</v>
      </c>
      <c r="E12" s="9">
        <f ca="1">-(E17-Q5)</f>
        <v>-749.12425504210842</v>
      </c>
      <c r="F12" s="9">
        <f ca="1">-(F17-Q6)</f>
        <v>-272.70746268656785</v>
      </c>
      <c r="G12" s="9">
        <f ca="1">-(G17-Q7)</f>
        <v>-442.18378265412866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-1487.6749262658682</v>
      </c>
      <c r="M12" s="17"/>
      <c r="N12" s="17"/>
      <c r="O12" s="10"/>
      <c r="P12" s="12"/>
      <c r="Q12" s="9">
        <f t="shared" ref="Q12:Q17" ca="1" si="6">SUM(L12:P12)</f>
        <v>-1487.6749262658682</v>
      </c>
      <c r="R12" s="17">
        <f t="shared" ca="1" si="4"/>
        <v>-1487.6749262658682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-1156.4554469768482</v>
      </c>
      <c r="J13" s="14">
        <f ca="1">-(J17-Q10)</f>
        <v>-552.17385601034766</v>
      </c>
      <c r="K13" s="13">
        <f ca="1">-(K17-Q11)</f>
        <v>-1253.8414975817923</v>
      </c>
      <c r="L13" s="14">
        <f t="shared" ca="1" si="5"/>
        <v>-2962.4708005689881</v>
      </c>
      <c r="M13" s="16">
        <f ca="1">-E15</f>
        <v>-3847.7496998138158</v>
      </c>
      <c r="N13" s="16"/>
      <c r="O13" s="11"/>
      <c r="P13" s="13"/>
      <c r="Q13" s="14">
        <f t="shared" ca="1" si="6"/>
        <v>-6810.2205003828039</v>
      </c>
      <c r="R13" s="16">
        <f t="shared" ca="1" si="4"/>
        <v>-6810.2205003828039</v>
      </c>
    </row>
    <row r="14" spans="1:20">
      <c r="A14" s="18" t="s">
        <v>78</v>
      </c>
      <c r="B14" s="11"/>
      <c r="C14" s="14"/>
      <c r="D14" s="14"/>
      <c r="E14" s="14">
        <f ca="1">-(I13+J13)-K13</f>
        <v>2962.4708005689881</v>
      </c>
      <c r="F14" s="14"/>
      <c r="G14" s="14"/>
      <c r="H14" s="14"/>
      <c r="I14" s="14"/>
      <c r="J14" s="14"/>
      <c r="K14" s="13"/>
      <c r="L14" s="14">
        <f t="shared" ca="1" si="5"/>
        <v>2962.4708005689881</v>
      </c>
      <c r="M14" s="16"/>
      <c r="N14" s="16"/>
      <c r="O14" s="11"/>
      <c r="P14" s="13"/>
      <c r="Q14" s="14">
        <f t="shared" ca="1" si="6"/>
        <v>2962.4708005689881</v>
      </c>
      <c r="R14" s="16">
        <f t="shared" ca="1" si="4"/>
        <v>2962.4708005689881</v>
      </c>
    </row>
    <row r="15" spans="1:20">
      <c r="A15" s="18" t="s">
        <v>79</v>
      </c>
      <c r="B15" s="11"/>
      <c r="C15" s="14"/>
      <c r="D15" s="14"/>
      <c r="E15" s="14">
        <f ca="1">E17-E14</f>
        <v>3847.7496998138158</v>
      </c>
      <c r="F15" s="14"/>
      <c r="G15" s="14"/>
      <c r="H15" s="14"/>
      <c r="I15" s="14"/>
      <c r="J15" s="14"/>
      <c r="K15" s="13"/>
      <c r="L15" s="14">
        <f t="shared" ca="1" si="5"/>
        <v>3847.7496998138158</v>
      </c>
      <c r="M15" s="16"/>
      <c r="N15" s="16"/>
      <c r="O15" s="11"/>
      <c r="P15" s="13"/>
      <c r="Q15" s="14">
        <f t="shared" ca="1" si="6"/>
        <v>3847.7496998138158</v>
      </c>
      <c r="R15" s="16">
        <f t="shared" ca="1" si="4"/>
        <v>3847.7496998138158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3755.4644258830631</v>
      </c>
      <c r="D17" s="9">
        <f ca="1">SUM(D$2:D$11)</f>
        <v>0</v>
      </c>
      <c r="E17" s="9">
        <f ca="1">$Q$5/parameters!$B$4</f>
        <v>6810.2205003828039</v>
      </c>
      <c r="F17" s="9">
        <f t="shared" ref="F17:K17" ca="1" si="7">SUM(F$2:F$11)</f>
        <v>4398.507462686568</v>
      </c>
      <c r="G17" s="9">
        <f t="shared" ca="1" si="7"/>
        <v>10283.343782654129</v>
      </c>
      <c r="H17" s="9">
        <f t="shared" ca="1" si="7"/>
        <v>13966.96</v>
      </c>
      <c r="I17" s="9">
        <f t="shared" ca="1" si="7"/>
        <v>9812.7954469768483</v>
      </c>
      <c r="J17" s="9">
        <f t="shared" ca="1" si="7"/>
        <v>4685.3245530231497</v>
      </c>
      <c r="K17" s="9">
        <f t="shared" ca="1" si="7"/>
        <v>10988.250697012803</v>
      </c>
      <c r="L17" s="17">
        <f t="shared" ca="1" si="5"/>
        <v>64700.866868619356</v>
      </c>
      <c r="M17" s="17"/>
      <c r="N17" s="17"/>
      <c r="O17" s="9"/>
      <c r="P17" s="14"/>
      <c r="Q17" s="11">
        <f t="shared" ca="1" si="6"/>
        <v>64700.866868619356</v>
      </c>
      <c r="R17" s="17">
        <f t="shared" ca="1" si="4"/>
        <v>64700.866868619356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0.8821482162523695</v>
      </c>
      <c r="J18" s="39">
        <f ca="1">I18</f>
        <v>0.8821482162523695</v>
      </c>
      <c r="K18" s="40">
        <f ca="1">1-(-K13)/K17</f>
        <v>0.88589252901531867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5801.0465935392976</v>
      </c>
      <c r="D2" s="9">
        <f ca="1">Q4/parameters!$B$3</f>
        <v>1157.2909328771259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6958.3375264164233</v>
      </c>
      <c r="M2" s="17"/>
      <c r="N2" s="17">
        <f ca="1">Q2-(L2+O2+P2)</f>
        <v>0</v>
      </c>
      <c r="O2" s="11" cm="1">
        <f t="array" aca="1" ref="O2" ca="1">INDIRECT("'data'!$F$" &amp; $A$1)</f>
        <v>24714.95</v>
      </c>
      <c r="P2" s="13">
        <f ca="1">IF(-(L2-Q2+O2)&lt;0, -(L2-Q2+O2), 0)</f>
        <v>-5673.287526416425</v>
      </c>
      <c r="Q2" s="17" cm="1">
        <f t="array" aca="1" ref="Q2" ca="1">INDIRECT("'data'!$D$" &amp; $A$1)</f>
        <v>26000</v>
      </c>
      <c r="R2" s="17">
        <f ca="1">SUM(L2:P2)</f>
        <v>26000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5653.8059701492548</v>
      </c>
      <c r="G3" s="14">
        <f ca="1">Q3-O3-P3-F3</f>
        <v>65.334029850745537</v>
      </c>
      <c r="H3" s="14"/>
      <c r="I3" s="14"/>
      <c r="J3" s="14"/>
      <c r="K3" s="13"/>
      <c r="L3" s="16">
        <f t="shared" ca="1" si="0"/>
        <v>5719.14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71.819999999999993</v>
      </c>
      <c r="P3" s="13" cm="1">
        <f t="array" aca="1" ref="P3" ca="1">-INDIRECT("'data'!$I$" &amp; $A$1)*parameters!$B$13</f>
        <v>-26.459999999999997</v>
      </c>
      <c r="Q3" s="16" cm="1">
        <f t="array" aca="1" ref="Q3" ca="1">INDIRECT("'data'!$G$" &amp; $A$1)*parameters!$B$13</f>
        <v>5764.5</v>
      </c>
      <c r="R3" s="16">
        <f t="shared" ref="R3:R10" ca="1" si="2">SUM(L3:P3)</f>
        <v>5764.5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1132.5200000000002</v>
      </c>
      <c r="H4" s="14"/>
      <c r="I4" s="14"/>
      <c r="J4" s="14"/>
      <c r="K4" s="13"/>
      <c r="L4" s="16">
        <f t="shared" ca="1" si="0"/>
        <v>1132.5200000000002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76.36</v>
      </c>
      <c r="P4" s="13" cm="1">
        <f t="array" aca="1" ref="P4" ca="1">-INDIRECT("'data'!$L$" &amp; $A$1)*parameters!$B$14</f>
        <v>-58.88</v>
      </c>
      <c r="Q4" s="16" cm="1">
        <f t="array" aca="1" ref="Q4" ca="1">INDIRECT("'data'!$J$" &amp; $A$1)*parameters!$B$14</f>
        <v>1150</v>
      </c>
      <c r="R4" s="16">
        <f t="shared" ca="1" si="2"/>
        <v>1150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Q6/parameters!$B$5*21%</f>
        <v>1502.9104477611941</v>
      </c>
      <c r="G5" s="14">
        <f ca="1">Q7/parameters!$B$7-(G3+G4)</f>
        <v>4500.8920516539565</v>
      </c>
      <c r="H5" s="14"/>
      <c r="I5" s="14"/>
      <c r="J5" s="14"/>
      <c r="K5" s="13"/>
      <c r="L5" s="16">
        <f t="shared" ca="1" si="0"/>
        <v>6003.802499415151</v>
      </c>
      <c r="M5" s="16"/>
      <c r="N5" s="16"/>
      <c r="O5" s="11" cm="1">
        <f t="array" aca="1" ref="O5" ca="1">INDIRECT("'data'!$M$" &amp; $A$1)*parameters!$B$15</f>
        <v>4430.58</v>
      </c>
      <c r="P5" s="13" cm="1">
        <f t="array" aca="1" ref="P5" ca="1">-INDIRECT("'data'!$N$" &amp; $A$1)*parameters!$B$15</f>
        <v>-1711.08</v>
      </c>
      <c r="Q5" s="16">
        <f ca="1">SUM(L5:P5)</f>
        <v>8723.302499415151</v>
      </c>
      <c r="R5" s="16">
        <f t="shared" ca="1" si="2"/>
        <v>8723.302499415151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6713</v>
      </c>
      <c r="I6" s="14"/>
      <c r="J6" s="14"/>
      <c r="K6" s="13"/>
      <c r="L6" s="16">
        <f t="shared" ca="1" si="0"/>
        <v>6713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6713</v>
      </c>
      <c r="R6" s="16">
        <f t="shared" ca="1" si="2"/>
        <v>6713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5453.7</v>
      </c>
      <c r="I7" s="14"/>
      <c r="J7" s="14"/>
      <c r="K7" s="13"/>
      <c r="L7" s="16">
        <f t="shared" ca="1" si="0"/>
        <v>5453.7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5453.7</v>
      </c>
      <c r="R7" s="16">
        <f t="shared" ca="1" si="2"/>
        <v>5453.7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2849.0073506912936</v>
      </c>
      <c r="J8" s="14">
        <f ca="1">Q10/J18</f>
        <v>9282.4126493087078</v>
      </c>
      <c r="K8" s="13"/>
      <c r="L8" s="16">
        <f t="shared" ca="1" si="0"/>
        <v>12131.420000000002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307.71999999999997</v>
      </c>
      <c r="P8" s="13" cm="1">
        <f t="array" aca="1" ref="P8" ca="1">-INDIRECT("'data'!$S$" &amp; $A$1)*parameters!$B$15</f>
        <v>-272.44</v>
      </c>
      <c r="Q8" s="16">
        <f ca="1">SUM(Q6:Q7)</f>
        <v>12166.7</v>
      </c>
      <c r="R8" s="16">
        <f t="shared" ca="1" si="2"/>
        <v>12166.7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3950.38</v>
      </c>
      <c r="L9" s="16">
        <f t="shared" ca="1" si="0"/>
        <v>3950.38</v>
      </c>
      <c r="M9" s="16"/>
      <c r="N9" s="16">
        <f t="shared" ca="1" si="3"/>
        <v>0</v>
      </c>
      <c r="O9" s="11" cm="1">
        <f t="array" aca="1" ref="O9" ca="1">INDIRECT("'data'!$U$" &amp; $A$1)*parameters!$B$15</f>
        <v>1321.04</v>
      </c>
      <c r="P9" s="13" cm="1">
        <f t="array" aca="1" ref="P9" ca="1">-INDIRECT("'data'!$V$" &amp; $A$1)*parameters!$B$15</f>
        <v>-2618.56</v>
      </c>
      <c r="Q9" s="16" cm="1">
        <f t="array" aca="1" ref="Q9" ca="1">INDIRECT("'data'!$T$" &amp; $A$1)*parameters!$B$15</f>
        <v>2652.86</v>
      </c>
      <c r="R9" s="16">
        <f t="shared" ca="1" si="2"/>
        <v>2652.86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9500.8407112375535</v>
      </c>
      <c r="L10" s="16">
        <f t="shared" ca="1" si="0"/>
        <v>9500.8407112375535</v>
      </c>
      <c r="M10" s="16"/>
      <c r="N10" s="16">
        <f t="shared" ca="1" si="3"/>
        <v>0</v>
      </c>
      <c r="O10" s="11" cm="1">
        <f t="array" aca="1" ref="O10" ca="1">INDIRECT("'data'!$X$" &amp; $A$1)*parameters!$B$15</f>
        <v>2976.2599999999998</v>
      </c>
      <c r="P10" s="13" cm="1">
        <f t="array" aca="1" ref="P10" ca="1">-INDIRECT("'data'!$Y$" &amp; $A$1)*parameters!$B$15</f>
        <v>-3833.7599999999998</v>
      </c>
      <c r="Q10" s="16" cm="1">
        <f t="array" aca="1" ref="Q10" ca="1">INDIRECT("'data'!$W$" &amp; $A$1)*parameters!$B$15</f>
        <v>8643.3407112375535</v>
      </c>
      <c r="R10" s="16">
        <f t="shared" ca="1" si="2"/>
        <v>8643.3407112375535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19417.340211664297</v>
      </c>
      <c r="N11" s="19"/>
      <c r="O11" s="21" cm="1">
        <f t="array" aca="1" ref="O11" ca="1">INDIRECT("'data'!$Z$" &amp; $A$1)*parameters!$B$15</f>
        <v>5062.68</v>
      </c>
      <c r="P11" s="27" cm="1">
        <f t="array" aca="1" ref="P11" ca="1">-INDIRECT("'data'!$AA$" &amp; $A$1)*parameters!$B$15</f>
        <v>-12595.94</v>
      </c>
      <c r="Q11" s="16">
        <f ca="1">K9*parameters!$B$10+K10*parameters!$B$11</f>
        <v>11884.080211664295</v>
      </c>
      <c r="R11" s="16">
        <f t="shared" ref="R11:R17" ca="1" si="4">SUM(L11:P11)</f>
        <v>11884.080211664297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-36.546593539297646</v>
      </c>
      <c r="D12" s="9">
        <f ca="1">-(D17-Q4)</f>
        <v>-7.290932877125897</v>
      </c>
      <c r="E12" s="9">
        <f ca="1">-(E17-Q5)</f>
        <v>-1078.1609830737834</v>
      </c>
      <c r="F12" s="9">
        <f ca="1">-(F17-Q6)</f>
        <v>-443.71641791044931</v>
      </c>
      <c r="G12" s="9">
        <f ca="1">-(G17-Q7)</f>
        <v>-245.04608150470267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-1810.7610089053589</v>
      </c>
      <c r="M12" s="17"/>
      <c r="N12" s="17"/>
      <c r="O12" s="10"/>
      <c r="P12" s="12"/>
      <c r="Q12" s="9">
        <f t="shared" ref="Q12:Q17" ca="1" si="6">SUM(L12:P12)</f>
        <v>-1810.7610089053589</v>
      </c>
      <c r="R12" s="17">
        <f t="shared" ca="1" si="4"/>
        <v>-1810.7610089053589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-196.14735069129347</v>
      </c>
      <c r="J13" s="14">
        <f ca="1">-(J17-Q10)</f>
        <v>-639.07193807115436</v>
      </c>
      <c r="K13" s="13">
        <f ca="1">-(K17-Q11)</f>
        <v>-1567.1404995732591</v>
      </c>
      <c r="L13" s="14">
        <f t="shared" ca="1" si="5"/>
        <v>-2402.359788335707</v>
      </c>
      <c r="M13" s="16">
        <f ca="1">-E15</f>
        <v>-7399.1036941532275</v>
      </c>
      <c r="N13" s="16"/>
      <c r="O13" s="11"/>
      <c r="P13" s="13"/>
      <c r="Q13" s="14">
        <f t="shared" ca="1" si="6"/>
        <v>-9801.4634824889345</v>
      </c>
      <c r="R13" s="16">
        <f t="shared" ca="1" si="4"/>
        <v>-9801.4634824889345</v>
      </c>
    </row>
    <row r="14" spans="1:20">
      <c r="A14" s="18" t="s">
        <v>78</v>
      </c>
      <c r="B14" s="11"/>
      <c r="C14" s="14"/>
      <c r="D14" s="14"/>
      <c r="E14" s="14">
        <f ca="1">-(I13+J13)-K13</f>
        <v>2402.359788335707</v>
      </c>
      <c r="F14" s="14"/>
      <c r="G14" s="14"/>
      <c r="H14" s="14"/>
      <c r="I14" s="14"/>
      <c r="J14" s="14"/>
      <c r="K14" s="13"/>
      <c r="L14" s="14">
        <f t="shared" ca="1" si="5"/>
        <v>2402.359788335707</v>
      </c>
      <c r="M14" s="16"/>
      <c r="N14" s="16"/>
      <c r="O14" s="11"/>
      <c r="P14" s="13"/>
      <c r="Q14" s="14">
        <f t="shared" ca="1" si="6"/>
        <v>2402.359788335707</v>
      </c>
      <c r="R14" s="16">
        <f t="shared" ca="1" si="4"/>
        <v>2402.359788335707</v>
      </c>
    </row>
    <row r="15" spans="1:20">
      <c r="A15" s="18" t="s">
        <v>79</v>
      </c>
      <c r="B15" s="11"/>
      <c r="C15" s="14"/>
      <c r="D15" s="14"/>
      <c r="E15" s="14">
        <f ca="1">E17-E14</f>
        <v>7399.1036941532275</v>
      </c>
      <c r="F15" s="14"/>
      <c r="G15" s="14"/>
      <c r="H15" s="14"/>
      <c r="I15" s="14"/>
      <c r="J15" s="14"/>
      <c r="K15" s="13"/>
      <c r="L15" s="14">
        <f t="shared" ca="1" si="5"/>
        <v>7399.1036941532275</v>
      </c>
      <c r="M15" s="16"/>
      <c r="N15" s="16"/>
      <c r="O15" s="11"/>
      <c r="P15" s="13"/>
      <c r="Q15" s="14">
        <f t="shared" ca="1" si="6"/>
        <v>7399.1036941532275</v>
      </c>
      <c r="R15" s="16">
        <f t="shared" ca="1" si="4"/>
        <v>7399.1036941532275</v>
      </c>
    </row>
    <row r="16" spans="1:20">
      <c r="A16" s="30" t="s">
        <v>89</v>
      </c>
      <c r="B16" s="21">
        <f ca="1">Q2</f>
        <v>26000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26000</v>
      </c>
      <c r="M16" s="19"/>
      <c r="N16" s="19"/>
      <c r="O16" s="21"/>
      <c r="P16" s="27"/>
      <c r="Q16" s="22">
        <f t="shared" ca="1" si="6"/>
        <v>26000</v>
      </c>
      <c r="R16" s="19">
        <f t="shared" ca="1" si="4"/>
        <v>26000</v>
      </c>
    </row>
    <row r="17" spans="1:18">
      <c r="A17" s="29" t="s">
        <v>88</v>
      </c>
      <c r="B17" s="9">
        <f ca="1">B16</f>
        <v>26000</v>
      </c>
      <c r="C17" s="9">
        <f ca="1">SUM(C$2:C$11)</f>
        <v>5801.0465935392976</v>
      </c>
      <c r="D17" s="9">
        <f ca="1">SUM(D$2:D$11)</f>
        <v>1157.2909328771259</v>
      </c>
      <c r="E17" s="9">
        <f ca="1">$Q$5/parameters!$B$4</f>
        <v>9801.4634824889345</v>
      </c>
      <c r="F17" s="9">
        <f t="shared" ref="F17:K17" ca="1" si="7">SUM(F$2:F$11)</f>
        <v>7156.7164179104493</v>
      </c>
      <c r="G17" s="9">
        <f t="shared" ca="1" si="7"/>
        <v>5698.7460815047025</v>
      </c>
      <c r="H17" s="9">
        <f t="shared" ca="1" si="7"/>
        <v>12166.7</v>
      </c>
      <c r="I17" s="9">
        <f t="shared" ca="1" si="7"/>
        <v>2849.0073506912936</v>
      </c>
      <c r="J17" s="9">
        <f t="shared" ca="1" si="7"/>
        <v>9282.4126493087078</v>
      </c>
      <c r="K17" s="9">
        <f t="shared" ca="1" si="7"/>
        <v>13451.220711237554</v>
      </c>
      <c r="L17" s="17">
        <f t="shared" ca="1" si="5"/>
        <v>93364.604219558067</v>
      </c>
      <c r="M17" s="17"/>
      <c r="N17" s="17"/>
      <c r="O17" s="9"/>
      <c r="P17" s="14"/>
      <c r="Q17" s="11">
        <f t="shared" ca="1" si="6"/>
        <v>93364.604219558067</v>
      </c>
      <c r="R17" s="17">
        <f t="shared" ca="1" si="4"/>
        <v>93364.604219558067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0.93115238869296024</v>
      </c>
      <c r="J18" s="39">
        <f ca="1">I18</f>
        <v>0.93115238869296024</v>
      </c>
      <c r="K18" s="40">
        <f ca="1">1-(-K13)/K17</f>
        <v>0.88349455166816027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700.85538895038746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700.85538895038746</v>
      </c>
      <c r="M2" s="17"/>
      <c r="N2" s="17">
        <f ca="1">Q2-(L2+O2+P2)</f>
        <v>0</v>
      </c>
      <c r="O2" s="11" cm="1">
        <f t="array" aca="1" ref="O2" ca="1">INDIRECT("'data'!$F$" &amp; $A$1)</f>
        <v>14500.2</v>
      </c>
      <c r="P2" s="13">
        <f ca="1">IF(-(L2-Q2+O2)&lt;0, -(L2-Q2+O2), 0)</f>
        <v>-12741.055388950388</v>
      </c>
      <c r="Q2" s="17" cm="1">
        <f t="array" aca="1" ref="Q2" ca="1">INDIRECT("'data'!$D$" &amp; $A$1)</f>
        <v>2460</v>
      </c>
      <c r="R2" s="17">
        <f ca="1">SUM(L2:P2)</f>
        <v>2460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189</v>
      </c>
      <c r="H3" s="14"/>
      <c r="I3" s="14"/>
      <c r="J3" s="14"/>
      <c r="K3" s="13"/>
      <c r="L3" s="16">
        <f t="shared" ca="1" si="0"/>
        <v>189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59.534999999999997</v>
      </c>
      <c r="P3" s="13" cm="1">
        <f t="array" aca="1" ref="P3" ca="1">-INDIRECT("'data'!$I$" &amp; $A$1)*parameters!$B$13</f>
        <v>-248.535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863.88000000000011</v>
      </c>
      <c r="H4" s="14"/>
      <c r="I4" s="14"/>
      <c r="J4" s="14"/>
      <c r="K4" s="13"/>
      <c r="L4" s="16">
        <f t="shared" ca="1" si="0"/>
        <v>863.88000000000011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-167.44</v>
      </c>
      <c r="Q4" s="16" cm="1">
        <f t="array" aca="1" ref="Q4" ca="1">INDIRECT("'data'!$J$" &amp; $A$1)*parameters!$B$14</f>
        <v>696.44</v>
      </c>
      <c r="R4" s="16">
        <f t="shared" ca="1" si="2"/>
        <v>696.44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1654.664409613375</v>
      </c>
      <c r="H5" s="14"/>
      <c r="I5" s="14"/>
      <c r="J5" s="14"/>
      <c r="K5" s="13"/>
      <c r="L5" s="16">
        <f t="shared" ca="1" si="0"/>
        <v>1654.664409613375</v>
      </c>
      <c r="M5" s="16"/>
      <c r="N5" s="48">
        <f ca="1">$E$14*parameters!$B$4-$P$5-$L$5-$O$5</f>
        <v>3042.3117803894711</v>
      </c>
      <c r="O5" s="11" cm="1">
        <f t="array" aca="1" ref="O5" ca="1">INDIRECT("'data'!$M$" &amp; $A$1)*parameters!$B$15</f>
        <v>41.16</v>
      </c>
      <c r="P5" s="13" cm="1">
        <f t="array" aca="1" ref="P5" ca="1">-INDIRECT("'data'!$N$" &amp; $A$1)*parameters!$B$15</f>
        <v>-2351.02</v>
      </c>
      <c r="Q5" s="16">
        <f ca="1">SUM(L5:P5)</f>
        <v>2387.116190002846</v>
      </c>
      <c r="R5" s="16">
        <f t="shared" ca="1" si="2"/>
        <v>2387.116190002846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2591.12</v>
      </c>
      <c r="I7" s="14"/>
      <c r="J7" s="14"/>
      <c r="K7" s="13"/>
      <c r="L7" s="16">
        <f t="shared" ca="1" si="0"/>
        <v>2591.12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2591.12</v>
      </c>
      <c r="R7" s="16">
        <f t="shared" ca="1" si="2"/>
        <v>2591.12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3412.0153302440294</v>
      </c>
      <c r="J8" s="14">
        <f ca="1">Q10/J18</f>
        <v>2924.6646697559709</v>
      </c>
      <c r="K8" s="13"/>
      <c r="L8" s="16">
        <f t="shared" ca="1" si="0"/>
        <v>6336.68</v>
      </c>
      <c r="M8" s="16"/>
      <c r="N8" s="16">
        <f t="shared" ca="1" si="3"/>
        <v>0</v>
      </c>
      <c r="O8" s="11" cm="1">
        <f t="array" aca="1" ref="O8" ca="1">INDIRECT("'data'!$R$" &amp; $A$1)*parameters!$B$15</f>
        <v>5.88</v>
      </c>
      <c r="P8" s="13" cm="1">
        <f t="array" aca="1" ref="P8" ca="1">-INDIRECT("'data'!$S$" &amp; $A$1)*parameters!$B$15</f>
        <v>-3751.44</v>
      </c>
      <c r="Q8" s="16">
        <f ca="1">SUM(Q6:Q7)</f>
        <v>2591.12</v>
      </c>
      <c r="R8" s="16">
        <f t="shared" ca="1" si="2"/>
        <v>2591.1200000000003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4585.42</v>
      </c>
      <c r="L9" s="16">
        <f t="shared" ca="1" si="0"/>
        <v>4585.42</v>
      </c>
      <c r="M9" s="16"/>
      <c r="N9" s="16">
        <f t="shared" ca="1" si="3"/>
        <v>0</v>
      </c>
      <c r="O9" s="11" cm="1">
        <f t="array" aca="1" ref="O9" ca="1">INDIRECT("'data'!$U$" &amp; $A$1)*parameters!$B$15</f>
        <v>135.24</v>
      </c>
      <c r="P9" s="13" cm="1">
        <f t="array" aca="1" ref="P9" ca="1">-INDIRECT("'data'!$V$" &amp; $A$1)*parameters!$B$15</f>
        <v>-2057.02</v>
      </c>
      <c r="Q9" s="16" cm="1">
        <f t="array" aca="1" ref="Q9" ca="1">INDIRECT("'data'!$T$" &amp; $A$1)*parameters!$B$15</f>
        <v>2663.64</v>
      </c>
      <c r="R9" s="16">
        <f t="shared" ca="1" si="2"/>
        <v>2663.64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7265.5025320056902</v>
      </c>
      <c r="L10" s="16">
        <f t="shared" ca="1" si="0"/>
        <v>7265.5025320056902</v>
      </c>
      <c r="M10" s="16"/>
      <c r="N10" s="16">
        <f t="shared" ca="1" si="3"/>
        <v>0</v>
      </c>
      <c r="O10" s="11" cm="1">
        <f t="array" aca="1" ref="O10" ca="1">INDIRECT("'data'!$X$" &amp; $A$1)*parameters!$B$15</f>
        <v>144.06</v>
      </c>
      <c r="P10" s="13" cm="1">
        <f t="array" aca="1" ref="P10" ca="1">-INDIRECT("'data'!$Y$" &amp; $A$1)*parameters!$B$15</f>
        <v>-5126.38</v>
      </c>
      <c r="Q10" s="16" cm="1">
        <f t="array" aca="1" ref="Q10" ca="1">INDIRECT("'data'!$W$" &amp; $A$1)*parameters!$B$15</f>
        <v>2283.1825320056901</v>
      </c>
      <c r="R10" s="16">
        <f t="shared" ca="1" si="2"/>
        <v>2283.1825320056905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13674.046977524893</v>
      </c>
      <c r="N11" s="19"/>
      <c r="O11" s="21" cm="1">
        <f t="array" aca="1" ref="O11" ca="1">INDIRECT("'data'!$Z$" &amp; $A$1)*parameters!$B$15</f>
        <v>1533.7</v>
      </c>
      <c r="P11" s="27" cm="1">
        <f t="array" aca="1" ref="P11" ca="1">-INDIRECT("'data'!$AA$" &amp; $A$1)*parameters!$B$15</f>
        <v>-4649.12</v>
      </c>
      <c r="Q11" s="16">
        <f ca="1">K9*parameters!$B$10+K10*parameters!$B$11</f>
        <v>10558.626977524893</v>
      </c>
      <c r="R11" s="16">
        <f t="shared" ref="R11:R17" ca="1" si="4">SUM(L11:P11)</f>
        <v>10558.626977524895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-4.4153889503874097</v>
      </c>
      <c r="E12" s="9">
        <f ca="1">-(E17-Q5)</f>
        <v>-295.03683247226172</v>
      </c>
      <c r="F12" s="9">
        <f ca="1">-(F17-Q6)</f>
        <v>0</v>
      </c>
      <c r="G12" s="9">
        <f ca="1">-(G17-Q7)</f>
        <v>-116.42440961337525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-415.87663103602438</v>
      </c>
      <c r="M12" s="17"/>
      <c r="N12" s="17"/>
      <c r="O12" s="10"/>
      <c r="P12" s="12"/>
      <c r="Q12" s="9">
        <f t="shared" ref="Q12:Q17" ca="1" si="6">SUM(L12:P12)</f>
        <v>-415.87663103602438</v>
      </c>
      <c r="R12" s="17">
        <f t="shared" ca="1" si="4"/>
        <v>-415.87663103602438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-748.37533024402956</v>
      </c>
      <c r="J13" s="14">
        <f ca="1">-(J17-Q10)</f>
        <v>-641.4821377502808</v>
      </c>
      <c r="K13" s="13">
        <f ca="1">-(K17-Q11)</f>
        <v>-1292.2955544807974</v>
      </c>
      <c r="L13" s="14">
        <f t="shared" ca="1" si="5"/>
        <v>-2682.1530224751077</v>
      </c>
      <c r="M13" s="16">
        <f ca="1">-E15</f>
        <v>0</v>
      </c>
      <c r="N13" s="16"/>
      <c r="O13" s="11"/>
      <c r="P13" s="13"/>
      <c r="Q13" s="14">
        <f t="shared" ca="1" si="6"/>
        <v>-2682.1530224751077</v>
      </c>
      <c r="R13" s="16">
        <f t="shared" ca="1" si="4"/>
        <v>-2682.1530224751077</v>
      </c>
    </row>
    <row r="14" spans="1:19">
      <c r="A14" s="18" t="s">
        <v>78</v>
      </c>
      <c r="B14" s="11"/>
      <c r="C14" s="14"/>
      <c r="D14" s="14"/>
      <c r="E14" s="14">
        <f ca="1">-(I13+J13)-K13</f>
        <v>2682.1530224751077</v>
      </c>
      <c r="F14" s="14"/>
      <c r="G14" s="14"/>
      <c r="H14" s="14"/>
      <c r="I14" s="14"/>
      <c r="J14" s="14"/>
      <c r="K14" s="13"/>
      <c r="L14" s="14">
        <f t="shared" ca="1" si="5"/>
        <v>2682.1530224751077</v>
      </c>
      <c r="M14" s="16"/>
      <c r="N14" s="16"/>
      <c r="O14" s="11"/>
      <c r="P14" s="13"/>
      <c r="Q14" s="14">
        <f t="shared" ca="1" si="6"/>
        <v>2682.1530224751077</v>
      </c>
      <c r="R14" s="16">
        <f t="shared" ca="1" si="4"/>
        <v>2682.1530224751077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2460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2460</v>
      </c>
      <c r="M16" s="19"/>
      <c r="N16" s="19"/>
      <c r="O16" s="21"/>
      <c r="P16" s="27"/>
      <c r="Q16" s="22">
        <f t="shared" ca="1" si="6"/>
        <v>2460</v>
      </c>
      <c r="R16" s="19">
        <f t="shared" ca="1" si="4"/>
        <v>2460</v>
      </c>
    </row>
    <row r="17" spans="1:18">
      <c r="A17" s="29" t="s">
        <v>88</v>
      </c>
      <c r="B17" s="9">
        <f ca="1">B16</f>
        <v>2460</v>
      </c>
      <c r="C17" s="9">
        <f ca="1">SUM(C$2:C$11)</f>
        <v>0</v>
      </c>
      <c r="D17" s="9">
        <f ca="1">SUM(D$2:D$11)</f>
        <v>700.85538895038746</v>
      </c>
      <c r="E17" s="9">
        <f ca="1">$Q$5/parameters!$B$4</f>
        <v>2682.1530224751077</v>
      </c>
      <c r="F17" s="9">
        <f t="shared" ref="F17:K17" ca="1" si="7">SUM(F$2:F$11)</f>
        <v>0</v>
      </c>
      <c r="G17" s="9">
        <f t="shared" ca="1" si="7"/>
        <v>2707.5444096133751</v>
      </c>
      <c r="H17" s="9">
        <f t="shared" ca="1" si="7"/>
        <v>2591.12</v>
      </c>
      <c r="I17" s="9">
        <f t="shared" ca="1" si="7"/>
        <v>3412.0153302440294</v>
      </c>
      <c r="J17" s="9">
        <f t="shared" ca="1" si="7"/>
        <v>2924.6646697559709</v>
      </c>
      <c r="K17" s="9">
        <f t="shared" ca="1" si="7"/>
        <v>11850.92253200569</v>
      </c>
      <c r="L17" s="17">
        <f t="shared" ca="1" si="5"/>
        <v>29329.275353044559</v>
      </c>
      <c r="M17" s="17"/>
      <c r="N17" s="17"/>
      <c r="O17" s="9"/>
      <c r="P17" s="14"/>
      <c r="Q17" s="11">
        <f t="shared" ca="1" si="6"/>
        <v>29329.275353044559</v>
      </c>
      <c r="R17" s="17">
        <f t="shared" ca="1" si="4"/>
        <v>29329.275353044559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0.78066472222136662</v>
      </c>
      <c r="J18" s="39">
        <f ca="1">I18</f>
        <v>0.78066472222136662</v>
      </c>
      <c r="K18" s="40">
        <f ca="1">1-(-K13)/K17</f>
        <v>0.89095401214625225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G3" sqref="G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3814.4258830632984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3814.4258830632984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-3814.4258830632984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3676.7761194029854</v>
      </c>
      <c r="G3" s="14">
        <f ca="1">Q3-O3-P3-F3</f>
        <v>261.98388059701438</v>
      </c>
      <c r="H3" s="14"/>
      <c r="I3" s="14"/>
      <c r="J3" s="14"/>
      <c r="K3" s="13"/>
      <c r="L3" s="16">
        <f t="shared" ca="1" si="0"/>
        <v>3938.7599999999998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-148.36499999999998</v>
      </c>
      <c r="Q3" s="16" cm="1">
        <f t="array" aca="1" ref="Q3" ca="1">INDIRECT("'data'!$G$" &amp; $A$1)*parameters!$B$13</f>
        <v>3790.395</v>
      </c>
      <c r="R3" s="16">
        <f t="shared" ref="R3:R10" ca="1" si="2">SUM(L3:P3)</f>
        <v>3790.395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919.19402985074635</v>
      </c>
      <c r="G5" s="14">
        <f ca="1">Q7/parameters!$B$7-(G3+G4)</f>
        <v>3374.3588571250339</v>
      </c>
      <c r="H5" s="14"/>
      <c r="I5" s="14"/>
      <c r="J5" s="14"/>
      <c r="K5" s="13"/>
      <c r="L5" s="16">
        <f t="shared" ca="1" si="0"/>
        <v>4293.55288697578</v>
      </c>
      <c r="M5" s="16"/>
      <c r="N5" s="16"/>
      <c r="O5" s="11" cm="1">
        <f t="array" aca="1" ref="O5" ca="1">INDIRECT("'data'!$M$" &amp; $A$1)*parameters!$B$15</f>
        <v>1870.82</v>
      </c>
      <c r="P5" s="13" cm="1">
        <f t="array" aca="1" ref="P5" ca="1">-INDIRECT("'data'!$N$" &amp; $A$1)*parameters!$B$15</f>
        <v>-496.86</v>
      </c>
      <c r="Q5" s="16">
        <f ca="1">SUM(L5:P5)</f>
        <v>5667.51288697578</v>
      </c>
      <c r="R5" s="16">
        <f t="shared" ca="1" si="2"/>
        <v>5667.51288697578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4311.0199999999995</v>
      </c>
      <c r="I6" s="14"/>
      <c r="J6" s="14"/>
      <c r="K6" s="13"/>
      <c r="L6" s="16">
        <f t="shared" ca="1" si="0"/>
        <v>4311.0199999999995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4311.0199999999995</v>
      </c>
      <c r="R6" s="16">
        <f t="shared" ca="1" si="2"/>
        <v>4311.0199999999995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3479.98</v>
      </c>
      <c r="I7" s="14"/>
      <c r="J7" s="14"/>
      <c r="K7" s="13"/>
      <c r="L7" s="16">
        <f t="shared" ca="1" si="0"/>
        <v>3479.98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3479.98</v>
      </c>
      <c r="R7" s="16">
        <f t="shared" ca="1" si="2"/>
        <v>3479.98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4967.8672604736748</v>
      </c>
      <c r="J8" s="14">
        <f ca="1">Q10/J18</f>
        <v>3046.5727395263248</v>
      </c>
      <c r="K8" s="13"/>
      <c r="L8" s="16">
        <f t="shared" ca="1" si="0"/>
        <v>8014.44</v>
      </c>
      <c r="M8" s="16"/>
      <c r="N8" s="16">
        <f t="shared" ca="1" si="3"/>
        <v>0</v>
      </c>
      <c r="O8" s="11" cm="1">
        <f t="array" aca="1" ref="O8" ca="1">INDIRECT("'data'!$R$" &amp; $A$1)*parameters!$B$15</f>
        <v>367.5</v>
      </c>
      <c r="P8" s="13" cm="1">
        <f t="array" aca="1" ref="P8" ca="1">-INDIRECT("'data'!$S$" &amp; $A$1)*parameters!$B$15</f>
        <v>-590.93999999999994</v>
      </c>
      <c r="Q8" s="16">
        <f ca="1">SUM(Q6:Q7)</f>
        <v>7791</v>
      </c>
      <c r="R8" s="16">
        <f t="shared" ca="1" si="2"/>
        <v>7790.9999999999991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3450.58</v>
      </c>
      <c r="L9" s="16">
        <f t="shared" ca="1" si="0"/>
        <v>3450.58</v>
      </c>
      <c r="M9" s="16"/>
      <c r="N9" s="16">
        <f t="shared" ca="1" si="3"/>
        <v>0</v>
      </c>
      <c r="O9" s="11" cm="1">
        <f t="array" aca="1" ref="O9" ca="1">INDIRECT("'data'!$U$" &amp; $A$1)*parameters!$B$15</f>
        <v>2704.7999999999997</v>
      </c>
      <c r="P9" s="13" cm="1">
        <f t="array" aca="1" ref="P9" ca="1">-INDIRECT("'data'!$V$" &amp; $A$1)*parameters!$B$15</f>
        <v>-1640.52</v>
      </c>
      <c r="Q9" s="16" cm="1">
        <f t="array" aca="1" ref="Q9" ca="1">INDIRECT("'data'!$T$" &amp; $A$1)*parameters!$B$15</f>
        <v>4514.8599999999997</v>
      </c>
      <c r="R9" s="16">
        <f t="shared" ca="1" si="2"/>
        <v>4514.8599999999988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6459.443470839261</v>
      </c>
      <c r="L10" s="16">
        <f t="shared" ca="1" si="0"/>
        <v>6459.443470839261</v>
      </c>
      <c r="M10" s="16"/>
      <c r="N10" s="16">
        <f t="shared" ca="1" si="3"/>
        <v>0</v>
      </c>
      <c r="O10" s="11" cm="1">
        <f t="array" aca="1" ref="O10" ca="1">INDIRECT("'data'!$X$" &amp; $A$1)*parameters!$B$15</f>
        <v>1292.6199999999999</v>
      </c>
      <c r="P10" s="13" cm="1">
        <f t="array" aca="1" ref="P10" ca="1">-INDIRECT("'data'!$Y$" &amp; $A$1)*parameters!$B$15</f>
        <v>-4983.3</v>
      </c>
      <c r="Q10" s="16" cm="1">
        <f t="array" aca="1" ref="Q10" ca="1">INDIRECT("'data'!$W$" &amp; $A$1)*parameters!$B$15</f>
        <v>2768.7634708392607</v>
      </c>
      <c r="R10" s="16">
        <f t="shared" ca="1" si="2"/>
        <v>2768.7634708392607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6436.8665849217641</v>
      </c>
      <c r="N11" s="19"/>
      <c r="O11" s="21" cm="1">
        <f t="array" aca="1" ref="O11" ca="1">INDIRECT("'data'!$Z$" &amp; $A$1)*parameters!$B$15</f>
        <v>8468.18</v>
      </c>
      <c r="P11" s="27" cm="1">
        <f t="array" aca="1" ref="P11" ca="1">-INDIRECT("'data'!$AA$" &amp; $A$1)*parameters!$B$15</f>
        <v>-6106.38</v>
      </c>
      <c r="Q11" s="16">
        <f ca="1">K9*parameters!$B$10+K10*parameters!$B$11</f>
        <v>8798.6665849217643</v>
      </c>
      <c r="R11" s="16">
        <f t="shared" ref="R11:R17" ca="1" si="4">SUM(L11:P11)</f>
        <v>8798.6665849217643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-24.030883063298461</v>
      </c>
      <c r="D12" s="9">
        <f ca="1">-(D17-Q4)</f>
        <v>0</v>
      </c>
      <c r="E12" s="9">
        <f ca="1">-(E17-Q5)</f>
        <v>-700.47912086217457</v>
      </c>
      <c r="F12" s="9">
        <f ca="1">-(F17-Q6)</f>
        <v>-284.95014925373198</v>
      </c>
      <c r="G12" s="9">
        <f ca="1">-(G17-Q7)</f>
        <v>-156.36273772204822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-1165.8228909012532</v>
      </c>
      <c r="M12" s="17"/>
      <c r="N12" s="17"/>
      <c r="O12" s="10"/>
      <c r="P12" s="12"/>
      <c r="Q12" s="9">
        <f t="shared" ref="Q12:Q17" ca="1" si="6">SUM(L12:P12)</f>
        <v>-1165.8228909012532</v>
      </c>
      <c r="R12" s="17">
        <f t="shared" ca="1" si="4"/>
        <v>-1165.8228909012532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-453.00726047367516</v>
      </c>
      <c r="J13" s="14">
        <f ca="1">-(J17-Q10)</f>
        <v>-277.8092686870641</v>
      </c>
      <c r="K13" s="13">
        <f ca="1">-(K17-Q11)</f>
        <v>-1111.3568859174957</v>
      </c>
      <c r="L13" s="14">
        <f t="shared" ca="1" si="5"/>
        <v>-1842.1734150782349</v>
      </c>
      <c r="M13" s="16">
        <f ca="1">-E15</f>
        <v>-4525.8185927597196</v>
      </c>
      <c r="N13" s="16"/>
      <c r="O13" s="11"/>
      <c r="P13" s="13"/>
      <c r="Q13" s="14">
        <f t="shared" ca="1" si="6"/>
        <v>-6367.9920078379546</v>
      </c>
      <c r="R13" s="16">
        <f t="shared" ca="1" si="4"/>
        <v>-6367.9920078379546</v>
      </c>
    </row>
    <row r="14" spans="1:20">
      <c r="A14" s="18" t="s">
        <v>78</v>
      </c>
      <c r="B14" s="11"/>
      <c r="C14" s="14"/>
      <c r="D14" s="14"/>
      <c r="E14" s="14">
        <f ca="1">-(I13+J13)-K13</f>
        <v>1842.1734150782349</v>
      </c>
      <c r="F14" s="14"/>
      <c r="G14" s="14"/>
      <c r="H14" s="14"/>
      <c r="I14" s="14"/>
      <c r="J14" s="14"/>
      <c r="K14" s="13"/>
      <c r="L14" s="14">
        <f t="shared" ca="1" si="5"/>
        <v>1842.1734150782349</v>
      </c>
      <c r="M14" s="16"/>
      <c r="N14" s="16"/>
      <c r="O14" s="11"/>
      <c r="P14" s="13"/>
      <c r="Q14" s="14">
        <f t="shared" ca="1" si="6"/>
        <v>1842.1734150782349</v>
      </c>
      <c r="R14" s="16">
        <f t="shared" ca="1" si="4"/>
        <v>1842.1734150782349</v>
      </c>
    </row>
    <row r="15" spans="1:20">
      <c r="A15" s="18" t="s">
        <v>79</v>
      </c>
      <c r="B15" s="11"/>
      <c r="C15" s="14"/>
      <c r="D15" s="14"/>
      <c r="E15" s="14">
        <f ca="1">E17-E14</f>
        <v>4525.8185927597196</v>
      </c>
      <c r="F15" s="14"/>
      <c r="G15" s="14"/>
      <c r="H15" s="14"/>
      <c r="I15" s="14"/>
      <c r="J15" s="14"/>
      <c r="K15" s="13"/>
      <c r="L15" s="14">
        <f t="shared" ca="1" si="5"/>
        <v>4525.8185927597196</v>
      </c>
      <c r="M15" s="16"/>
      <c r="N15" s="16"/>
      <c r="O15" s="11"/>
      <c r="P15" s="13"/>
      <c r="Q15" s="14">
        <f t="shared" ca="1" si="6"/>
        <v>4525.8185927597196</v>
      </c>
      <c r="R15" s="16">
        <f t="shared" ca="1" si="4"/>
        <v>4525.8185927597196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3814.4258830632984</v>
      </c>
      <c r="D17" s="9">
        <f ca="1">SUM(D$2:D$11)</f>
        <v>0</v>
      </c>
      <c r="E17" s="9">
        <f ca="1">$Q$5/parameters!$B$4</f>
        <v>6367.9920078379546</v>
      </c>
      <c r="F17" s="9">
        <f t="shared" ref="F17:K17" ca="1" si="7">SUM(F$2:F$11)</f>
        <v>4595.9701492537315</v>
      </c>
      <c r="G17" s="9">
        <f t="shared" ca="1" si="7"/>
        <v>3636.3427377220482</v>
      </c>
      <c r="H17" s="9">
        <f t="shared" ca="1" si="7"/>
        <v>7791</v>
      </c>
      <c r="I17" s="9">
        <f t="shared" ca="1" si="7"/>
        <v>4967.8672604736748</v>
      </c>
      <c r="J17" s="9">
        <f t="shared" ca="1" si="7"/>
        <v>3046.5727395263248</v>
      </c>
      <c r="K17" s="9">
        <f t="shared" ca="1" si="7"/>
        <v>9910.02347083926</v>
      </c>
      <c r="L17" s="17">
        <f t="shared" ca="1" si="5"/>
        <v>44130.194248716296</v>
      </c>
      <c r="M17" s="17"/>
      <c r="N17" s="17"/>
      <c r="O17" s="9"/>
      <c r="P17" s="14"/>
      <c r="Q17" s="11">
        <f t="shared" ca="1" si="6"/>
        <v>44130.194248716296</v>
      </c>
      <c r="R17" s="17">
        <f t="shared" ca="1" si="4"/>
        <v>44130.194248716296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0.90881252724323358</v>
      </c>
      <c r="J18" s="39">
        <f ca="1">I18</f>
        <v>0.90881252724323358</v>
      </c>
      <c r="K18" s="40">
        <f ca="1">1-(-K13)/K17</f>
        <v>0.8878552720699685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523.04518466337925</v>
      </c>
      <c r="D2" s="9">
        <f ca="1">Q4/parameters!$B$3</f>
        <v>3177.457985307437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3700.5031699708161</v>
      </c>
      <c r="M2" s="17"/>
      <c r="N2" s="17">
        <f ca="1">Q2-(L2+O2+P2)</f>
        <v>0</v>
      </c>
      <c r="O2" s="11" cm="1">
        <f t="array" aca="1" ref="O2" ca="1">INDIRECT("'data'!$F$" &amp; $A$1)</f>
        <v>80.600000000000009</v>
      </c>
      <c r="P2" s="13">
        <f ca="1">IF(-(L2-Q2+O2)&lt;0, -(L2-Q2+O2), 0)</f>
        <v>-1821.103169970816</v>
      </c>
      <c r="Q2" s="17" cm="1">
        <f t="array" aca="1" ref="Q2" ca="1">INDIRECT("'data'!$D$" &amp; $A$1)</f>
        <v>1960</v>
      </c>
      <c r="R2" s="17">
        <f ca="1">SUM(L2:P2)</f>
        <v>1960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451.34328358208961</v>
      </c>
      <c r="G3" s="14">
        <f ca="1">Q3-O3-P3-F3</f>
        <v>124.16171641791038</v>
      </c>
      <c r="H3" s="14"/>
      <c r="I3" s="14"/>
      <c r="J3" s="14"/>
      <c r="K3" s="13"/>
      <c r="L3" s="16">
        <f t="shared" ca="1" si="0"/>
        <v>575.505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-55.754999999999995</v>
      </c>
      <c r="Q3" s="16" cm="1">
        <f t="array" aca="1" ref="Q3" ca="1">INDIRECT("'data'!$G$" &amp; $A$1)*parameters!$B$13</f>
        <v>519.75</v>
      </c>
      <c r="R3" s="16">
        <f t="shared" ref="R3:R10" ca="1" si="2">SUM(L3:P3)</f>
        <v>519.75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1589.7238775140895</v>
      </c>
      <c r="H4" s="14"/>
      <c r="I4" s="14"/>
      <c r="J4" s="14"/>
      <c r="K4" s="13"/>
      <c r="L4" s="16">
        <f t="shared" ca="1" si="0"/>
        <v>1589.7238775140895</v>
      </c>
      <c r="M4" s="16"/>
      <c r="N4" s="16">
        <f t="shared" ca="1" si="1"/>
        <v>1646.8361224859104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-79.12</v>
      </c>
      <c r="Q4" s="16" cm="1">
        <f t="array" aca="1" ref="Q4" ca="1">INDIRECT("'data'!$J$" &amp; $A$1)*parameters!$B$14</f>
        <v>3157.44</v>
      </c>
      <c r="R4" s="16">
        <f t="shared" ca="1" si="2"/>
        <v>3157.44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112.8358208955224</v>
      </c>
      <c r="G5" s="38">
        <f ca="1">E14*parameters!$B$4-O5-P5-F5</f>
        <v>4650.4822221599543</v>
      </c>
      <c r="H5" s="14"/>
      <c r="I5" s="14"/>
      <c r="J5" s="14"/>
      <c r="K5" s="13"/>
      <c r="L5" s="16">
        <f t="shared" ca="1" si="0"/>
        <v>4763.3180430554767</v>
      </c>
      <c r="M5" s="16"/>
      <c r="N5" s="16"/>
      <c r="O5" s="11" cm="1">
        <f t="array" aca="1" ref="O5" ca="1">INDIRECT("'data'!$M$" &amp; $A$1)*parameters!$B$15</f>
        <v>29.4</v>
      </c>
      <c r="P5" s="13" cm="1">
        <f t="array" aca="1" ref="P5" ca="1">-INDIRECT("'data'!$N$" &amp; $A$1)*parameters!$B$15</f>
        <v>-2833.18</v>
      </c>
      <c r="Q5" s="16">
        <f ca="1">SUM(L5:P5)</f>
        <v>1959.5380430554765</v>
      </c>
      <c r="R5" s="16">
        <f t="shared" ca="1" si="2"/>
        <v>1959.5380430554765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529.20000000000005</v>
      </c>
      <c r="I6" s="14"/>
      <c r="J6" s="14"/>
      <c r="K6" s="13"/>
      <c r="L6" s="16">
        <f t="shared" ca="1" si="0"/>
        <v>529.20000000000005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529.20000000000005</v>
      </c>
      <c r="R6" s="16">
        <f t="shared" ca="1" si="2"/>
        <v>529.20000000000005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6090.7</v>
      </c>
      <c r="I7" s="14"/>
      <c r="J7" s="14"/>
      <c r="K7" s="13"/>
      <c r="L7" s="16">
        <f t="shared" ca="1" si="0"/>
        <v>6090.7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6090.7</v>
      </c>
      <c r="R7" s="16">
        <f t="shared" ca="1" si="2"/>
        <v>6090.7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7735.2339755518569</v>
      </c>
      <c r="J8" s="14">
        <f ca="1">Q10/J18</f>
        <v>1257.2460244481424</v>
      </c>
      <c r="K8" s="13"/>
      <c r="L8" s="16">
        <f t="shared" ca="1" si="0"/>
        <v>8992.48</v>
      </c>
      <c r="M8" s="16"/>
      <c r="N8" s="16">
        <f t="shared" ca="1" si="3"/>
        <v>0</v>
      </c>
      <c r="O8" s="11" cm="1">
        <f t="array" aca="1" ref="O8" ca="1">INDIRECT("'data'!$R$" &amp; $A$1)*parameters!$B$15</f>
        <v>177.38</v>
      </c>
      <c r="P8" s="13" cm="1">
        <f t="array" aca="1" ref="P8" ca="1">-INDIRECT("'data'!$S$" &amp; $A$1)*parameters!$B$15</f>
        <v>-2549.96</v>
      </c>
      <c r="Q8" s="16">
        <f ca="1">SUM(Q6:Q7)</f>
        <v>6619.9</v>
      </c>
      <c r="R8" s="16">
        <f t="shared" ca="1" si="2"/>
        <v>6619.8999999999987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6098.5399999999991</v>
      </c>
      <c r="L9" s="16">
        <f t="shared" ca="1" si="0"/>
        <v>6098.5399999999991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583.1</v>
      </c>
      <c r="P9" s="13" cm="1">
        <f t="array" aca="1" ref="P9" ca="1">-INDIRECT("'data'!$V$" &amp; $A$1)*parameters!$B$15</f>
        <v>-437.08</v>
      </c>
      <c r="Q9" s="16" cm="1">
        <f t="array" aca="1" ref="Q9" ca="1">INDIRECT("'data'!$T$" &amp; $A$1)*parameters!$B$15</f>
        <v>6244.5599999999995</v>
      </c>
      <c r="R9" s="16">
        <f t="shared" ca="1" si="2"/>
        <v>6244.5599999999995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734.67937411095295</v>
      </c>
      <c r="L10" s="16">
        <f t="shared" ca="1" si="0"/>
        <v>734.67937411095295</v>
      </c>
      <c r="M10" s="16"/>
      <c r="N10" s="16">
        <f t="shared" ca="1" si="3"/>
        <v>0</v>
      </c>
      <c r="O10" s="11" cm="1">
        <f t="array" aca="1" ref="O10" ca="1">INDIRECT("'data'!$X$" &amp; $A$1)*parameters!$B$15</f>
        <v>1118.18</v>
      </c>
      <c r="P10" s="13" cm="1">
        <f t="array" aca="1" ref="P10" ca="1">-INDIRECT("'data'!$Y$" &amp; $A$1)*parameters!$B$15</f>
        <v>-837.9</v>
      </c>
      <c r="Q10" s="16" cm="1">
        <f t="array" aca="1" ref="Q10" ca="1">INDIRECT("'data'!$W$" &amp; $A$1)*parameters!$B$15</f>
        <v>1014.959374110953</v>
      </c>
      <c r="R10" s="16">
        <f t="shared" ca="1" si="2"/>
        <v>1014.959374110953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7174.9118617354188</v>
      </c>
      <c r="N11" s="19"/>
      <c r="O11" s="21" cm="1">
        <f t="array" aca="1" ref="O11" ca="1">INDIRECT("'data'!$Z$" &amp; $A$1)*parameters!$B$15</f>
        <v>218.54</v>
      </c>
      <c r="P11" s="27" cm="1">
        <f t="array" aca="1" ref="P11" ca="1">-INDIRECT("'data'!$AA$" &amp; $A$1)*parameters!$B$15</f>
        <v>-1029</v>
      </c>
      <c r="Q11" s="16">
        <f ca="1">K9*parameters!$B$10+K10*parameters!$B$11</f>
        <v>6364.4518617354188</v>
      </c>
      <c r="R11" s="16">
        <f t="shared" ref="R11:R17" ca="1" si="4">SUM(L11:P11)</f>
        <v>6364.4518617354188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-3.2951846633792456</v>
      </c>
      <c r="D12" s="9">
        <f ca="1">-(D17-Q4)</f>
        <v>-20.017985307436902</v>
      </c>
      <c r="E12" s="9">
        <f ca="1">-(E17-Q5)</f>
        <v>-242.19009520910367</v>
      </c>
      <c r="F12" s="9">
        <f ca="1">-(F17-Q6)</f>
        <v>-34.979104477611941</v>
      </c>
      <c r="G12" s="9">
        <f ca="1">-(G17-Q7)</f>
        <v>-273.66781609195459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-574.15018574948635</v>
      </c>
      <c r="M12" s="17"/>
      <c r="N12" s="17"/>
      <c r="O12" s="10"/>
      <c r="P12" s="12"/>
      <c r="Q12" s="9">
        <f t="shared" ref="Q12:Q17" ca="1" si="6">SUM(L12:P12)</f>
        <v>-574.15018574948635</v>
      </c>
      <c r="R12" s="17">
        <f t="shared" ca="1" si="4"/>
        <v>-574.15018574948635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-1490.6739755518574</v>
      </c>
      <c r="J13" s="14">
        <f ca="1">-(J17-Q10)</f>
        <v>-242.28665033718937</v>
      </c>
      <c r="K13" s="13">
        <f ca="1">-(K17-Q11)</f>
        <v>-468.76751237553344</v>
      </c>
      <c r="L13" s="14">
        <f t="shared" ca="1" si="5"/>
        <v>-2201.7281382645801</v>
      </c>
      <c r="M13" s="16">
        <f ca="1">-E15</f>
        <v>0</v>
      </c>
      <c r="N13" s="16"/>
      <c r="O13" s="11"/>
      <c r="P13" s="13"/>
      <c r="Q13" s="14">
        <f t="shared" ca="1" si="6"/>
        <v>-2201.7281382645801</v>
      </c>
      <c r="R13" s="16">
        <f t="shared" ca="1" si="4"/>
        <v>-2201.7281382645801</v>
      </c>
    </row>
    <row r="14" spans="1:20">
      <c r="A14" s="18" t="s">
        <v>78</v>
      </c>
      <c r="B14" s="11"/>
      <c r="C14" s="14"/>
      <c r="D14" s="14"/>
      <c r="E14" s="14">
        <f ca="1">-(I13+J13)-K13</f>
        <v>2201.7281382645801</v>
      </c>
      <c r="F14" s="14"/>
      <c r="G14" s="14"/>
      <c r="H14" s="14"/>
      <c r="I14" s="14"/>
      <c r="J14" s="14"/>
      <c r="K14" s="13"/>
      <c r="L14" s="14">
        <f t="shared" ca="1" si="5"/>
        <v>2201.7281382645801</v>
      </c>
      <c r="M14" s="16"/>
      <c r="N14" s="16"/>
      <c r="O14" s="11"/>
      <c r="P14" s="13"/>
      <c r="Q14" s="14">
        <f t="shared" ca="1" si="6"/>
        <v>2201.7281382645801</v>
      </c>
      <c r="R14" s="16">
        <f t="shared" ca="1" si="4"/>
        <v>2201.7281382645801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1960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1960</v>
      </c>
      <c r="M16" s="19"/>
      <c r="N16" s="19"/>
      <c r="O16" s="21"/>
      <c r="P16" s="27"/>
      <c r="Q16" s="22">
        <f t="shared" ca="1" si="6"/>
        <v>1960</v>
      </c>
      <c r="R16" s="19">
        <f t="shared" ca="1" si="4"/>
        <v>1960</v>
      </c>
    </row>
    <row r="17" spans="1:18">
      <c r="A17" s="29" t="s">
        <v>88</v>
      </c>
      <c r="B17" s="9">
        <f ca="1">B16</f>
        <v>1960</v>
      </c>
      <c r="C17" s="9">
        <f ca="1">SUM(C$2:C$11)</f>
        <v>523.04518466337925</v>
      </c>
      <c r="D17" s="9">
        <f ca="1">SUM(D$2:D$11)</f>
        <v>3177.457985307437</v>
      </c>
      <c r="E17" s="9">
        <f ca="1">$Q$5/parameters!$B$4</f>
        <v>2201.7281382645801</v>
      </c>
      <c r="F17" s="9">
        <f t="shared" ref="F17:K17" ca="1" si="7">SUM(F$2:F$11)</f>
        <v>564.17910447761199</v>
      </c>
      <c r="G17" s="9">
        <f t="shared" ca="1" si="7"/>
        <v>6364.3678160919544</v>
      </c>
      <c r="H17" s="9">
        <f t="shared" ca="1" si="7"/>
        <v>6619.9</v>
      </c>
      <c r="I17" s="9">
        <f t="shared" ca="1" si="7"/>
        <v>7735.2339755518569</v>
      </c>
      <c r="J17" s="9">
        <f t="shared" ca="1" si="7"/>
        <v>1257.2460244481424</v>
      </c>
      <c r="K17" s="9">
        <f t="shared" ca="1" si="7"/>
        <v>6833.2193741109522</v>
      </c>
      <c r="L17" s="17">
        <f t="shared" ca="1" si="5"/>
        <v>37236.377602915913</v>
      </c>
      <c r="M17" s="17"/>
      <c r="N17" s="17"/>
      <c r="O17" s="9"/>
      <c r="P17" s="14"/>
      <c r="Q17" s="11">
        <f t="shared" ca="1" si="6"/>
        <v>37236.377602915913</v>
      </c>
      <c r="R17" s="17">
        <f t="shared" ca="1" si="4"/>
        <v>37236.377602915913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0.80728779759431801</v>
      </c>
      <c r="J18" s="39">
        <f ca="1">I18</f>
        <v>0.80728779759431801</v>
      </c>
      <c r="K18" s="40">
        <f ca="1">1-(-K13)/K17</f>
        <v>0.9313987321771704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3859.9380553587953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3859.9380553587953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-3859.9380553587953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72.765000000000001</v>
      </c>
      <c r="H3" s="14"/>
      <c r="I3" s="14"/>
      <c r="J3" s="14"/>
      <c r="K3" s="13"/>
      <c r="L3" s="16">
        <f t="shared" ca="1" si="0"/>
        <v>72.765000000000001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-72.765000000000001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3878.8604456100347</v>
      </c>
      <c r="H4" s="14"/>
      <c r="I4" s="14"/>
      <c r="J4" s="14"/>
      <c r="K4" s="13"/>
      <c r="L4" s="16">
        <f t="shared" ca="1" si="0"/>
        <v>3878.8604456100347</v>
      </c>
      <c r="M4" s="16"/>
      <c r="N4" s="16">
        <f t="shared" ca="1" si="1"/>
        <v>0</v>
      </c>
      <c r="O4" s="11" cm="1">
        <f t="array" aca="1" ref="O4" ca="1">INDIRECT("'data'!$K$" &amp; $A$1)*parameters!$B$14</f>
        <v>30.360000000000003</v>
      </c>
      <c r="P4" s="13" cm="1">
        <f t="array" aca="1" ref="P4" ca="1">-INDIRECT("'data'!$L$" &amp; $A$1)*parameters!$B$14</f>
        <v>-73.600000000000009</v>
      </c>
      <c r="Q4" s="16" cm="1">
        <f t="array" aca="1" ref="Q4" ca="1">INDIRECT("'data'!$J$" &amp; $A$1)*parameters!$B$14</f>
        <v>3835.6204456100349</v>
      </c>
      <c r="R4" s="16">
        <f t="shared" ca="1" si="2"/>
        <v>3835.6204456100349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1650.8614927389731</v>
      </c>
      <c r="H5" s="14"/>
      <c r="I5" s="14"/>
      <c r="J5" s="14"/>
      <c r="K5" s="13"/>
      <c r="L5" s="16">
        <f t="shared" ca="1" si="0"/>
        <v>1650.8614927389731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1650.8614927389731</v>
      </c>
      <c r="R5" s="16">
        <f t="shared" ca="1" si="2"/>
        <v>1650.8614927389731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5361.58</v>
      </c>
      <c r="I7" s="14"/>
      <c r="J7" s="14"/>
      <c r="K7" s="13"/>
      <c r="L7" s="16">
        <f t="shared" ca="1" si="0"/>
        <v>5361.58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5361.58</v>
      </c>
      <c r="R7" s="16">
        <f t="shared" ca="1" si="2"/>
        <v>5361.58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2900</v>
      </c>
      <c r="J8" s="14">
        <f ca="1">Q10/J18</f>
        <v>1943.1009957325746</v>
      </c>
      <c r="K8" s="13"/>
      <c r="L8" s="16">
        <f t="shared" ca="1" si="0"/>
        <v>4843.100995732575</v>
      </c>
      <c r="M8" s="16"/>
      <c r="N8" s="16">
        <f t="shared" ca="1" si="3"/>
        <v>2372.6390042674248</v>
      </c>
      <c r="O8" s="11" cm="1">
        <f t="array" aca="1" ref="O8" ca="1">INDIRECT("'data'!$R$" &amp; $A$1)*parameters!$B$15</f>
        <v>68.599999999999994</v>
      </c>
      <c r="P8" s="13" cm="1">
        <f t="array" aca="1" ref="P8" ca="1">-INDIRECT("'data'!$S$" &amp; $A$1)*parameters!$B$15</f>
        <v>-1922.76</v>
      </c>
      <c r="Q8" s="16">
        <f ca="1">SUM(Q6:Q7)</f>
        <v>5361.58</v>
      </c>
      <c r="R8" s="16">
        <f t="shared" ca="1" si="2"/>
        <v>5361.58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4411.96</v>
      </c>
      <c r="L9" s="16">
        <f t="shared" ca="1" si="0"/>
        <v>4411.96</v>
      </c>
      <c r="M9" s="16"/>
      <c r="N9" s="16">
        <f t="shared" ca="1" si="3"/>
        <v>0</v>
      </c>
      <c r="O9" s="11" cm="1">
        <f t="array" aca="1" ref="O9" ca="1">INDIRECT("'data'!$U$" &amp; $A$1)*parameters!$B$15</f>
        <v>1.96</v>
      </c>
      <c r="P9" s="13" cm="1">
        <f t="array" aca="1" ref="P9" ca="1">-INDIRECT("'data'!$V$" &amp; $A$1)*parameters!$B$15</f>
        <v>-1571.92</v>
      </c>
      <c r="Q9" s="16" cm="1">
        <f t="array" aca="1" ref="Q9" ca="1">INDIRECT("'data'!$T$" &amp; $A$1)*parameters!$B$15</f>
        <v>2842</v>
      </c>
      <c r="R9" s="16">
        <f t="shared" ca="1" si="2"/>
        <v>2842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3872.078975817923</v>
      </c>
      <c r="L10" s="16">
        <f t="shared" ca="1" si="0"/>
        <v>3872.078975817923</v>
      </c>
      <c r="M10" s="16"/>
      <c r="N10" s="16">
        <f t="shared" ca="1" si="3"/>
        <v>0</v>
      </c>
      <c r="O10" s="11" cm="1">
        <f t="array" aca="1" ref="O10" ca="1">INDIRECT("'data'!$X$" &amp; $A$1)*parameters!$B$15</f>
        <v>47.04</v>
      </c>
      <c r="P10" s="13" cm="1">
        <f t="array" aca="1" ref="P10" ca="1">-INDIRECT("'data'!$Y$" &amp; $A$1)*parameters!$B$15</f>
        <v>-2014.8799999999999</v>
      </c>
      <c r="Q10" s="16" cm="1">
        <f t="array" aca="1" ref="Q10" ca="1">INDIRECT("'data'!$W$" &amp; $A$1)*parameters!$B$15</f>
        <v>1904.2389758179231</v>
      </c>
      <c r="R10" s="16">
        <f t="shared" ca="1" si="2"/>
        <v>1904.2389758179231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12475.230319203414</v>
      </c>
      <c r="N11" s="19"/>
      <c r="O11" s="21" cm="1">
        <f t="array" aca="1" ref="O11" ca="1">INDIRECT("'data'!$Z$" &amp; $A$1)*parameters!$B$15</f>
        <v>714.42</v>
      </c>
      <c r="P11" s="27" cm="1">
        <f t="array" aca="1" ref="P11" ca="1">-INDIRECT("'data'!$AA$" &amp; $A$1)*parameters!$B$15</f>
        <v>-5712.42</v>
      </c>
      <c r="Q11" s="16">
        <f ca="1">K9*parameters!$B$10+K10*parameters!$B$11</f>
        <v>7477.2303192034142</v>
      </c>
      <c r="R11" s="16">
        <f t="shared" ref="R11:R17" ca="1" si="4">SUM(L11:P11)</f>
        <v>7477.2303192034142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-24.317609748760333</v>
      </c>
      <c r="E12" s="9">
        <f ca="1">-(E17-Q5)</f>
        <v>-204.03906090032251</v>
      </c>
      <c r="F12" s="9">
        <f ca="1">-(F17-Q6)</f>
        <v>0</v>
      </c>
      <c r="G12" s="9">
        <f ca="1">-(G17-Q7)</f>
        <v>-240.90693834900776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-469.2636089980906</v>
      </c>
      <c r="M12" s="17"/>
      <c r="N12" s="17"/>
      <c r="O12" s="10"/>
      <c r="P12" s="12"/>
      <c r="Q12" s="9">
        <f t="shared" ref="Q12:Q17" ca="1" si="6">SUM(L12:P12)</f>
        <v>-469.2636089980906</v>
      </c>
      <c r="R12" s="17">
        <f t="shared" ca="1" si="4"/>
        <v>-469.2636089980906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</v>
      </c>
      <c r="J13" s="14">
        <f ca="1">-(J17-Q10)</f>
        <v>-38.862019914651455</v>
      </c>
      <c r="K13" s="13">
        <f ca="1">-(K17-Q11)</f>
        <v>-806.80865661450844</v>
      </c>
      <c r="L13" s="14">
        <f t="shared" ca="1" si="5"/>
        <v>-903.67067652915989</v>
      </c>
      <c r="M13" s="16">
        <f ca="1">-E15</f>
        <v>-951.2298771101357</v>
      </c>
      <c r="N13" s="16"/>
      <c r="O13" s="11"/>
      <c r="P13" s="13"/>
      <c r="Q13" s="14">
        <f t="shared" ca="1" si="6"/>
        <v>-1854.9005536392956</v>
      </c>
      <c r="R13" s="16">
        <f t="shared" ca="1" si="4"/>
        <v>-1854.9005536392956</v>
      </c>
    </row>
    <row r="14" spans="1:22">
      <c r="A14" s="18" t="s">
        <v>78</v>
      </c>
      <c r="B14" s="11"/>
      <c r="C14" s="14"/>
      <c r="D14" s="14"/>
      <c r="E14" s="14">
        <f ca="1">-(I13+J13)-K13</f>
        <v>903.67067652915989</v>
      </c>
      <c r="F14" s="14"/>
      <c r="G14" s="14"/>
      <c r="H14" s="14"/>
      <c r="I14" s="14"/>
      <c r="J14" s="14"/>
      <c r="K14" s="13"/>
      <c r="L14" s="14">
        <f t="shared" ca="1" si="5"/>
        <v>903.67067652915989</v>
      </c>
      <c r="M14" s="16"/>
      <c r="N14" s="16"/>
      <c r="O14" s="11"/>
      <c r="P14" s="13"/>
      <c r="Q14" s="14">
        <f t="shared" ca="1" si="6"/>
        <v>903.67067652915989</v>
      </c>
      <c r="R14" s="16">
        <f t="shared" ca="1" si="4"/>
        <v>903.67067652915989</v>
      </c>
    </row>
    <row r="15" spans="1:22">
      <c r="A15" s="18" t="s">
        <v>79</v>
      </c>
      <c r="B15" s="11"/>
      <c r="C15" s="14"/>
      <c r="D15" s="14"/>
      <c r="E15" s="14">
        <f ca="1">E17-E14</f>
        <v>951.2298771101357</v>
      </c>
      <c r="F15" s="14"/>
      <c r="G15" s="14"/>
      <c r="H15" s="14"/>
      <c r="I15" s="14"/>
      <c r="J15" s="14"/>
      <c r="K15" s="13"/>
      <c r="L15" s="14">
        <f t="shared" ca="1" si="5"/>
        <v>951.2298771101357</v>
      </c>
      <c r="M15" s="16"/>
      <c r="N15" s="16"/>
      <c r="O15" s="11"/>
      <c r="P15" s="13"/>
      <c r="Q15" s="14">
        <f t="shared" ca="1" si="6"/>
        <v>951.2298771101357</v>
      </c>
      <c r="R15" s="16">
        <f t="shared" ca="1" si="4"/>
        <v>951.2298771101357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3859.9380553587953</v>
      </c>
      <c r="E17" s="9">
        <f ca="1">$Q$5/parameters!$B$4</f>
        <v>1854.9005536392956</v>
      </c>
      <c r="F17" s="9">
        <f t="shared" ref="F17:K17" ca="1" si="7">SUM(F$2:F$11)</f>
        <v>0</v>
      </c>
      <c r="G17" s="9">
        <f t="shared" ca="1" si="7"/>
        <v>5602.4869383490077</v>
      </c>
      <c r="H17" s="9">
        <f t="shared" ca="1" si="7"/>
        <v>5361.58</v>
      </c>
      <c r="I17" s="9">
        <f t="shared" ca="1" si="7"/>
        <v>2900</v>
      </c>
      <c r="J17" s="9">
        <f t="shared" ca="1" si="7"/>
        <v>1943.1009957325746</v>
      </c>
      <c r="K17" s="9">
        <f t="shared" ca="1" si="7"/>
        <v>8284.0389758179226</v>
      </c>
      <c r="L17" s="17">
        <f t="shared" ca="1" si="5"/>
        <v>29806.045518897594</v>
      </c>
      <c r="M17" s="17"/>
      <c r="N17" s="17"/>
      <c r="O17" s="9"/>
      <c r="P17" s="14"/>
      <c r="Q17" s="11">
        <f t="shared" ca="1" si="6"/>
        <v>29806.045518897594</v>
      </c>
      <c r="R17" s="17">
        <f t="shared" ca="1" si="4"/>
        <v>29806.045518897594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0.90260684927127011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5850.4981382711076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5850.4981382711076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-5107.4981382711076</v>
      </c>
      <c r="Q2" s="17" cm="1">
        <f t="array" aca="1" ref="Q2" ca="1">INDIRECT("'data'!$D$" &amp; $A$1)</f>
        <v>743</v>
      </c>
      <c r="R2" s="17">
        <f ca="1">SUM(L2:P2)</f>
        <v>743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5786.8895522388066</v>
      </c>
      <c r="G3" s="14">
        <f ca="1">Q3-O3-P3-F3</f>
        <v>45.650447761193391</v>
      </c>
      <c r="H3" s="14"/>
      <c r="I3" s="14"/>
      <c r="J3" s="14"/>
      <c r="K3" s="13"/>
      <c r="L3" s="16">
        <f t="shared" ca="1" si="0"/>
        <v>5832.54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-19.844999999999999</v>
      </c>
      <c r="Q3" s="16" cm="1">
        <f t="array" aca="1" ref="Q3" ca="1">INDIRECT("'data'!$G$" &amp; $A$1)*parameters!$B$13</f>
        <v>5813.6399999999994</v>
      </c>
      <c r="R3" s="16">
        <f t="shared" ref="R3:R10" ca="1" si="2">SUM(L3:P3)</f>
        <v>5813.6399999999994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34.04</v>
      </c>
      <c r="H4" s="14"/>
      <c r="I4" s="14"/>
      <c r="J4" s="14"/>
      <c r="K4" s="13"/>
      <c r="L4" s="16">
        <f t="shared" ca="1" si="0"/>
        <v>34.04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-34.04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Q6/parameters!$B$5*24%</f>
        <v>1827.4388059701491</v>
      </c>
      <c r="G5" s="14">
        <f ca="1">Q7/parameters!$B$7-(G3+G4)</f>
        <v>600.26775495563015</v>
      </c>
      <c r="H5" s="14"/>
      <c r="I5" s="14"/>
      <c r="J5" s="14"/>
      <c r="K5" s="13"/>
      <c r="L5" s="16">
        <f t="shared" ca="1" si="0"/>
        <v>2427.7065609257793</v>
      </c>
      <c r="M5" s="16"/>
      <c r="N5" s="16"/>
      <c r="O5" s="11" cm="1">
        <f t="array" aca="1" ref="O5" ca="1">INDIRECT("'data'!$M$" &amp; $A$1)*parameters!$B$15</f>
        <v>979.02</v>
      </c>
      <c r="P5" s="13" cm="1">
        <f t="array" aca="1" ref="P5" ca="1">-INDIRECT("'data'!$N$" &amp; $A$1)*parameters!$B$15</f>
        <v>-1118.18</v>
      </c>
      <c r="Q5" s="16">
        <f ca="1">SUM(L5:P5)</f>
        <v>2288.546560925779</v>
      </c>
      <c r="R5" s="16">
        <f t="shared" ca="1" si="2"/>
        <v>2288.546560925779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7142.24</v>
      </c>
      <c r="I6" s="14"/>
      <c r="J6" s="14"/>
      <c r="K6" s="13"/>
      <c r="L6" s="16">
        <f t="shared" ca="1" si="0"/>
        <v>7142.24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7142.24</v>
      </c>
      <c r="R6" s="16">
        <f t="shared" ca="1" si="2"/>
        <v>7142.24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650.72</v>
      </c>
      <c r="I7" s="14"/>
      <c r="J7" s="14"/>
      <c r="K7" s="13"/>
      <c r="L7" s="16">
        <f t="shared" ca="1" si="0"/>
        <v>650.72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650.72</v>
      </c>
      <c r="R7" s="16">
        <f t="shared" ca="1" si="2"/>
        <v>650.72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2070.6132743263488</v>
      </c>
      <c r="J8" s="14">
        <f ca="1">Q10/J18</f>
        <v>5579.2667256736513</v>
      </c>
      <c r="K8" s="13"/>
      <c r="L8" s="16">
        <f t="shared" ca="1" si="0"/>
        <v>7649.88</v>
      </c>
      <c r="M8" s="16"/>
      <c r="N8" s="16">
        <f t="shared" ca="1" si="3"/>
        <v>0</v>
      </c>
      <c r="O8" s="11" cm="1">
        <f t="array" aca="1" ref="O8" ca="1">INDIRECT("'data'!$R$" &amp; $A$1)*parameters!$B$15</f>
        <v>294.98</v>
      </c>
      <c r="P8" s="13" cm="1">
        <f t="array" aca="1" ref="P8" ca="1">-INDIRECT("'data'!$S$" &amp; $A$1)*parameters!$B$15</f>
        <v>-151.9</v>
      </c>
      <c r="Q8" s="16">
        <f ca="1">SUM(Q6:Q7)</f>
        <v>7792.96</v>
      </c>
      <c r="R8" s="16">
        <f t="shared" ca="1" si="2"/>
        <v>7792.9600000000009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2014.8799999999999</v>
      </c>
      <c r="L9" s="16">
        <f t="shared" ca="1" si="0"/>
        <v>2014.8799999999999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923.16</v>
      </c>
      <c r="P9" s="13" cm="1">
        <f t="array" aca="1" ref="P9" ca="1">-INDIRECT("'data'!$V$" &amp; $A$1)*parameters!$B$15</f>
        <v>-1022.14</v>
      </c>
      <c r="Q9" s="16" cm="1">
        <f t="array" aca="1" ref="Q9" ca="1">INDIRECT("'data'!$T$" &amp; $A$1)*parameters!$B$15</f>
        <v>1915.8999999999999</v>
      </c>
      <c r="R9" s="16">
        <f t="shared" ca="1" si="2"/>
        <v>1915.9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2364.4918634423898</v>
      </c>
      <c r="L10" s="16">
        <f t="shared" ca="1" si="0"/>
        <v>2364.4918634423898</v>
      </c>
      <c r="M10" s="16"/>
      <c r="N10" s="16">
        <f t="shared" ca="1" si="3"/>
        <v>0</v>
      </c>
      <c r="O10" s="11" cm="1">
        <f t="array" aca="1" ref="O10" ca="1">INDIRECT("'data'!$X$" &amp; $A$1)*parameters!$B$15</f>
        <v>4481.54</v>
      </c>
      <c r="P10" s="13" cm="1">
        <f t="array" aca="1" ref="P10" ca="1">-INDIRECT("'data'!$Y$" &amp; $A$1)*parameters!$B$15</f>
        <v>-1683.6399999999999</v>
      </c>
      <c r="Q10" s="16" cm="1">
        <f t="array" aca="1" ref="Q10" ca="1">INDIRECT("'data'!$W$" &amp; $A$1)*parameters!$B$15</f>
        <v>5162.3918634423899</v>
      </c>
      <c r="R10" s="16">
        <f t="shared" ca="1" si="2"/>
        <v>5162.3918634423899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4015.650202560455</v>
      </c>
      <c r="N11" s="19"/>
      <c r="O11" s="21" cm="1">
        <f t="array" aca="1" ref="O11" ca="1">INDIRECT("'data'!$Z$" &amp; $A$1)*parameters!$B$15</f>
        <v>3533.88</v>
      </c>
      <c r="P11" s="27" cm="1">
        <f t="array" aca="1" ref="P11" ca="1">-INDIRECT("'data'!$AA$" &amp; $A$1)*parameters!$B$15</f>
        <v>-3622.08</v>
      </c>
      <c r="Q11" s="16">
        <f ca="1">K9*parameters!$B$10+K10*parameters!$B$11</f>
        <v>3927.4502025604552</v>
      </c>
      <c r="R11" s="16">
        <f t="shared" ref="R11:R17" ca="1" si="4">SUM(L11:P11)</f>
        <v>3927.4502025604552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-36.858138271108146</v>
      </c>
      <c r="D12" s="9">
        <f ca="1">-(D17-Q4)</f>
        <v>0</v>
      </c>
      <c r="E12" s="9">
        <f ca="1">-(E17-Q5)</f>
        <v>-282.85406932790511</v>
      </c>
      <c r="F12" s="9">
        <f ca="1">-(F17-Q6)</f>
        <v>-472.08835820895547</v>
      </c>
      <c r="G12" s="9">
        <f ca="1">-(G17-Q7)</f>
        <v>-29.23820271682348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-821.0387685247922</v>
      </c>
      <c r="M12" s="17"/>
      <c r="N12" s="17"/>
      <c r="O12" s="10"/>
      <c r="P12" s="12"/>
      <c r="Q12" s="9">
        <f t="shared" ref="Q12:Q17" ca="1" si="6">SUM(L12:P12)</f>
        <v>-821.0387685247922</v>
      </c>
      <c r="R12" s="17">
        <f t="shared" ca="1" si="4"/>
        <v>-821.0387685247922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-154.71327432634894</v>
      </c>
      <c r="J13" s="14">
        <f ca="1">-(J17-Q10)</f>
        <v>-416.87486223126143</v>
      </c>
      <c r="K13" s="13">
        <f ca="1">-(K17-Q11)</f>
        <v>-451.92166088193426</v>
      </c>
      <c r="L13" s="14">
        <f t="shared" ca="1" si="5"/>
        <v>-1023.5097974395446</v>
      </c>
      <c r="M13" s="16">
        <f ca="1">-E15</f>
        <v>-1547.8908328141395</v>
      </c>
      <c r="N13" s="16"/>
      <c r="O13" s="11"/>
      <c r="P13" s="13"/>
      <c r="Q13" s="14">
        <f t="shared" ca="1" si="6"/>
        <v>-2571.4006302536841</v>
      </c>
      <c r="R13" s="16">
        <f t="shared" ca="1" si="4"/>
        <v>-2571.4006302536841</v>
      </c>
    </row>
    <row r="14" spans="1:20">
      <c r="A14" s="18" t="s">
        <v>78</v>
      </c>
      <c r="B14" s="11"/>
      <c r="C14" s="14"/>
      <c r="D14" s="14"/>
      <c r="E14" s="14">
        <f ca="1">-(I13+J13)-K13</f>
        <v>1023.5097974395446</v>
      </c>
      <c r="F14" s="14"/>
      <c r="G14" s="14"/>
      <c r="H14" s="14"/>
      <c r="I14" s="14"/>
      <c r="J14" s="14"/>
      <c r="K14" s="13"/>
      <c r="L14" s="14">
        <f t="shared" ca="1" si="5"/>
        <v>1023.5097974395446</v>
      </c>
      <c r="M14" s="16"/>
      <c r="N14" s="16"/>
      <c r="O14" s="11"/>
      <c r="P14" s="13"/>
      <c r="Q14" s="14">
        <f t="shared" ca="1" si="6"/>
        <v>1023.5097974395446</v>
      </c>
      <c r="R14" s="16">
        <f t="shared" ca="1" si="4"/>
        <v>1023.5097974395446</v>
      </c>
    </row>
    <row r="15" spans="1:20">
      <c r="A15" s="18" t="s">
        <v>79</v>
      </c>
      <c r="B15" s="11"/>
      <c r="C15" s="14"/>
      <c r="D15" s="14"/>
      <c r="E15" s="14">
        <f ca="1">E17-E14</f>
        <v>1547.8908328141395</v>
      </c>
      <c r="F15" s="14"/>
      <c r="G15" s="14"/>
      <c r="H15" s="14"/>
      <c r="I15" s="14"/>
      <c r="J15" s="14"/>
      <c r="K15" s="13"/>
      <c r="L15" s="14">
        <f t="shared" ca="1" si="5"/>
        <v>1547.8908328141395</v>
      </c>
      <c r="M15" s="16"/>
      <c r="N15" s="16"/>
      <c r="O15" s="11"/>
      <c r="P15" s="13"/>
      <c r="Q15" s="14">
        <f t="shared" ca="1" si="6"/>
        <v>1547.8908328141395</v>
      </c>
      <c r="R15" s="16">
        <f t="shared" ca="1" si="4"/>
        <v>1547.8908328141395</v>
      </c>
    </row>
    <row r="16" spans="1:20">
      <c r="A16" s="30" t="s">
        <v>89</v>
      </c>
      <c r="B16" s="21">
        <f ca="1">Q2</f>
        <v>743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743</v>
      </c>
      <c r="M16" s="19"/>
      <c r="N16" s="19"/>
      <c r="O16" s="21"/>
      <c r="P16" s="27"/>
      <c r="Q16" s="22">
        <f t="shared" ca="1" si="6"/>
        <v>743</v>
      </c>
      <c r="R16" s="19">
        <f t="shared" ca="1" si="4"/>
        <v>743</v>
      </c>
    </row>
    <row r="17" spans="1:18">
      <c r="A17" s="29" t="s">
        <v>88</v>
      </c>
      <c r="B17" s="9">
        <f ca="1">B16</f>
        <v>743</v>
      </c>
      <c r="C17" s="9">
        <f ca="1">SUM(C$2:C$11)</f>
        <v>5850.4981382711076</v>
      </c>
      <c r="D17" s="9">
        <f ca="1">SUM(D$2:D$11)</f>
        <v>0</v>
      </c>
      <c r="E17" s="9">
        <f ca="1">$Q$5/parameters!$B$4</f>
        <v>2571.4006302536841</v>
      </c>
      <c r="F17" s="9">
        <f t="shared" ref="F17:K17" ca="1" si="7">SUM(F$2:F$11)</f>
        <v>7614.3283582089553</v>
      </c>
      <c r="G17" s="9">
        <f t="shared" ca="1" si="7"/>
        <v>679.95820271682351</v>
      </c>
      <c r="H17" s="9">
        <f t="shared" ca="1" si="7"/>
        <v>7792.96</v>
      </c>
      <c r="I17" s="9">
        <f t="shared" ca="1" si="7"/>
        <v>2070.6132743263488</v>
      </c>
      <c r="J17" s="9">
        <f t="shared" ca="1" si="7"/>
        <v>5579.2667256736513</v>
      </c>
      <c r="K17" s="9">
        <f t="shared" ca="1" si="7"/>
        <v>4379.3718634423894</v>
      </c>
      <c r="L17" s="17">
        <f t="shared" ca="1" si="5"/>
        <v>37281.397192892953</v>
      </c>
      <c r="M17" s="17"/>
      <c r="N17" s="17"/>
      <c r="O17" s="9"/>
      <c r="P17" s="14"/>
      <c r="Q17" s="11">
        <f t="shared" ca="1" si="6"/>
        <v>37281.397192892953</v>
      </c>
      <c r="R17" s="17">
        <f t="shared" ca="1" si="4"/>
        <v>37281.397192892953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0.9252814244723303</v>
      </c>
      <c r="J18" s="39">
        <f ca="1">I18</f>
        <v>0.9252814244723303</v>
      </c>
      <c r="K18" s="40">
        <f ca="1">1-(-K13)/K17</f>
        <v>0.89680673964811408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4130.1549763510111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4130.1549763510111</v>
      </c>
      <c r="M2" s="17"/>
      <c r="N2" s="17">
        <f ca="1">Q2-(L2+O2+P2)</f>
        <v>0</v>
      </c>
      <c r="O2" s="11" cm="1">
        <f t="array" aca="1" ref="O2" ca="1">INDIRECT("'data'!$F$" &amp; $A$1)</f>
        <v>5.2</v>
      </c>
      <c r="P2" s="13">
        <f ca="1">IF(-(L2-Q2+O2)&lt;0, -(L2-Q2+O2), 0)</f>
        <v>-4135.3549763510109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3960.1194029850749</v>
      </c>
      <c r="G3" s="14">
        <f ca="1">Q3-O3-P3-F3</f>
        <v>189.37559701492501</v>
      </c>
      <c r="H3" s="14"/>
      <c r="I3" s="14"/>
      <c r="J3" s="14"/>
      <c r="K3" s="13"/>
      <c r="L3" s="16">
        <f t="shared" ca="1" si="0"/>
        <v>4149.4949999999999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218.29499999999999</v>
      </c>
      <c r="P3" s="13" cm="1">
        <f t="array" aca="1" ref="P3" ca="1">-INDIRECT("'data'!$I$" &amp; $A$1)*parameters!$B$13</f>
        <v>-263.65499999999997</v>
      </c>
      <c r="Q3" s="16" cm="1">
        <f t="array" aca="1" ref="Q3" ca="1">INDIRECT("'data'!$G$" &amp; $A$1)*parameters!$B$13</f>
        <v>4104.1350000000002</v>
      </c>
      <c r="R3" s="16">
        <f t="shared" ref="R3:R10" ca="1" si="2">SUM(L3:P3)</f>
        <v>4104.1350000000002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28.52</v>
      </c>
      <c r="H4" s="14"/>
      <c r="I4" s="14"/>
      <c r="J4" s="14"/>
      <c r="K4" s="13"/>
      <c r="L4" s="16">
        <f t="shared" ca="1" si="0"/>
        <v>28.52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-28.52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990.02985074626872</v>
      </c>
      <c r="G5" s="14">
        <f ca="1">Q7/parameters!$B$7-(G3+G4)</f>
        <v>2228.5202859526821</v>
      </c>
      <c r="H5" s="14"/>
      <c r="I5" s="14"/>
      <c r="J5" s="14"/>
      <c r="K5" s="13"/>
      <c r="L5" s="16">
        <f t="shared" ca="1" si="0"/>
        <v>3218.5501366989511</v>
      </c>
      <c r="M5" s="16"/>
      <c r="N5" s="16"/>
      <c r="O5" s="11" cm="1">
        <f t="array" aca="1" ref="O5" ca="1">INDIRECT("'data'!$M$" &amp; $A$1)*parameters!$B$15</f>
        <v>3147.7599999999998</v>
      </c>
      <c r="P5" s="13" cm="1">
        <f t="array" aca="1" ref="P5" ca="1">-INDIRECT("'data'!$N$" &amp; $A$1)*parameters!$B$15</f>
        <v>-4128.74</v>
      </c>
      <c r="Q5" s="16">
        <f ca="1">SUM(L5:P5)</f>
        <v>2237.5701366989506</v>
      </c>
      <c r="R5" s="16">
        <f t="shared" ca="1" si="2"/>
        <v>2237.5701366989506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4643.24</v>
      </c>
      <c r="I6" s="14"/>
      <c r="J6" s="14"/>
      <c r="K6" s="13"/>
      <c r="L6" s="16">
        <f t="shared" ca="1" si="0"/>
        <v>4643.24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4643.24</v>
      </c>
      <c r="R6" s="16">
        <f t="shared" ca="1" si="2"/>
        <v>4643.24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2341.2199999999998</v>
      </c>
      <c r="I7" s="14"/>
      <c r="J7" s="14"/>
      <c r="K7" s="13"/>
      <c r="L7" s="16">
        <f t="shared" ca="1" si="0"/>
        <v>2341.2199999999998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2341.2199999999998</v>
      </c>
      <c r="R7" s="16">
        <f t="shared" ca="1" si="2"/>
        <v>2341.2199999999998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817.75952934151667</v>
      </c>
      <c r="J8" s="14">
        <f ca="1">Q10/J18</f>
        <v>7483.8204706584811</v>
      </c>
      <c r="K8" s="13"/>
      <c r="L8" s="16">
        <f t="shared" ca="1" si="0"/>
        <v>8301.5799999999981</v>
      </c>
      <c r="M8" s="16"/>
      <c r="N8" s="16">
        <f t="shared" ca="1" si="3"/>
        <v>0</v>
      </c>
      <c r="O8" s="11" cm="1">
        <f t="array" aca="1" ref="O8" ca="1">INDIRECT("'data'!$R$" &amp; $A$1)*parameters!$B$15</f>
        <v>281.26</v>
      </c>
      <c r="P8" s="13" cm="1">
        <f t="array" aca="1" ref="P8" ca="1">-INDIRECT("'data'!$S$" &amp; $A$1)*parameters!$B$15</f>
        <v>-1598.3799999999999</v>
      </c>
      <c r="Q8" s="16">
        <f ca="1">SUM(Q6:Q7)</f>
        <v>6984.4599999999991</v>
      </c>
      <c r="R8" s="16">
        <f t="shared" ca="1" si="2"/>
        <v>6984.4599999999982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928.06000000000006</v>
      </c>
      <c r="L9" s="16">
        <f t="shared" ca="1" si="0"/>
        <v>928.06000000000006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1258.32</v>
      </c>
      <c r="P9" s="13" cm="1">
        <f t="array" aca="1" ref="P9" ca="1">-INDIRECT("'data'!$V$" &amp; $A$1)*parameters!$B$15</f>
        <v>-1406.3</v>
      </c>
      <c r="Q9" s="16" cm="1">
        <f t="array" aca="1" ref="Q9" ca="1">INDIRECT("'data'!$T$" &amp; $A$1)*parameters!$B$15</f>
        <v>780.08</v>
      </c>
      <c r="R9" s="16">
        <f t="shared" ca="1" si="2"/>
        <v>780.08000000000015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1797.0119203413942</v>
      </c>
      <c r="L10" s="16">
        <f t="shared" ca="1" si="0"/>
        <v>1797.0119203413942</v>
      </c>
      <c r="M10" s="16"/>
      <c r="N10" s="16">
        <f t="shared" ca="1" si="3"/>
        <v>0</v>
      </c>
      <c r="O10" s="11" cm="1">
        <f t="array" aca="1" ref="O10" ca="1">INDIRECT("'data'!$X$" &amp; $A$1)*parameters!$B$15</f>
        <v>11684.539999999999</v>
      </c>
      <c r="P10" s="13" cm="1">
        <f t="array" aca="1" ref="P10" ca="1">-INDIRECT("'data'!$Y$" &amp; $A$1)*parameters!$B$15</f>
        <v>-6342.5599999999995</v>
      </c>
      <c r="Q10" s="16" cm="1">
        <f t="array" aca="1" ref="Q10" ca="1">INDIRECT("'data'!$W$" &amp; $A$1)*parameters!$B$15</f>
        <v>7138.9919203413938</v>
      </c>
      <c r="R10" s="16">
        <f t="shared" ca="1" si="2"/>
        <v>7138.9919203413938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2791.1866514935991</v>
      </c>
      <c r="N11" s="19"/>
      <c r="O11" s="21" cm="1">
        <f t="array" aca="1" ref="O11" ca="1">INDIRECT("'data'!$Z$" &amp; $A$1)*parameters!$B$15</f>
        <v>7783.16</v>
      </c>
      <c r="P11" s="27" cm="1">
        <f t="array" aca="1" ref="P11" ca="1">-INDIRECT("'data'!$AA$" &amp; $A$1)*parameters!$B$15</f>
        <v>-8156.54</v>
      </c>
      <c r="Q11" s="16">
        <f ca="1">K9*parameters!$B$10+K10*parameters!$B$11</f>
        <v>2417.806651493599</v>
      </c>
      <c r="R11" s="16">
        <f t="shared" ref="R11:R17" ca="1" si="4">SUM(L11:P11)</f>
        <v>2417.806651493599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-26.019976351010882</v>
      </c>
      <c r="D12" s="9">
        <f ca="1">-(D17-Q4)</f>
        <v>0</v>
      </c>
      <c r="E12" s="9">
        <f ca="1">-(E17-Q5)</f>
        <v>-276.55361240099364</v>
      </c>
      <c r="F12" s="9">
        <f ca="1">-(F17-Q6)</f>
        <v>-306.9092537313436</v>
      </c>
      <c r="G12" s="9">
        <f ca="1">-(G17-Q7)</f>
        <v>-105.1958829676073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-714.67872545095543</v>
      </c>
      <c r="M12" s="17"/>
      <c r="N12" s="17"/>
      <c r="O12" s="10"/>
      <c r="P12" s="12"/>
      <c r="Q12" s="9">
        <f t="shared" ref="Q12:Q17" ca="1" si="6">SUM(L12:P12)</f>
        <v>-714.67872545095543</v>
      </c>
      <c r="R12" s="17">
        <f t="shared" ca="1" si="4"/>
        <v>-714.67872545095543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-37.679529341516627</v>
      </c>
      <c r="J13" s="14">
        <f ca="1">-(J17-Q10)</f>
        <v>-344.82855031708732</v>
      </c>
      <c r="K13" s="13">
        <f ca="1">-(K17-Q11)</f>
        <v>-307.26526884779514</v>
      </c>
      <c r="L13" s="14">
        <f t="shared" ca="1" si="5"/>
        <v>-689.77334850639909</v>
      </c>
      <c r="M13" s="16">
        <f ca="1">-E15</f>
        <v>-1824.3504005935451</v>
      </c>
      <c r="N13" s="16"/>
      <c r="O13" s="11"/>
      <c r="P13" s="13"/>
      <c r="Q13" s="14">
        <f t="shared" ca="1" si="6"/>
        <v>-2514.1237490999442</v>
      </c>
      <c r="R13" s="16">
        <f t="shared" ca="1" si="4"/>
        <v>-2514.1237490999442</v>
      </c>
    </row>
    <row r="14" spans="1:20">
      <c r="A14" s="18" t="s">
        <v>78</v>
      </c>
      <c r="B14" s="11"/>
      <c r="C14" s="14"/>
      <c r="D14" s="14"/>
      <c r="E14" s="14">
        <f ca="1">-(I13+J13)-K13</f>
        <v>689.77334850639909</v>
      </c>
      <c r="F14" s="14"/>
      <c r="G14" s="14"/>
      <c r="H14" s="14"/>
      <c r="I14" s="14"/>
      <c r="J14" s="14"/>
      <c r="K14" s="13"/>
      <c r="L14" s="14">
        <f t="shared" ca="1" si="5"/>
        <v>689.77334850639909</v>
      </c>
      <c r="M14" s="16"/>
      <c r="N14" s="16"/>
      <c r="O14" s="11"/>
      <c r="P14" s="13"/>
      <c r="Q14" s="14">
        <f t="shared" ca="1" si="6"/>
        <v>689.77334850639909</v>
      </c>
      <c r="R14" s="16">
        <f t="shared" ca="1" si="4"/>
        <v>689.77334850639909</v>
      </c>
    </row>
    <row r="15" spans="1:20">
      <c r="A15" s="18" t="s">
        <v>79</v>
      </c>
      <c r="B15" s="11"/>
      <c r="C15" s="14"/>
      <c r="D15" s="14"/>
      <c r="E15" s="14">
        <f ca="1">E17-E14</f>
        <v>1824.3504005935451</v>
      </c>
      <c r="F15" s="14"/>
      <c r="G15" s="14"/>
      <c r="H15" s="14"/>
      <c r="I15" s="14"/>
      <c r="J15" s="14"/>
      <c r="K15" s="13"/>
      <c r="L15" s="14">
        <f t="shared" ca="1" si="5"/>
        <v>1824.3504005935451</v>
      </c>
      <c r="M15" s="16"/>
      <c r="N15" s="16"/>
      <c r="O15" s="11"/>
      <c r="P15" s="13"/>
      <c r="Q15" s="14">
        <f t="shared" ca="1" si="6"/>
        <v>1824.3504005935451</v>
      </c>
      <c r="R15" s="16">
        <f t="shared" ca="1" si="4"/>
        <v>1824.3504005935451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4130.1549763510111</v>
      </c>
      <c r="D17" s="9">
        <f ca="1">SUM(D$2:D$11)</f>
        <v>0</v>
      </c>
      <c r="E17" s="9">
        <f ca="1">$Q$5/parameters!$B$4</f>
        <v>2514.1237490999442</v>
      </c>
      <c r="F17" s="9">
        <f t="shared" ref="F17:K17" ca="1" si="7">SUM(F$2:F$11)</f>
        <v>4950.1492537313434</v>
      </c>
      <c r="G17" s="9">
        <f t="shared" ca="1" si="7"/>
        <v>2446.4158829676071</v>
      </c>
      <c r="H17" s="9">
        <f t="shared" ca="1" si="7"/>
        <v>6984.4599999999991</v>
      </c>
      <c r="I17" s="9">
        <f t="shared" ca="1" si="7"/>
        <v>817.75952934151667</v>
      </c>
      <c r="J17" s="9">
        <f t="shared" ca="1" si="7"/>
        <v>7483.8204706584811</v>
      </c>
      <c r="K17" s="9">
        <f t="shared" ca="1" si="7"/>
        <v>2725.0719203413942</v>
      </c>
      <c r="L17" s="17">
        <f t="shared" ca="1" si="5"/>
        <v>32051.955782491299</v>
      </c>
      <c r="M17" s="17"/>
      <c r="N17" s="17"/>
      <c r="O17" s="9"/>
      <c r="P17" s="14"/>
      <c r="Q17" s="11">
        <f t="shared" ca="1" si="6"/>
        <v>32051.955782491299</v>
      </c>
      <c r="R17" s="17">
        <f t="shared" ca="1" si="4"/>
        <v>32051.955782491299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0.95392346039445453</v>
      </c>
      <c r="J18" s="39">
        <f ca="1">I18</f>
        <v>0.95392346039445453</v>
      </c>
      <c r="K18" s="40">
        <f ca="1">1-(-K13)/K17</f>
        <v>0.88724507909160022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9006.8380799033912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9006.8380799033912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-9006.8380799033912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8701.5223880597041</v>
      </c>
      <c r="G3" s="14">
        <f ca="1">Q3-O3-P3-F3</f>
        <v>282.59261194029568</v>
      </c>
      <c r="H3" s="14"/>
      <c r="I3" s="14"/>
      <c r="J3" s="14"/>
      <c r="K3" s="13"/>
      <c r="L3" s="16">
        <f t="shared" ca="1" si="0"/>
        <v>8984.1149999999998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-35.909999999999997</v>
      </c>
      <c r="Q3" s="16" cm="1">
        <f t="array" aca="1" ref="Q3" ca="1">INDIRECT("'data'!$G$" &amp; $A$1)*parameters!$B$13</f>
        <v>8950.0949999999993</v>
      </c>
      <c r="R3" s="16">
        <f t="shared" ref="R3:R10" ca="1" si="2">SUM(L3:P3)</f>
        <v>8950.0949999999993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22.080000000000002</v>
      </c>
      <c r="H4" s="14"/>
      <c r="I4" s="14"/>
      <c r="J4" s="14"/>
      <c r="K4" s="13"/>
      <c r="L4" s="16">
        <f t="shared" ca="1" si="0"/>
        <v>22.080000000000002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-22.080000000000002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Q6/parameters!$B$5*16%</f>
        <v>1657.4328358208959</v>
      </c>
      <c r="G5" s="14">
        <f ca="1">Q7/parameters!$B$7-(G3+G4)</f>
        <v>1684.0003243188476</v>
      </c>
      <c r="H5" s="14"/>
      <c r="I5" s="14"/>
      <c r="J5" s="14"/>
      <c r="K5" s="13"/>
      <c r="L5" s="16">
        <f t="shared" ca="1" si="0"/>
        <v>3341.4331601397434</v>
      </c>
      <c r="M5" s="16"/>
      <c r="N5" s="16"/>
      <c r="O5" s="11" cm="1">
        <f t="array" aca="1" ref="O5" ca="1">INDIRECT("'data'!$M$" &amp; $A$1)*parameters!$B$15</f>
        <v>6809.04</v>
      </c>
      <c r="P5" s="13" cm="1">
        <f t="array" aca="1" ref="P5" ca="1">-INDIRECT("'data'!$N$" &amp; $A$1)*parameters!$B$15</f>
        <v>-296.94</v>
      </c>
      <c r="Q5" s="16">
        <f ca="1">SUM(L5:P5)</f>
        <v>9853.5331601397429</v>
      </c>
      <c r="R5" s="16">
        <f t="shared" ca="1" si="2"/>
        <v>9853.5331601397429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9716.7000000000007</v>
      </c>
      <c r="I6" s="14"/>
      <c r="J6" s="14"/>
      <c r="K6" s="13"/>
      <c r="L6" s="16">
        <f t="shared" ca="1" si="0"/>
        <v>9716.7000000000007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9716.7000000000007</v>
      </c>
      <c r="R6" s="16">
        <f t="shared" ca="1" si="2"/>
        <v>9716.7000000000007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1903.1599999999999</v>
      </c>
      <c r="I7" s="14"/>
      <c r="J7" s="14"/>
      <c r="K7" s="13"/>
      <c r="L7" s="16">
        <f t="shared" ca="1" si="0"/>
        <v>1903.1599999999999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1903.1599999999999</v>
      </c>
      <c r="R7" s="16">
        <f t="shared" ca="1" si="2"/>
        <v>1903.1599999999999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3316.8830857908811</v>
      </c>
      <c r="J8" s="14">
        <f ca="1">Q10/J18</f>
        <v>5313.9769142091209</v>
      </c>
      <c r="K8" s="13"/>
      <c r="L8" s="16">
        <f t="shared" ca="1" si="0"/>
        <v>8630.8600000000024</v>
      </c>
      <c r="M8" s="16"/>
      <c r="N8" s="16">
        <f t="shared" ca="1" si="3"/>
        <v>0</v>
      </c>
      <c r="O8" s="11" cm="1">
        <f t="array" aca="1" ref="O8" ca="1">INDIRECT("'data'!$R$" &amp; $A$1)*parameters!$B$15</f>
        <v>3424.12</v>
      </c>
      <c r="P8" s="13" cm="1">
        <f t="array" aca="1" ref="P8" ca="1">-INDIRECT("'data'!$S$" &amp; $A$1)*parameters!$B$15</f>
        <v>-435.12</v>
      </c>
      <c r="Q8" s="16">
        <f ca="1">SUM(Q6:Q7)</f>
        <v>11619.86</v>
      </c>
      <c r="R8" s="16">
        <f t="shared" ca="1" si="2"/>
        <v>11619.860000000002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3049.7599999999998</v>
      </c>
      <c r="L9" s="16">
        <f t="shared" ca="1" si="0"/>
        <v>3049.7599999999998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1786.54</v>
      </c>
      <c r="P9" s="13" cm="1">
        <f t="array" aca="1" ref="P9" ca="1">-INDIRECT("'data'!$V$" &amp; $A$1)*parameters!$B$15</f>
        <v>-1857.1</v>
      </c>
      <c r="Q9" s="16" cm="1">
        <f t="array" aca="1" ref="Q9" ca="1">INDIRECT("'data'!$T$" &amp; $A$1)*parameters!$B$15</f>
        <v>2979.2</v>
      </c>
      <c r="R9" s="16">
        <f t="shared" ca="1" si="2"/>
        <v>2979.1999999999994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5437.414992887625</v>
      </c>
      <c r="L10" s="16">
        <f t="shared" ca="1" si="0"/>
        <v>5437.414992887625</v>
      </c>
      <c r="M10" s="16"/>
      <c r="N10" s="16">
        <f t="shared" ca="1" si="3"/>
        <v>0</v>
      </c>
      <c r="O10" s="11" cm="1">
        <f t="array" aca="1" ref="O10" ca="1">INDIRECT("'data'!$X$" &amp; $A$1)*parameters!$B$15</f>
        <v>2380.42</v>
      </c>
      <c r="P10" s="13" cm="1">
        <f t="array" aca="1" ref="P10" ca="1">-INDIRECT("'data'!$Y$" &amp; $A$1)*parameters!$B$15</f>
        <v>-3044.86</v>
      </c>
      <c r="Q10" s="16" cm="1">
        <f t="array" aca="1" ref="Q10" ca="1">INDIRECT("'data'!$W$" &amp; $A$1)*parameters!$B$15</f>
        <v>4772.9749928876245</v>
      </c>
      <c r="R10" s="16">
        <f t="shared" ca="1" si="2"/>
        <v>4772.9749928876245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11939.231293883357</v>
      </c>
      <c r="N11" s="19"/>
      <c r="O11" s="21" cm="1">
        <f t="array" aca="1" ref="O11" ca="1">INDIRECT("'data'!$Z$" &amp; $A$1)*parameters!$B$15</f>
        <v>5878.04</v>
      </c>
      <c r="P11" s="27" cm="1">
        <f t="array" aca="1" ref="P11" ca="1">-INDIRECT("'data'!$AA$" &amp; $A$1)*parameters!$B$15</f>
        <v>-10274.32</v>
      </c>
      <c r="Q11" s="16">
        <f ca="1">K9*parameters!$B$10+K10*parameters!$B$11</f>
        <v>7542.9512938833577</v>
      </c>
      <c r="R11" s="16">
        <f t="shared" ref="R11:R17" ca="1" si="4">SUM(L11:P11)</f>
        <v>7542.9512938833577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-56.743079903391845</v>
      </c>
      <c r="D12" s="9">
        <f ca="1">-(D17-Q4)</f>
        <v>0</v>
      </c>
      <c r="E12" s="9">
        <f ca="1">-(E17-Q5)</f>
        <v>-1217.8524130509795</v>
      </c>
      <c r="F12" s="9">
        <f ca="1">-(F17-Q6)</f>
        <v>-642.25522388059835</v>
      </c>
      <c r="G12" s="9">
        <f ca="1">-(G17-Q7)</f>
        <v>-85.512936259143316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-2002.363653094113</v>
      </c>
      <c r="M12" s="17"/>
      <c r="N12" s="17"/>
      <c r="O12" s="10"/>
      <c r="P12" s="12"/>
      <c r="Q12" s="9">
        <f t="shared" ref="Q12:Q17" ca="1" si="6">SUM(L12:P12)</f>
        <v>-2002.363653094113</v>
      </c>
      <c r="R12" s="17">
        <f t="shared" ca="1" si="4"/>
        <v>-2002.363653094113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-337.68308579088125</v>
      </c>
      <c r="J13" s="14">
        <f ca="1">-(J17-Q10)</f>
        <v>-541.00192132149641</v>
      </c>
      <c r="K13" s="13">
        <f ca="1">-(K17-Q11)</f>
        <v>-944.22369900426747</v>
      </c>
      <c r="L13" s="14">
        <f t="shared" ca="1" si="5"/>
        <v>-1822.9087061166451</v>
      </c>
      <c r="M13" s="16">
        <f ca="1">-E15</f>
        <v>-9248.4768670740777</v>
      </c>
      <c r="N13" s="16"/>
      <c r="O13" s="11"/>
      <c r="P13" s="13"/>
      <c r="Q13" s="14">
        <f t="shared" ca="1" si="6"/>
        <v>-11071.385573190722</v>
      </c>
      <c r="R13" s="16">
        <f t="shared" ca="1" si="4"/>
        <v>-11071.385573190722</v>
      </c>
    </row>
    <row r="14" spans="1:20">
      <c r="A14" s="18" t="s">
        <v>78</v>
      </c>
      <c r="B14" s="11"/>
      <c r="C14" s="14"/>
      <c r="D14" s="14"/>
      <c r="E14" s="14">
        <f ca="1">-(I13+J13)-K13</f>
        <v>1822.9087061166451</v>
      </c>
      <c r="F14" s="14"/>
      <c r="G14" s="14"/>
      <c r="H14" s="14"/>
      <c r="I14" s="14"/>
      <c r="J14" s="14"/>
      <c r="K14" s="13"/>
      <c r="L14" s="14">
        <f t="shared" ca="1" si="5"/>
        <v>1822.9087061166451</v>
      </c>
      <c r="M14" s="16"/>
      <c r="N14" s="16"/>
      <c r="O14" s="11"/>
      <c r="P14" s="13"/>
      <c r="Q14" s="14">
        <f t="shared" ca="1" si="6"/>
        <v>1822.9087061166451</v>
      </c>
      <c r="R14" s="16">
        <f t="shared" ca="1" si="4"/>
        <v>1822.9087061166451</v>
      </c>
    </row>
    <row r="15" spans="1:20">
      <c r="A15" s="18" t="s">
        <v>79</v>
      </c>
      <c r="B15" s="11"/>
      <c r="C15" s="14"/>
      <c r="D15" s="14"/>
      <c r="E15" s="14">
        <f ca="1">E17-E14</f>
        <v>9248.4768670740777</v>
      </c>
      <c r="F15" s="14"/>
      <c r="G15" s="14"/>
      <c r="H15" s="14"/>
      <c r="I15" s="14"/>
      <c r="J15" s="14"/>
      <c r="K15" s="13"/>
      <c r="L15" s="14">
        <f t="shared" ca="1" si="5"/>
        <v>9248.4768670740777</v>
      </c>
      <c r="M15" s="16"/>
      <c r="N15" s="16"/>
      <c r="O15" s="11"/>
      <c r="P15" s="13"/>
      <c r="Q15" s="14">
        <f t="shared" ca="1" si="6"/>
        <v>9248.4768670740777</v>
      </c>
      <c r="R15" s="16">
        <f t="shared" ca="1" si="4"/>
        <v>9248.4768670740777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9006.8380799033912</v>
      </c>
      <c r="D17" s="9">
        <f ca="1">SUM(D$2:D$11)</f>
        <v>0</v>
      </c>
      <c r="E17" s="9">
        <f ca="1">$Q$5/parameters!$B$4</f>
        <v>11071.385573190722</v>
      </c>
      <c r="F17" s="9">
        <f t="shared" ref="F17:K17" ca="1" si="7">SUM(F$2:F$11)</f>
        <v>10358.955223880599</v>
      </c>
      <c r="G17" s="9">
        <f t="shared" ca="1" si="7"/>
        <v>1988.6729362591432</v>
      </c>
      <c r="H17" s="9">
        <f t="shared" ca="1" si="7"/>
        <v>11619.86</v>
      </c>
      <c r="I17" s="9">
        <f t="shared" ca="1" si="7"/>
        <v>3316.8830857908811</v>
      </c>
      <c r="J17" s="9">
        <f t="shared" ca="1" si="7"/>
        <v>5313.9769142091209</v>
      </c>
      <c r="K17" s="9">
        <f t="shared" ca="1" si="7"/>
        <v>8487.1749928876252</v>
      </c>
      <c r="L17" s="17">
        <f t="shared" ca="1" si="5"/>
        <v>61163.746806121489</v>
      </c>
      <c r="M17" s="17"/>
      <c r="N17" s="17"/>
      <c r="O17" s="9"/>
      <c r="P17" s="14"/>
      <c r="Q17" s="11">
        <f t="shared" ca="1" si="6"/>
        <v>61163.746806121489</v>
      </c>
      <c r="R17" s="17">
        <f t="shared" ca="1" si="4"/>
        <v>61163.746806121489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0.89819264741724725</v>
      </c>
      <c r="J18" s="39">
        <f ca="1">I18</f>
        <v>0.89819264741724725</v>
      </c>
      <c r="K18" s="40">
        <f ca="1">1-(-K13)/K17</f>
        <v>0.88874699769999554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4974.687410295488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4974.687410295488</v>
      </c>
      <c r="M2" s="17"/>
      <c r="N2" s="17">
        <f ca="1">Q2-(L2+O2+P2)</f>
        <v>0</v>
      </c>
      <c r="O2" s="11" cm="1">
        <f t="array" aca="1" ref="O2" ca="1">INDIRECT("'data'!$F$" &amp; $A$1)</f>
        <v>13709.800000000001</v>
      </c>
      <c r="P2" s="13">
        <f ca="1">IF(-(L2-Q2+O2)&lt;0, -(L2-Q2+O2), 0)</f>
        <v>-18684.487410295489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5019.2402985074632</v>
      </c>
      <c r="G3" s="14">
        <f ca="1">Q3-O3-P3-F3</f>
        <v>46.956581103163444</v>
      </c>
      <c r="H3" s="14"/>
      <c r="I3" s="14"/>
      <c r="J3" s="14"/>
      <c r="K3" s="13"/>
      <c r="L3" s="16">
        <f t="shared" ca="1" si="0"/>
        <v>5066.1968796106266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106.785</v>
      </c>
      <c r="P3" s="13" cm="1">
        <f t="array" aca="1" ref="P3" ca="1">-INDIRECT("'data'!$I$" &amp; $A$1)*parameters!$B$13</f>
        <v>-229.63499999999999</v>
      </c>
      <c r="Q3" s="16" cm="1">
        <f t="array" aca="1" ref="Q3" ca="1">INDIRECT("'data'!$G$" &amp; $A$1)*parameters!$B$13</f>
        <v>4943.3468796106263</v>
      </c>
      <c r="R3" s="16">
        <f t="shared" ref="R3:R10" ca="1" si="2">SUM(L3:P3)</f>
        <v>4943.3468796106263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166.51999999999998</v>
      </c>
      <c r="O4" s="11" cm="1">
        <f t="array" aca="1" ref="O4" ca="1">INDIRECT("'data'!$K$" &amp; $A$1)*parameters!$B$14</f>
        <v>7.36</v>
      </c>
      <c r="P4" s="13" cm="1">
        <f t="array" aca="1" ref="P4" ca="1">-INDIRECT("'data'!$L$" &amp; $A$1)*parameters!$B$14</f>
        <v>-173.88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107</v>
      </c>
      <c r="B5" s="11"/>
      <c r="C5" s="14"/>
      <c r="D5" s="14"/>
      <c r="E5" s="14"/>
      <c r="F5" s="14">
        <f ca="1">Q6/parameters!$B$5*27%</f>
        <v>1856.4313432835825</v>
      </c>
      <c r="G5" s="14">
        <f ca="1">Q7/parameters!$B$7-(G3+G4)</f>
        <v>88.215832689939987</v>
      </c>
      <c r="H5" s="14"/>
      <c r="I5" s="14"/>
      <c r="J5" s="14"/>
      <c r="K5" s="13"/>
      <c r="L5" s="16">
        <f t="shared" ca="1" si="0"/>
        <v>1944.6471759735225</v>
      </c>
      <c r="M5" s="16"/>
      <c r="N5" s="16"/>
      <c r="O5" s="11" cm="1">
        <f t="array" aca="1" ref="O5" ca="1">INDIRECT("'data'!$M$" &amp; $A$1)*parameters!$B$15</f>
        <v>4111.1000000000004</v>
      </c>
      <c r="P5" s="13" cm="1">
        <f t="array" aca="1" ref="P5" ca="1">-INDIRECT("'data'!$N$" &amp; $A$1)*parameters!$B$15</f>
        <v>-1707.16</v>
      </c>
      <c r="Q5" s="16">
        <f ca="1">SUM(L5:P5)</f>
        <v>4348.5871759735228</v>
      </c>
      <c r="R5" s="16">
        <f t="shared" ca="1" si="2"/>
        <v>4348.5871759735228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6449.38</v>
      </c>
      <c r="I6" s="14"/>
      <c r="J6" s="14"/>
      <c r="K6" s="13"/>
      <c r="L6" s="16">
        <f t="shared" ca="1" si="0"/>
        <v>6449.38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6449.38</v>
      </c>
      <c r="R6" s="16">
        <f t="shared" ca="1" si="2"/>
        <v>6449.38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129.35999999999999</v>
      </c>
      <c r="I7" s="14"/>
      <c r="J7" s="14"/>
      <c r="K7" s="13"/>
      <c r="L7" s="16">
        <f t="shared" ca="1" si="0"/>
        <v>129.35999999999999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129.35999999999999</v>
      </c>
      <c r="R7" s="16">
        <f t="shared" ca="1" si="2"/>
        <v>129.35999999999999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182.9226265609451</v>
      </c>
      <c r="J8" s="14">
        <f ca="1">Q10/J18</f>
        <v>6121.4173734390552</v>
      </c>
      <c r="K8" s="13"/>
      <c r="L8" s="16">
        <f t="shared" ca="1" si="0"/>
        <v>6304.34</v>
      </c>
      <c r="M8" s="16"/>
      <c r="N8" s="16">
        <f t="shared" ca="1" si="3"/>
        <v>0</v>
      </c>
      <c r="O8" s="11" cm="1">
        <f t="array" aca="1" ref="O8" ca="1">INDIRECT("'data'!$R$" &amp; $A$1)*parameters!$B$15</f>
        <v>653.66</v>
      </c>
      <c r="P8" s="13" cm="1">
        <f t="array" aca="1" ref="P8" ca="1">-INDIRECT("'data'!$S$" &amp; $A$1)*parameters!$B$15</f>
        <v>-379.26</v>
      </c>
      <c r="Q8" s="16">
        <f ca="1">SUM(Q6:Q7)</f>
        <v>6578.74</v>
      </c>
      <c r="R8" s="16">
        <f t="shared" ca="1" si="2"/>
        <v>6578.74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1507.24</v>
      </c>
      <c r="L9" s="16">
        <f t="shared" ca="1" si="0"/>
        <v>1507.24</v>
      </c>
      <c r="M9" s="16"/>
      <c r="N9" s="16">
        <f t="shared" ca="1" si="3"/>
        <v>0</v>
      </c>
      <c r="O9" s="11" cm="1">
        <f t="array" aca="1" ref="O9" ca="1">INDIRECT("'data'!$U$" &amp; $A$1)*parameters!$B$15</f>
        <v>652.67999999999995</v>
      </c>
      <c r="P9" s="13" cm="1">
        <f t="array" aca="1" ref="P9" ca="1">-INDIRECT("'data'!$V$" &amp; $A$1)*parameters!$B$15</f>
        <v>-1983.52</v>
      </c>
      <c r="Q9" s="16" cm="1">
        <f t="array" aca="1" ref="Q9" ca="1">INDIRECT("'data'!$T$" &amp; $A$1)*parameters!$B$15</f>
        <v>176.4</v>
      </c>
      <c r="R9" s="16">
        <f t="shared" ca="1" si="2"/>
        <v>176.40000000000009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2123.2808250355615</v>
      </c>
      <c r="L10" s="16">
        <f t="shared" ca="1" si="0"/>
        <v>2123.2808250355615</v>
      </c>
      <c r="M10" s="16"/>
      <c r="N10" s="16">
        <f t="shared" ca="1" si="3"/>
        <v>0</v>
      </c>
      <c r="O10" s="11" cm="1">
        <f t="array" aca="1" ref="O10" ca="1">INDIRECT("'data'!$X$" &amp; $A$1)*parameters!$B$15</f>
        <v>6773.76</v>
      </c>
      <c r="P10" s="13" cm="1">
        <f t="array" aca="1" ref="P10" ca="1">-INDIRECT("'data'!$Y$" &amp; $A$1)*parameters!$B$15</f>
        <v>-2993.9</v>
      </c>
      <c r="Q10" s="16" cm="1">
        <f t="array" aca="1" ref="Q10" ca="1">INDIRECT("'data'!$W$" &amp; $A$1)*parameters!$B$15</f>
        <v>5903.1408250355616</v>
      </c>
      <c r="R10" s="16">
        <f t="shared" ca="1" si="2"/>
        <v>5903.1408250355616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2345.1471095305824</v>
      </c>
      <c r="N11" s="19"/>
      <c r="O11" s="21" cm="1">
        <f t="array" aca="1" ref="O11" ca="1">INDIRECT("'data'!$Z$" &amp; $A$1)*parameters!$B$15</f>
        <v>7246.12</v>
      </c>
      <c r="P11" s="27" cm="1">
        <f t="array" aca="1" ref="P11" ca="1">-INDIRECT("'data'!$AA$" &amp; $A$1)*parameters!$B$15</f>
        <v>-6348.44</v>
      </c>
      <c r="Q11" s="16">
        <f ca="1">K9*parameters!$B$10+K10*parameters!$B$11</f>
        <v>3242.8271095305827</v>
      </c>
      <c r="R11" s="16">
        <f t="shared" ref="R11:R17" ca="1" si="4">SUM(L11:P11)</f>
        <v>3242.8271095305818</v>
      </c>
    </row>
    <row r="12" spans="1:19">
      <c r="A12" s="29" t="s">
        <v>86</v>
      </c>
      <c r="B12" s="10">
        <f ca="1">-(B17-Q2)</f>
        <v>0</v>
      </c>
      <c r="C12" s="9">
        <f ca="1">-(C17-Q3)</f>
        <v>-31.340530684861733</v>
      </c>
      <c r="D12" s="9">
        <f ca="1">-(D17-Q4)</f>
        <v>0</v>
      </c>
      <c r="E12" s="9">
        <f ca="1">-(E17-Q5)</f>
        <v>-537.46583073830061</v>
      </c>
      <c r="F12" s="9">
        <f ca="1">-(F17-Q6)</f>
        <v>-426.29164179104555</v>
      </c>
      <c r="G12" s="9">
        <f ca="1">-(G17-Q7)</f>
        <v>-5.8124137931034454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-1000.9104170073114</v>
      </c>
      <c r="M12" s="17"/>
      <c r="N12" s="17"/>
      <c r="O12" s="10"/>
      <c r="P12" s="12"/>
      <c r="Q12" s="9">
        <f t="shared" ref="Q12:Q17" ca="1" si="6">SUM(L12:P12)</f>
        <v>-1000.9104170073114</v>
      </c>
      <c r="R12" s="17">
        <f t="shared" ca="1" si="4"/>
        <v>-1000.9104170073114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-6.5226265609450991</v>
      </c>
      <c r="J13" s="14">
        <f ca="1">-(J17-Q10)</f>
        <v>-218.27654840349351</v>
      </c>
      <c r="K13" s="13">
        <f ca="1">-(K17-Q11)</f>
        <v>-387.69371550497908</v>
      </c>
      <c r="L13" s="14">
        <f t="shared" ca="1" si="5"/>
        <v>-612.49289046941772</v>
      </c>
      <c r="M13" s="16">
        <f ca="1">-E15</f>
        <v>-4273.5601162424055</v>
      </c>
      <c r="N13" s="16"/>
      <c r="O13" s="11"/>
      <c r="P13" s="13"/>
      <c r="Q13" s="14">
        <f t="shared" ca="1" si="6"/>
        <v>-4886.0530067118234</v>
      </c>
      <c r="R13" s="16">
        <f t="shared" ca="1" si="4"/>
        <v>-4886.0530067118234</v>
      </c>
    </row>
    <row r="14" spans="1:19">
      <c r="A14" s="18" t="s">
        <v>78</v>
      </c>
      <c r="B14" s="11"/>
      <c r="C14" s="14"/>
      <c r="D14" s="14"/>
      <c r="E14" s="14">
        <f ca="1">-(I13+J13)-K13</f>
        <v>612.49289046941772</v>
      </c>
      <c r="F14" s="14"/>
      <c r="G14" s="14"/>
      <c r="H14" s="14"/>
      <c r="I14" s="14"/>
      <c r="J14" s="14"/>
      <c r="K14" s="13"/>
      <c r="L14" s="14">
        <f t="shared" ca="1" si="5"/>
        <v>612.49289046941772</v>
      </c>
      <c r="M14" s="16"/>
      <c r="N14" s="16"/>
      <c r="O14" s="11"/>
      <c r="P14" s="13"/>
      <c r="Q14" s="14">
        <f t="shared" ca="1" si="6"/>
        <v>612.49289046941772</v>
      </c>
      <c r="R14" s="16">
        <f t="shared" ca="1" si="4"/>
        <v>612.49289046941772</v>
      </c>
    </row>
    <row r="15" spans="1:19">
      <c r="A15" s="18" t="s">
        <v>79</v>
      </c>
      <c r="B15" s="11"/>
      <c r="C15" s="14"/>
      <c r="D15" s="14"/>
      <c r="E15" s="14">
        <f ca="1">E17-E14</f>
        <v>4273.5601162424055</v>
      </c>
      <c r="F15" s="14"/>
      <c r="G15" s="14"/>
      <c r="H15" s="14"/>
      <c r="I15" s="14"/>
      <c r="J15" s="14"/>
      <c r="K15" s="13"/>
      <c r="L15" s="14">
        <f t="shared" ca="1" si="5"/>
        <v>4273.5601162424055</v>
      </c>
      <c r="M15" s="16"/>
      <c r="N15" s="16"/>
      <c r="O15" s="11"/>
      <c r="P15" s="13"/>
      <c r="Q15" s="14">
        <f t="shared" ca="1" si="6"/>
        <v>4273.5601162424055</v>
      </c>
      <c r="R15" s="16">
        <f t="shared" ca="1" si="4"/>
        <v>4273.5601162424055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4974.687410295488</v>
      </c>
      <c r="D17" s="9">
        <f ca="1">SUM(D$2:D$11)</f>
        <v>0</v>
      </c>
      <c r="E17" s="9">
        <f ca="1">$Q$5/parameters!$B$4</f>
        <v>4886.0530067118234</v>
      </c>
      <c r="F17" s="9">
        <f t="shared" ref="F17:K17" ca="1" si="7">SUM(F$2:F$11)</f>
        <v>6875.6716417910457</v>
      </c>
      <c r="G17" s="9">
        <f t="shared" ca="1" si="7"/>
        <v>135.17241379310343</v>
      </c>
      <c r="H17" s="9">
        <f t="shared" ca="1" si="7"/>
        <v>6578.74</v>
      </c>
      <c r="I17" s="9">
        <f t="shared" ca="1" si="7"/>
        <v>182.9226265609451</v>
      </c>
      <c r="J17" s="9">
        <f t="shared" ca="1" si="7"/>
        <v>6121.4173734390552</v>
      </c>
      <c r="K17" s="9">
        <f t="shared" ca="1" si="7"/>
        <v>3630.5208250355618</v>
      </c>
      <c r="L17" s="17">
        <f t="shared" ca="1" si="5"/>
        <v>33385.185297627031</v>
      </c>
      <c r="M17" s="17"/>
      <c r="N17" s="17"/>
      <c r="O17" s="9"/>
      <c r="P17" s="14"/>
      <c r="Q17" s="11">
        <f t="shared" ca="1" si="6"/>
        <v>33385.185297627031</v>
      </c>
      <c r="R17" s="17">
        <f t="shared" ca="1" si="4"/>
        <v>33385.185297627031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0.96434215556831659</v>
      </c>
      <c r="J18" s="39">
        <f ca="1">I18</f>
        <v>0.96434215556831659</v>
      </c>
      <c r="K18" s="40">
        <f ca="1">1-(-K13)/K17</f>
        <v>0.89321264518536914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3306.5965583173993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3306.5965583173993</v>
      </c>
      <c r="M2" s="17"/>
      <c r="N2" s="17">
        <f ca="1">Q2-(L2+O2+P2)</f>
        <v>10997.053441682539</v>
      </c>
      <c r="O2" s="11" cm="1">
        <f t="array" aca="1" ref="O2" ca="1">INDIRECT("'data'!$F$" &amp; $A$1)</f>
        <v>398696.35000000003</v>
      </c>
      <c r="P2" s="13">
        <f ca="1">IF(-(L2-Q2+O2)&lt;0, -(L2-Q2+O2), 0)</f>
        <v>0</v>
      </c>
      <c r="Q2" s="17" cm="1">
        <f t="array" aca="1" ref="Q2" ca="1">INDIRECT("'data'!$D$" &amp; $A$1)</f>
        <v>413000</v>
      </c>
      <c r="R2" s="17">
        <f ca="1">SUM(L2:P2)</f>
        <v>413000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3044.0597014925374</v>
      </c>
      <c r="G3" s="14">
        <f ca="1">Q3-O3-P3-F3</f>
        <v>251.15529850746225</v>
      </c>
      <c r="H3" s="14"/>
      <c r="I3" s="14"/>
      <c r="J3" s="14"/>
      <c r="K3" s="13"/>
      <c r="L3" s="16">
        <f t="shared" ca="1" si="0"/>
        <v>3295.2149999999997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-9.4499999999999993</v>
      </c>
      <c r="Q3" s="16" cm="1">
        <f t="array" aca="1" ref="Q3" ca="1">INDIRECT("'data'!$G$" &amp; $A$1)*parameters!$B$13</f>
        <v>3285.7649999999999</v>
      </c>
      <c r="R3" s="16">
        <f t="shared" ref="R3:R10" ca="1" si="2">SUM(L3:P3)</f>
        <v>3285.7649999999999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761.01492537313436</v>
      </c>
      <c r="G5" s="14">
        <f ca="1">Q7/parameters!$B$7-(G3+G4)</f>
        <v>818.95964402127333</v>
      </c>
      <c r="H5" s="14"/>
      <c r="I5" s="14"/>
      <c r="J5" s="14"/>
      <c r="K5" s="13"/>
      <c r="L5" s="16">
        <f t="shared" ca="1" si="0"/>
        <v>1579.9745693944078</v>
      </c>
      <c r="M5" s="16"/>
      <c r="N5" s="16"/>
      <c r="O5" s="11" cm="1">
        <f t="array" aca="1" ref="O5" ca="1">INDIRECT("'data'!$M$" &amp; $A$1)*parameters!$B$15</f>
        <v>2156</v>
      </c>
      <c r="P5" s="13" cm="1">
        <f t="array" aca="1" ref="P5" ca="1">-INDIRECT("'data'!$N$" &amp; $A$1)*parameters!$B$15</f>
        <v>-1.96</v>
      </c>
      <c r="Q5" s="16">
        <f ca="1">SUM(L5:P5)</f>
        <v>3734.0145693944078</v>
      </c>
      <c r="R5" s="16">
        <f t="shared" ca="1" si="2"/>
        <v>3734.0145693944078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3569.16</v>
      </c>
      <c r="I6" s="14"/>
      <c r="J6" s="14"/>
      <c r="K6" s="13"/>
      <c r="L6" s="16">
        <f t="shared" ca="1" si="0"/>
        <v>3569.16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3569.16</v>
      </c>
      <c r="R6" s="16">
        <f t="shared" ca="1" si="2"/>
        <v>3569.16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1024.0999999999999</v>
      </c>
      <c r="I7" s="14"/>
      <c r="J7" s="14"/>
      <c r="K7" s="13"/>
      <c r="L7" s="16">
        <f t="shared" ca="1" si="0"/>
        <v>1024.0999999999999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1024.0999999999999</v>
      </c>
      <c r="R7" s="16">
        <f t="shared" ca="1" si="2"/>
        <v>1024.0999999999999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1953.5977665092785</v>
      </c>
      <c r="J8" s="14">
        <f ca="1">Q10/J18</f>
        <v>2615.162233490722</v>
      </c>
      <c r="K8" s="13"/>
      <c r="L8" s="16">
        <f t="shared" ca="1" si="0"/>
        <v>4568.76</v>
      </c>
      <c r="M8" s="16"/>
      <c r="N8" s="16">
        <f t="shared" ca="1" si="3"/>
        <v>0</v>
      </c>
      <c r="O8" s="11" cm="1">
        <f t="array" aca="1" ref="O8" ca="1">INDIRECT("'data'!$R$" &amp; $A$1)*parameters!$B$15</f>
        <v>27.439999999999998</v>
      </c>
      <c r="P8" s="13" cm="1">
        <f t="array" aca="1" ref="P8" ca="1">-INDIRECT("'data'!$S$" &amp; $A$1)*parameters!$B$15</f>
        <v>-2.94</v>
      </c>
      <c r="Q8" s="16">
        <f ca="1">SUM(Q6:Q7)</f>
        <v>4593.26</v>
      </c>
      <c r="R8" s="16">
        <f t="shared" ca="1" si="2"/>
        <v>4593.26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2431.38</v>
      </c>
      <c r="L9" s="16">
        <f t="shared" ca="1" si="0"/>
        <v>2431.38</v>
      </c>
      <c r="M9" s="16"/>
      <c r="N9" s="16">
        <f t="shared" ca="1" si="3"/>
        <v>0</v>
      </c>
      <c r="O9" s="11" cm="1">
        <f t="array" aca="1" ref="O9" ca="1">INDIRECT("'data'!$U$" &amp; $A$1)*parameters!$B$15</f>
        <v>97.02</v>
      </c>
      <c r="P9" s="13" cm="1">
        <f t="array" aca="1" ref="P9" ca="1">-INDIRECT("'data'!$V$" &amp; $A$1)*parameters!$B$15</f>
        <v>-715.4</v>
      </c>
      <c r="Q9" s="16" cm="1">
        <f t="array" aca="1" ref="Q9" ca="1">INDIRECT("'data'!$T$" &amp; $A$1)*parameters!$B$15</f>
        <v>1813</v>
      </c>
      <c r="R9" s="16">
        <f t="shared" ca="1" si="2"/>
        <v>1813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2614.1325746799425</v>
      </c>
      <c r="L10" s="16">
        <f t="shared" ca="1" si="0"/>
        <v>2614.1325746799425</v>
      </c>
      <c r="M10" s="16"/>
      <c r="N10" s="16">
        <f t="shared" ca="1" si="3"/>
        <v>0</v>
      </c>
      <c r="O10" s="11" cm="1">
        <f t="array" aca="1" ref="O10" ca="1">INDIRECT("'data'!$X$" &amp; $A$1)*parameters!$B$15</f>
        <v>429.24</v>
      </c>
      <c r="P10" s="13" cm="1">
        <f t="array" aca="1" ref="P10" ca="1">-INDIRECT("'data'!$Y$" &amp; $A$1)*parameters!$B$15</f>
        <v>-616.41999999999996</v>
      </c>
      <c r="Q10" s="16" cm="1">
        <f t="array" aca="1" ref="Q10" ca="1">INDIRECT("'data'!$W$" &amp; $A$1)*parameters!$B$15</f>
        <v>2426.9525746799427</v>
      </c>
      <c r="R10" s="16">
        <f t="shared" ca="1" si="2"/>
        <v>2426.9525746799427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9620.8312142247505</v>
      </c>
      <c r="N11" s="19"/>
      <c r="O11" s="21" cm="1">
        <f t="array" aca="1" ref="O11" ca="1">INDIRECT("'data'!$Z$" &amp; $A$1)*parameters!$B$15</f>
        <v>848.68</v>
      </c>
      <c r="P11" s="27" cm="1">
        <f t="array" aca="1" ref="P11" ca="1">-INDIRECT("'data'!$AA$" &amp; $A$1)*parameters!$B$15</f>
        <v>-5935.86</v>
      </c>
      <c r="Q11" s="16">
        <f ca="1">K9*parameters!$B$10+K10*parameters!$B$11</f>
        <v>4533.6512142247502</v>
      </c>
      <c r="R11" s="16">
        <f t="shared" ref="R11:R17" ca="1" si="4">SUM(L11:P11)</f>
        <v>4533.6512142247511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-20.831558317399413</v>
      </c>
      <c r="D12" s="9">
        <f ca="1">-(D17-Q4)</f>
        <v>0</v>
      </c>
      <c r="E12" s="9">
        <f ca="1">-(E17-Q5)</f>
        <v>-461.50741868919613</v>
      </c>
      <c r="F12" s="9">
        <f ca="1">-(F17-Q6)</f>
        <v>-235.91462686567183</v>
      </c>
      <c r="G12" s="9">
        <f ca="1">-(G17-Q7)</f>
        <v>-46.014942528735673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-764.26854640100305</v>
      </c>
      <c r="M12" s="17"/>
      <c r="N12" s="17"/>
      <c r="O12" s="10"/>
      <c r="P12" s="12"/>
      <c r="Q12" s="9">
        <f t="shared" ref="Q12:Q17" ca="1" si="6">SUM(L12:P12)</f>
        <v>-764.26854640100305</v>
      </c>
      <c r="R12" s="17">
        <f t="shared" ca="1" si="4"/>
        <v>-764.26854640100305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-140.59776650927847</v>
      </c>
      <c r="J13" s="14">
        <f ca="1">-(J17-Q10)</f>
        <v>-188.20965881077927</v>
      </c>
      <c r="K13" s="13">
        <f ca="1">-(K17-Q11)</f>
        <v>-511.86136045519197</v>
      </c>
      <c r="L13" s="14">
        <f t="shared" ca="1" si="5"/>
        <v>-840.66878577524972</v>
      </c>
      <c r="M13" s="16">
        <f ca="1">-E15</f>
        <v>-3354.8532023083544</v>
      </c>
      <c r="N13" s="16"/>
      <c r="O13" s="11"/>
      <c r="P13" s="13"/>
      <c r="Q13" s="14">
        <f t="shared" ca="1" si="6"/>
        <v>-4195.5219880836039</v>
      </c>
      <c r="R13" s="16">
        <f t="shared" ca="1" si="4"/>
        <v>-4195.5219880836039</v>
      </c>
    </row>
    <row r="14" spans="1:19">
      <c r="A14" s="18" t="s">
        <v>78</v>
      </c>
      <c r="B14" s="11"/>
      <c r="C14" s="14"/>
      <c r="D14" s="14"/>
      <c r="E14" s="14">
        <f ca="1">-(I13+J13)-K13</f>
        <v>840.66878577524972</v>
      </c>
      <c r="F14" s="14"/>
      <c r="G14" s="14"/>
      <c r="H14" s="14"/>
      <c r="I14" s="14"/>
      <c r="J14" s="14"/>
      <c r="K14" s="13"/>
      <c r="L14" s="14">
        <f t="shared" ca="1" si="5"/>
        <v>840.66878577524972</v>
      </c>
      <c r="M14" s="16"/>
      <c r="N14" s="16"/>
      <c r="O14" s="11"/>
      <c r="P14" s="13"/>
      <c r="Q14" s="14">
        <f t="shared" ca="1" si="6"/>
        <v>840.66878577524972</v>
      </c>
      <c r="R14" s="16">
        <f t="shared" ca="1" si="4"/>
        <v>840.66878577524972</v>
      </c>
    </row>
    <row r="15" spans="1:19">
      <c r="A15" s="18" t="s">
        <v>79</v>
      </c>
      <c r="B15" s="11"/>
      <c r="C15" s="14"/>
      <c r="D15" s="14"/>
      <c r="E15" s="14">
        <f ca="1">E17-E14</f>
        <v>3354.8532023083544</v>
      </c>
      <c r="F15" s="14"/>
      <c r="G15" s="14"/>
      <c r="H15" s="14"/>
      <c r="I15" s="14"/>
      <c r="J15" s="14"/>
      <c r="K15" s="13"/>
      <c r="L15" s="14">
        <f t="shared" ca="1" si="5"/>
        <v>3354.8532023083544</v>
      </c>
      <c r="M15" s="16"/>
      <c r="N15" s="16"/>
      <c r="O15" s="11"/>
      <c r="P15" s="13"/>
      <c r="Q15" s="14">
        <f t="shared" ca="1" si="6"/>
        <v>3354.8532023083544</v>
      </c>
      <c r="R15" s="16">
        <f t="shared" ca="1" si="4"/>
        <v>3354.8532023083544</v>
      </c>
    </row>
    <row r="16" spans="1:19">
      <c r="A16" s="30" t="s">
        <v>89</v>
      </c>
      <c r="B16" s="21">
        <f ca="1">Q2</f>
        <v>413000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413000</v>
      </c>
      <c r="M16" s="19"/>
      <c r="N16" s="19"/>
      <c r="O16" s="21"/>
      <c r="P16" s="27"/>
      <c r="Q16" s="22">
        <f t="shared" ca="1" si="6"/>
        <v>413000</v>
      </c>
      <c r="R16" s="19">
        <f t="shared" ca="1" si="4"/>
        <v>413000</v>
      </c>
    </row>
    <row r="17" spans="1:18">
      <c r="A17" s="29" t="s">
        <v>88</v>
      </c>
      <c r="B17" s="9">
        <f ca="1">B16</f>
        <v>413000</v>
      </c>
      <c r="C17" s="9">
        <f ca="1">SUM(C$2:C$11)</f>
        <v>3306.5965583173993</v>
      </c>
      <c r="D17" s="9">
        <f ca="1">SUM(D$2:D$11)</f>
        <v>0</v>
      </c>
      <c r="E17" s="9">
        <f ca="1">$Q$5/parameters!$B$4</f>
        <v>4195.5219880836039</v>
      </c>
      <c r="F17" s="9">
        <f t="shared" ref="F17:K17" ca="1" si="7">SUM(F$2:F$11)</f>
        <v>3805.0746268656717</v>
      </c>
      <c r="G17" s="9">
        <f t="shared" ca="1" si="7"/>
        <v>1070.1149425287356</v>
      </c>
      <c r="H17" s="9">
        <f t="shared" ca="1" si="7"/>
        <v>4593.26</v>
      </c>
      <c r="I17" s="9">
        <f t="shared" ca="1" si="7"/>
        <v>1953.5977665092785</v>
      </c>
      <c r="J17" s="9">
        <f t="shared" ca="1" si="7"/>
        <v>2615.162233490722</v>
      </c>
      <c r="K17" s="9">
        <f t="shared" ca="1" si="7"/>
        <v>5045.5125746799422</v>
      </c>
      <c r="L17" s="17">
        <f t="shared" ca="1" si="5"/>
        <v>439584.84069047536</v>
      </c>
      <c r="M17" s="17"/>
      <c r="N17" s="17"/>
      <c r="O17" s="9"/>
      <c r="P17" s="14"/>
      <c r="Q17" s="11">
        <f t="shared" ca="1" si="6"/>
        <v>439584.84069047536</v>
      </c>
      <c r="R17" s="17">
        <f t="shared" ca="1" si="4"/>
        <v>439584.84069047536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0.9280313640199841</v>
      </c>
      <c r="J18" s="39">
        <f ca="1">I18</f>
        <v>0.9280313640199841</v>
      </c>
      <c r="K18" s="40">
        <f ca="1">1-(-K13)/K17</f>
        <v>0.89855116742273478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4686.4848545838786</v>
      </c>
      <c r="D2" s="9">
        <f ca="1">Q4/parameters!$B$3</f>
        <v>1198.9534064607026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5885.4382610445809</v>
      </c>
      <c r="M2" s="17"/>
      <c r="N2" s="17">
        <f ca="1">Q2-(L2+O2+P2)</f>
        <v>0</v>
      </c>
      <c r="O2" s="11" cm="1">
        <f t="array" aca="1" ref="O2" ca="1">INDIRECT("'data'!$F$" &amp; $A$1)</f>
        <v>40795.950000000004</v>
      </c>
      <c r="P2" s="13">
        <f ca="1">IF(-(L2-Q2+O2)&lt;0, -(L2-Q2+O2), 0)</f>
        <v>-981.38826104458713</v>
      </c>
      <c r="Q2" s="17" cm="1">
        <f t="array" aca="1" ref="Q2" ca="1">INDIRECT("'data'!$D$" &amp; $A$1)</f>
        <v>45700</v>
      </c>
      <c r="R2" s="17">
        <f ca="1">SUM(L2:P2)</f>
        <v>45700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3570.6268656716411</v>
      </c>
      <c r="G3" s="14">
        <f ca="1">Q3-O3-P3-F3</f>
        <v>489.09313432835916</v>
      </c>
      <c r="H3" s="14"/>
      <c r="I3" s="14"/>
      <c r="J3" s="14"/>
      <c r="K3" s="13"/>
      <c r="L3" s="16">
        <f t="shared" ca="1" si="0"/>
        <v>4059.7200000000003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597.24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4656.96</v>
      </c>
      <c r="R3" s="16">
        <f t="shared" ref="R3:R10" ca="1" si="2">SUM(L3:P3)</f>
        <v>4656.96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1190.48</v>
      </c>
      <c r="H4" s="14"/>
      <c r="I4" s="14"/>
      <c r="J4" s="14"/>
      <c r="K4" s="13"/>
      <c r="L4" s="16">
        <f t="shared" ca="1" si="0"/>
        <v>1190.48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1191.4000000000001</v>
      </c>
      <c r="R4" s="16">
        <f t="shared" ca="1" si="2"/>
        <v>1191.4000000000001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892.65671641791039</v>
      </c>
      <c r="G5" s="14">
        <f ca="1">Q7/parameters!$B$7-(G3+G4)</f>
        <v>1279.8835009903451</v>
      </c>
      <c r="H5" s="14"/>
      <c r="I5" s="14"/>
      <c r="J5" s="14"/>
      <c r="K5" s="13"/>
      <c r="L5" s="16">
        <f t="shared" ca="1" si="0"/>
        <v>2172.5402174082556</v>
      </c>
      <c r="M5" s="16"/>
      <c r="N5" s="16"/>
      <c r="O5" s="11" cm="1">
        <f t="array" aca="1" ref="O5" ca="1">INDIRECT("'data'!$M$" &amp; $A$1)*parameters!$B$15</f>
        <v>1455.3</v>
      </c>
      <c r="P5" s="13" cm="1">
        <f t="array" aca="1" ref="P5" ca="1">-INDIRECT("'data'!$N$" &amp; $A$1)*parameters!$B$15</f>
        <v>-27.439999999999998</v>
      </c>
      <c r="Q5" s="16">
        <f ca="1">SUM(L5:P5)</f>
        <v>3600.4002174082557</v>
      </c>
      <c r="R5" s="16">
        <f t="shared" ca="1" si="2"/>
        <v>3600.4002174082557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4186.5599999999995</v>
      </c>
      <c r="I6" s="14"/>
      <c r="J6" s="14"/>
      <c r="K6" s="13"/>
      <c r="L6" s="16">
        <f t="shared" ca="1" si="0"/>
        <v>4186.5599999999995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4186.5599999999995</v>
      </c>
      <c r="R6" s="16">
        <f t="shared" ca="1" si="2"/>
        <v>4186.5599999999995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2832.2</v>
      </c>
      <c r="I7" s="14"/>
      <c r="J7" s="14"/>
      <c r="K7" s="13"/>
      <c r="L7" s="16">
        <f t="shared" ca="1" si="0"/>
        <v>2832.2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2832.2</v>
      </c>
      <c r="R7" s="16">
        <f t="shared" ca="1" si="2"/>
        <v>2832.2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2867.5060198632527</v>
      </c>
      <c r="J8" s="14">
        <f ca="1">Q10/J18</f>
        <v>4239.4539801367473</v>
      </c>
      <c r="K8" s="13"/>
      <c r="L8" s="16">
        <f t="shared" ca="1" si="0"/>
        <v>7106.96</v>
      </c>
      <c r="M8" s="16"/>
      <c r="N8" s="16">
        <f t="shared" ca="1" si="3"/>
        <v>0</v>
      </c>
      <c r="O8" s="11" cm="1">
        <f t="array" aca="1" ref="O8" ca="1">INDIRECT("'data'!$R$" &amp; $A$1)*parameters!$B$15</f>
        <v>25.48</v>
      </c>
      <c r="P8" s="13" cm="1">
        <f t="array" aca="1" ref="P8" ca="1">-INDIRECT("'data'!$S$" &amp; $A$1)*parameters!$B$15</f>
        <v>-113.67999999999999</v>
      </c>
      <c r="Q8" s="16">
        <f ca="1">SUM(Q6:Q7)</f>
        <v>7018.7599999999993</v>
      </c>
      <c r="R8" s="16">
        <f t="shared" ca="1" si="2"/>
        <v>7018.7599999999993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2100.1400000000003</v>
      </c>
      <c r="L9" s="16">
        <f t="shared" ca="1" si="0"/>
        <v>2100.1400000000003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482.15999999999997</v>
      </c>
      <c r="P9" s="13" cm="1">
        <f t="array" aca="1" ref="P9" ca="1">-INDIRECT("'data'!$V$" &amp; $A$1)*parameters!$B$15</f>
        <v>-328.3</v>
      </c>
      <c r="Q9" s="16" cm="1">
        <f t="array" aca="1" ref="Q9" ca="1">INDIRECT("'data'!$T$" &amp; $A$1)*parameters!$B$15</f>
        <v>2254</v>
      </c>
      <c r="R9" s="16">
        <f t="shared" ca="1" si="2"/>
        <v>2254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3202.0782076813657</v>
      </c>
      <c r="L10" s="16">
        <f t="shared" ca="1" si="0"/>
        <v>3202.0782076813657</v>
      </c>
      <c r="M10" s="16"/>
      <c r="N10" s="16">
        <f t="shared" ca="1" si="3"/>
        <v>0</v>
      </c>
      <c r="O10" s="11" cm="1">
        <f t="array" aca="1" ref="O10" ca="1">INDIRECT("'data'!$X$" &amp; $A$1)*parameters!$B$15</f>
        <v>1196.58</v>
      </c>
      <c r="P10" s="13" cm="1">
        <f t="array" aca="1" ref="P10" ca="1">-INDIRECT("'data'!$Y$" &amp; $A$1)*parameters!$B$15</f>
        <v>-1066.24</v>
      </c>
      <c r="Q10" s="16" cm="1">
        <f t="array" aca="1" ref="Q10" ca="1">INDIRECT("'data'!$W$" &amp; $A$1)*parameters!$B$15</f>
        <v>3332.4182076813659</v>
      </c>
      <c r="R10" s="16">
        <f t="shared" ca="1" si="2"/>
        <v>3332.4182076813659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5116.9788586059749</v>
      </c>
      <c r="N11" s="19"/>
      <c r="O11" s="21" cm="1">
        <f t="array" aca="1" ref="O11" ca="1">INDIRECT("'data'!$Z$" &amp; $A$1)*parameters!$B$15</f>
        <v>1736.56</v>
      </c>
      <c r="P11" s="27" cm="1">
        <f t="array" aca="1" ref="P11" ca="1">-INDIRECT("'data'!$AA$" &amp; $A$1)*parameters!$B$15</f>
        <v>-2125.62</v>
      </c>
      <c r="Q11" s="16">
        <f ca="1">K9*parameters!$B$10+K10*parameters!$B$11</f>
        <v>4727.9188586059745</v>
      </c>
      <c r="R11" s="16">
        <f t="shared" ref="R11:R17" ca="1" si="4">SUM(L11:P11)</f>
        <v>4727.9188586059745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-29.52485458387855</v>
      </c>
      <c r="D12" s="9">
        <f ca="1">-(D17-Q4)</f>
        <v>-7.5534064607024902</v>
      </c>
      <c r="E12" s="9">
        <f ca="1">-(E17-Q5)</f>
        <v>-444.99328529764944</v>
      </c>
      <c r="F12" s="9">
        <f ca="1">-(F17-Q6)</f>
        <v>-276.72358208955211</v>
      </c>
      <c r="G12" s="9">
        <f ca="1">-(G17-Q7)</f>
        <v>-127.25663531870441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-886.051763750487</v>
      </c>
      <c r="M12" s="17"/>
      <c r="N12" s="17"/>
      <c r="O12" s="10"/>
      <c r="P12" s="12"/>
      <c r="Q12" s="9">
        <f t="shared" ref="Q12:Q17" ca="1" si="6">SUM(L12:P12)</f>
        <v>-886.051763750487</v>
      </c>
      <c r="R12" s="17">
        <f t="shared" ca="1" si="4"/>
        <v>-886.051763750487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-613.50601986325273</v>
      </c>
      <c r="J13" s="14">
        <f ca="1">-(J17-Q10)</f>
        <v>-907.03577245538145</v>
      </c>
      <c r="K13" s="13">
        <f ca="1">-(K17-Q11)</f>
        <v>-574.29934907539155</v>
      </c>
      <c r="L13" s="14">
        <f t="shared" ca="1" si="5"/>
        <v>-2094.8411413940257</v>
      </c>
      <c r="M13" s="16">
        <f ca="1">-E15</f>
        <v>-1950.5523613118794</v>
      </c>
      <c r="N13" s="16"/>
      <c r="O13" s="11"/>
      <c r="P13" s="13"/>
      <c r="Q13" s="14">
        <f t="shared" ca="1" si="6"/>
        <v>-4045.3935027059051</v>
      </c>
      <c r="R13" s="16">
        <f t="shared" ca="1" si="4"/>
        <v>-4045.3935027059051</v>
      </c>
    </row>
    <row r="14" spans="1:20">
      <c r="A14" s="18" t="s">
        <v>78</v>
      </c>
      <c r="B14" s="11"/>
      <c r="C14" s="14"/>
      <c r="D14" s="14"/>
      <c r="E14" s="14">
        <f ca="1">-(I13+J13)-K13</f>
        <v>2094.8411413940257</v>
      </c>
      <c r="F14" s="14"/>
      <c r="G14" s="14"/>
      <c r="H14" s="14"/>
      <c r="I14" s="14"/>
      <c r="J14" s="14"/>
      <c r="K14" s="13"/>
      <c r="L14" s="14">
        <f t="shared" ca="1" si="5"/>
        <v>2094.8411413940257</v>
      </c>
      <c r="M14" s="16"/>
      <c r="N14" s="16"/>
      <c r="O14" s="11"/>
      <c r="P14" s="13"/>
      <c r="Q14" s="14">
        <f t="shared" ca="1" si="6"/>
        <v>2094.8411413940257</v>
      </c>
      <c r="R14" s="16">
        <f t="shared" ca="1" si="4"/>
        <v>2094.8411413940257</v>
      </c>
    </row>
    <row r="15" spans="1:20">
      <c r="A15" s="18" t="s">
        <v>79</v>
      </c>
      <c r="B15" s="11"/>
      <c r="C15" s="14"/>
      <c r="D15" s="14"/>
      <c r="E15" s="14">
        <f ca="1">E17-E14</f>
        <v>1950.5523613118794</v>
      </c>
      <c r="F15" s="14"/>
      <c r="G15" s="14"/>
      <c r="H15" s="14"/>
      <c r="I15" s="14"/>
      <c r="J15" s="14"/>
      <c r="K15" s="13"/>
      <c r="L15" s="14">
        <f t="shared" ca="1" si="5"/>
        <v>1950.5523613118794</v>
      </c>
      <c r="M15" s="16"/>
      <c r="N15" s="16"/>
      <c r="O15" s="11"/>
      <c r="P15" s="13"/>
      <c r="Q15" s="14">
        <f t="shared" ca="1" si="6"/>
        <v>1950.5523613118794</v>
      </c>
      <c r="R15" s="16">
        <f t="shared" ca="1" si="4"/>
        <v>1950.5523613118794</v>
      </c>
    </row>
    <row r="16" spans="1:20">
      <c r="A16" s="30" t="s">
        <v>89</v>
      </c>
      <c r="B16" s="21">
        <f ca="1">Q2</f>
        <v>45700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45700</v>
      </c>
      <c r="M16" s="19"/>
      <c r="N16" s="19"/>
      <c r="O16" s="21"/>
      <c r="P16" s="27"/>
      <c r="Q16" s="22">
        <f t="shared" ca="1" si="6"/>
        <v>45700</v>
      </c>
      <c r="R16" s="19">
        <f t="shared" ca="1" si="4"/>
        <v>45700</v>
      </c>
    </row>
    <row r="17" spans="1:18">
      <c r="A17" s="29" t="s">
        <v>88</v>
      </c>
      <c r="B17" s="9">
        <f ca="1">B16</f>
        <v>45700</v>
      </c>
      <c r="C17" s="9">
        <f ca="1">SUM(C$2:C$11)</f>
        <v>4686.4848545838786</v>
      </c>
      <c r="D17" s="9">
        <f ca="1">SUM(D$2:D$11)</f>
        <v>1198.9534064607026</v>
      </c>
      <c r="E17" s="9">
        <f ca="1">$Q$5/parameters!$B$4</f>
        <v>4045.3935027059051</v>
      </c>
      <c r="F17" s="9">
        <f t="shared" ref="F17:K17" ca="1" si="7">SUM(F$2:F$11)</f>
        <v>4463.2835820895516</v>
      </c>
      <c r="G17" s="9">
        <f t="shared" ca="1" si="7"/>
        <v>2959.4566353187042</v>
      </c>
      <c r="H17" s="9">
        <f t="shared" ca="1" si="7"/>
        <v>7018.7599999999993</v>
      </c>
      <c r="I17" s="9">
        <f t="shared" ca="1" si="7"/>
        <v>2867.5060198632527</v>
      </c>
      <c r="J17" s="9">
        <f t="shared" ca="1" si="7"/>
        <v>4239.4539801367473</v>
      </c>
      <c r="K17" s="9">
        <f t="shared" ca="1" si="7"/>
        <v>5302.218207681366</v>
      </c>
      <c r="L17" s="17">
        <f t="shared" ca="1" si="5"/>
        <v>82481.510188840097</v>
      </c>
      <c r="M17" s="17"/>
      <c r="N17" s="17"/>
      <c r="O17" s="9"/>
      <c r="P17" s="14"/>
      <c r="Q17" s="11">
        <f t="shared" ca="1" si="6"/>
        <v>82481.510188840097</v>
      </c>
      <c r="R17" s="17">
        <f t="shared" ca="1" si="4"/>
        <v>82481.510188840097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0.78604891651020492</v>
      </c>
      <c r="J18" s="39">
        <f ca="1">I18</f>
        <v>0.78604891651020492</v>
      </c>
      <c r="K18" s="40">
        <f ca="1">1-(-K13)/K17</f>
        <v>0.8916869644777351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1295.2400120760794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1295.2400120760794</v>
      </c>
      <c r="M2" s="17"/>
      <c r="N2" s="17">
        <f ca="1">Q2-(L2+O2+P2)</f>
        <v>0</v>
      </c>
      <c r="O2" s="11" cm="1">
        <f t="array" aca="1" ref="O2" ca="1">INDIRECT("'data'!$F$" &amp; $A$1)</f>
        <v>8078.2000000000007</v>
      </c>
      <c r="P2" s="13">
        <f ca="1">IF(-(L2-Q2+O2)&lt;0, -(L2-Q2+O2), 0)</f>
        <v>-2133.4400120760802</v>
      </c>
      <c r="Q2" s="17" cm="1">
        <f t="array" aca="1" ref="Q2" ca="1">INDIRECT("'data'!$D$" &amp; $A$1)</f>
        <v>7240</v>
      </c>
      <c r="R2" s="17">
        <f ca="1">SUM(L2:P2)</f>
        <v>7240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144.58499999999998</v>
      </c>
      <c r="H3" s="14"/>
      <c r="I3" s="14"/>
      <c r="J3" s="14"/>
      <c r="K3" s="13"/>
      <c r="L3" s="16">
        <f t="shared" ca="1" si="0"/>
        <v>144.58499999999998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-144.58499999999998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900.68000000000006</v>
      </c>
      <c r="H4" s="14"/>
      <c r="I4" s="14"/>
      <c r="J4" s="14"/>
      <c r="K4" s="13"/>
      <c r="L4" s="16">
        <f t="shared" ca="1" si="0"/>
        <v>900.68000000000006</v>
      </c>
      <c r="M4" s="16"/>
      <c r="N4" s="16">
        <f t="shared" ca="1" si="1"/>
        <v>0</v>
      </c>
      <c r="O4" s="11" cm="1">
        <f t="array" aca="1" ref="O4" ca="1">INDIRECT("'data'!$K$" &amp; $A$1)*parameters!$B$14</f>
        <v>440.68</v>
      </c>
      <c r="P4" s="13" cm="1">
        <f t="array" aca="1" ref="P4" ca="1">-INDIRECT("'data'!$L$" &amp; $A$1)*parameters!$B$14</f>
        <v>-54.28</v>
      </c>
      <c r="Q4" s="16" cm="1">
        <f t="array" aca="1" ref="Q4" ca="1">INDIRECT("'data'!$J$" &amp; $A$1)*parameters!$B$14</f>
        <v>1287.0800000000002</v>
      </c>
      <c r="R4" s="16">
        <f t="shared" ca="1" si="2"/>
        <v>1287.0800000000002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3760.5239237199585</v>
      </c>
      <c r="H5" s="14"/>
      <c r="I5" s="14"/>
      <c r="J5" s="14"/>
      <c r="K5" s="13"/>
      <c r="L5" s="16">
        <f t="shared" ca="1" si="0"/>
        <v>3760.5239237199585</v>
      </c>
      <c r="M5" s="16"/>
      <c r="N5" s="16"/>
      <c r="O5" s="11" cm="1">
        <f t="array" aca="1" ref="O5" ca="1">INDIRECT("'data'!$M$" &amp; $A$1)*parameters!$B$15</f>
        <v>51.94</v>
      </c>
      <c r="P5" s="13" cm="1">
        <f t="array" aca="1" ref="P5" ca="1">-INDIRECT("'data'!$N$" &amp; $A$1)*parameters!$B$15</f>
        <v>-1882.58</v>
      </c>
      <c r="Q5" s="16">
        <f ca="1">SUM(L5:P5)</f>
        <v>1929.8839237199586</v>
      </c>
      <c r="R5" s="16">
        <f t="shared" ca="1" si="2"/>
        <v>1929.8839237199586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4599.1400000000003</v>
      </c>
      <c r="I7" s="14"/>
      <c r="J7" s="14"/>
      <c r="K7" s="13"/>
      <c r="L7" s="16">
        <f t="shared" ca="1" si="0"/>
        <v>4599.1400000000003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4599.1400000000003</v>
      </c>
      <c r="R7" s="16">
        <f t="shared" ca="1" si="2"/>
        <v>4599.1400000000003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3730</v>
      </c>
      <c r="J8" s="14">
        <f ca="1">Q10/J18</f>
        <v>1214.4381223328592</v>
      </c>
      <c r="K8" s="13"/>
      <c r="L8" s="16">
        <f t="shared" ca="1" si="0"/>
        <v>4944.4381223328592</v>
      </c>
      <c r="M8" s="16"/>
      <c r="N8" s="16">
        <f t="shared" ca="1" si="3"/>
        <v>-349.21812233285891</v>
      </c>
      <c r="O8" s="11" cm="1">
        <f t="array" aca="1" ref="O8" ca="1">INDIRECT("'data'!$R$" &amp; $A$1)*parameters!$B$15</f>
        <v>143.07999999999998</v>
      </c>
      <c r="P8" s="13" cm="1">
        <f t="array" aca="1" ref="P8" ca="1">-INDIRECT("'data'!$S$" &amp; $A$1)*parameters!$B$15</f>
        <v>-139.16</v>
      </c>
      <c r="Q8" s="16">
        <f ca="1">SUM(Q6:Q7)</f>
        <v>4599.1400000000003</v>
      </c>
      <c r="R8" s="16">
        <f t="shared" ca="1" si="2"/>
        <v>4599.1400000000003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5344.92</v>
      </c>
      <c r="L9" s="16">
        <f t="shared" ca="1" si="0"/>
        <v>5344.92</v>
      </c>
      <c r="M9" s="16"/>
      <c r="N9" s="16">
        <f t="shared" ca="1" si="3"/>
        <v>0</v>
      </c>
      <c r="O9" s="11" cm="1">
        <f t="array" aca="1" ref="O9" ca="1">INDIRECT("'data'!$U$" &amp; $A$1)*parameters!$B$15</f>
        <v>382.2</v>
      </c>
      <c r="P9" s="13" cm="1">
        <f t="array" aca="1" ref="P9" ca="1">-INDIRECT("'data'!$V$" &amp; $A$1)*parameters!$B$15</f>
        <v>-2071.7199999999998</v>
      </c>
      <c r="Q9" s="16" cm="1">
        <f t="array" aca="1" ref="Q9" ca="1">INDIRECT("'data'!$T$" &amp; $A$1)*parameters!$B$15</f>
        <v>3655.4</v>
      </c>
      <c r="R9" s="16">
        <f t="shared" ca="1" si="2"/>
        <v>3655.4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4240.8893598862014</v>
      </c>
      <c r="L10" s="16">
        <f t="shared" ca="1" si="0"/>
        <v>4240.8893598862014</v>
      </c>
      <c r="M10" s="16"/>
      <c r="N10" s="16">
        <f t="shared" ca="1" si="3"/>
        <v>0</v>
      </c>
      <c r="O10" s="11" cm="1">
        <f t="array" aca="1" ref="O10" ca="1">INDIRECT("'data'!$X$" &amp; $A$1)*parameters!$B$15</f>
        <v>343</v>
      </c>
      <c r="P10" s="13" cm="1">
        <f t="array" aca="1" ref="P10" ca="1">-INDIRECT("'data'!$Y$" &amp; $A$1)*parameters!$B$15</f>
        <v>-3393.74</v>
      </c>
      <c r="Q10" s="16" cm="1">
        <f t="array" aca="1" ref="Q10" ca="1">INDIRECT("'data'!$W$" &amp; $A$1)*parameters!$B$15</f>
        <v>1190.1493598862019</v>
      </c>
      <c r="R10" s="16">
        <f t="shared" ca="1" si="2"/>
        <v>1190.1493598862016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9683.7296495021328</v>
      </c>
      <c r="N11" s="19"/>
      <c r="O11" s="21" cm="1">
        <f t="array" aca="1" ref="O11" ca="1">INDIRECT("'data'!$Z$" &amp; $A$1)*parameters!$B$15</f>
        <v>1226.96</v>
      </c>
      <c r="P11" s="27" cm="1">
        <f t="array" aca="1" ref="P11" ca="1">-INDIRECT("'data'!$AA$" &amp; $A$1)*parameters!$B$15</f>
        <v>-2239.3000000000002</v>
      </c>
      <c r="Q11" s="16">
        <f ca="1">K9*parameters!$B$10+K10*parameters!$B$11</f>
        <v>8671.3896495021327</v>
      </c>
      <c r="R11" s="16">
        <f t="shared" ref="R11:R17" ca="1" si="4">SUM(L11:P11)</f>
        <v>8671.3896495021327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-8.1600120760792834</v>
      </c>
      <c r="E12" s="9">
        <f ca="1">-(E17-Q5)</f>
        <v>-238.52497933617451</v>
      </c>
      <c r="F12" s="9">
        <f ca="1">-(F17-Q6)</f>
        <v>0</v>
      </c>
      <c r="G12" s="9">
        <f ca="1">-(G17-Q7)</f>
        <v>-206.64892371995847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-453.33391513221227</v>
      </c>
      <c r="M12" s="17"/>
      <c r="N12" s="17"/>
      <c r="O12" s="10"/>
      <c r="P12" s="12"/>
      <c r="Q12" s="9">
        <f t="shared" ref="Q12:Q17" ca="1" si="6">SUM(L12:P12)</f>
        <v>-453.33391513221227</v>
      </c>
      <c r="R12" s="17">
        <f t="shared" ca="1" si="4"/>
        <v>-453.33391513221227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-74.599999999999909</v>
      </c>
      <c r="J13" s="14">
        <f ca="1">-(J17-Q10)</f>
        <v>-24.288762446657302</v>
      </c>
      <c r="K13" s="13">
        <f ca="1">-(K17-Q11)</f>
        <v>-914.41971038406882</v>
      </c>
      <c r="L13" s="14">
        <f t="shared" ca="1" si="5"/>
        <v>-1013.308472830726</v>
      </c>
      <c r="M13" s="16">
        <f ca="1">-E15</f>
        <v>-1155.1004302254071</v>
      </c>
      <c r="N13" s="16"/>
      <c r="O13" s="11"/>
      <c r="P13" s="13"/>
      <c r="Q13" s="14">
        <f t="shared" ca="1" si="6"/>
        <v>-2168.4089030561331</v>
      </c>
      <c r="R13" s="16">
        <f t="shared" ca="1" si="4"/>
        <v>-2168.4089030561331</v>
      </c>
    </row>
    <row r="14" spans="1:19">
      <c r="A14" s="18" t="s">
        <v>78</v>
      </c>
      <c r="B14" s="11"/>
      <c r="C14" s="14"/>
      <c r="D14" s="14"/>
      <c r="E14" s="14">
        <f ca="1">-(I13+J13)-K13</f>
        <v>1013.308472830726</v>
      </c>
      <c r="F14" s="14"/>
      <c r="G14" s="14"/>
      <c r="H14" s="14"/>
      <c r="I14" s="14"/>
      <c r="J14" s="14"/>
      <c r="K14" s="13"/>
      <c r="L14" s="14">
        <f t="shared" ca="1" si="5"/>
        <v>1013.308472830726</v>
      </c>
      <c r="M14" s="16"/>
      <c r="N14" s="16"/>
      <c r="O14" s="11"/>
      <c r="P14" s="13"/>
      <c r="Q14" s="14">
        <f t="shared" ca="1" si="6"/>
        <v>1013.308472830726</v>
      </c>
      <c r="R14" s="16">
        <f t="shared" ca="1" si="4"/>
        <v>1013.308472830726</v>
      </c>
    </row>
    <row r="15" spans="1:19">
      <c r="A15" s="18" t="s">
        <v>79</v>
      </c>
      <c r="B15" s="11"/>
      <c r="C15" s="14"/>
      <c r="D15" s="14"/>
      <c r="E15" s="14">
        <f ca="1">E17-E14</f>
        <v>1155.1004302254071</v>
      </c>
      <c r="F15" s="14"/>
      <c r="G15" s="14"/>
      <c r="H15" s="14"/>
      <c r="I15" s="14"/>
      <c r="J15" s="14"/>
      <c r="K15" s="13"/>
      <c r="L15" s="14">
        <f t="shared" ca="1" si="5"/>
        <v>1155.1004302254071</v>
      </c>
      <c r="M15" s="16"/>
      <c r="N15" s="16"/>
      <c r="O15" s="11"/>
      <c r="P15" s="13"/>
      <c r="Q15" s="14">
        <f t="shared" ca="1" si="6"/>
        <v>1155.1004302254071</v>
      </c>
      <c r="R15" s="16">
        <f t="shared" ca="1" si="4"/>
        <v>1155.1004302254071</v>
      </c>
    </row>
    <row r="16" spans="1:19">
      <c r="A16" s="30" t="s">
        <v>89</v>
      </c>
      <c r="B16" s="21">
        <f ca="1">Q2</f>
        <v>7240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7240</v>
      </c>
      <c r="M16" s="19"/>
      <c r="N16" s="19"/>
      <c r="O16" s="21"/>
      <c r="P16" s="27"/>
      <c r="Q16" s="22">
        <f t="shared" ca="1" si="6"/>
        <v>7240</v>
      </c>
      <c r="R16" s="19">
        <f t="shared" ca="1" si="4"/>
        <v>7240</v>
      </c>
    </row>
    <row r="17" spans="1:18">
      <c r="A17" s="29" t="s">
        <v>88</v>
      </c>
      <c r="B17" s="9">
        <f ca="1">B16</f>
        <v>7240</v>
      </c>
      <c r="C17" s="9">
        <f ca="1">SUM(C$2:C$11)</f>
        <v>0</v>
      </c>
      <c r="D17" s="9">
        <f ca="1">SUM(D$2:D$11)</f>
        <v>1295.2400120760794</v>
      </c>
      <c r="E17" s="9">
        <f ca="1">$Q$5/parameters!$B$4</f>
        <v>2168.4089030561331</v>
      </c>
      <c r="F17" s="9">
        <f t="shared" ref="F17:K17" ca="1" si="7">SUM(F$2:F$11)</f>
        <v>0</v>
      </c>
      <c r="G17" s="9">
        <f t="shared" ca="1" si="7"/>
        <v>4805.7889237199588</v>
      </c>
      <c r="H17" s="9">
        <f t="shared" ca="1" si="7"/>
        <v>4599.1400000000003</v>
      </c>
      <c r="I17" s="9">
        <f t="shared" ca="1" si="7"/>
        <v>3730</v>
      </c>
      <c r="J17" s="9">
        <f t="shared" ca="1" si="7"/>
        <v>1214.4381223328592</v>
      </c>
      <c r="K17" s="9">
        <f t="shared" ca="1" si="7"/>
        <v>9585.8093598862015</v>
      </c>
      <c r="L17" s="17">
        <f t="shared" ca="1" si="5"/>
        <v>34638.825321071236</v>
      </c>
      <c r="M17" s="17"/>
      <c r="N17" s="17"/>
      <c r="O17" s="9"/>
      <c r="P17" s="14"/>
      <c r="Q17" s="11">
        <f t="shared" ca="1" si="6"/>
        <v>34638.825321071236</v>
      </c>
      <c r="R17" s="17">
        <f t="shared" ca="1" si="4"/>
        <v>34638.825321071236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0.90460693760397037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202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202</v>
      </c>
      <c r="R2" s="17">
        <f ca="1">SUM(L2:P2)</f>
        <v>202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106.785</v>
      </c>
      <c r="H3" s="14"/>
      <c r="I3" s="14"/>
      <c r="J3" s="14"/>
      <c r="K3" s="13"/>
      <c r="L3" s="16">
        <f t="shared" ca="1" si="0"/>
        <v>106.785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-108.675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3593.0478108672937</v>
      </c>
      <c r="H5" s="14"/>
      <c r="I5" s="14"/>
      <c r="J5" s="14"/>
      <c r="K5" s="13"/>
      <c r="L5" s="16">
        <f t="shared" ca="1" si="0"/>
        <v>3593.0478108672937</v>
      </c>
      <c r="M5" s="16"/>
      <c r="N5" s="16"/>
      <c r="O5" s="11" cm="1">
        <f t="array" aca="1" ref="O5" ca="1">INDIRECT("'data'!$M$" &amp; $A$1)*parameters!$B$15</f>
        <v>428.26</v>
      </c>
      <c r="P5" s="13" cm="1">
        <f t="array" aca="1" ref="P5" ca="1">-INDIRECT("'data'!$N$" &amp; $A$1)*parameters!$B$15</f>
        <v>-941.78</v>
      </c>
      <c r="Q5" s="16">
        <f ca="1">SUM(L5:P5)</f>
        <v>3079.5278108672937</v>
      </c>
      <c r="R5" s="16">
        <f t="shared" ca="1" si="2"/>
        <v>3079.5278108672937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3540.74</v>
      </c>
      <c r="I7" s="14"/>
      <c r="J7" s="14"/>
      <c r="K7" s="13"/>
      <c r="L7" s="16">
        <f t="shared" ca="1" si="0"/>
        <v>3540.74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3540.74</v>
      </c>
      <c r="R7" s="16">
        <f t="shared" ca="1" si="2"/>
        <v>3540.74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4161.4068734542179</v>
      </c>
      <c r="J8" s="14">
        <f ca="1">Q10/J18</f>
        <v>2941.6331265457802</v>
      </c>
      <c r="K8" s="13"/>
      <c r="L8" s="16">
        <f t="shared" ca="1" si="0"/>
        <v>7103.0399999999981</v>
      </c>
      <c r="M8" s="16"/>
      <c r="N8" s="16">
        <f t="shared" ca="1" si="3"/>
        <v>0</v>
      </c>
      <c r="O8" s="11" cm="1">
        <f t="array" aca="1" ref="O8" ca="1">INDIRECT("'data'!$R$" &amp; $A$1)*parameters!$B$15</f>
        <v>48.019999999999996</v>
      </c>
      <c r="P8" s="13" cm="1">
        <f t="array" aca="1" ref="P8" ca="1">-INDIRECT("'data'!$S$" &amp; $A$1)*parameters!$B$15</f>
        <v>-3610.3199999999997</v>
      </c>
      <c r="Q8" s="16">
        <f ca="1">SUM(Q6:Q7)</f>
        <v>3540.74</v>
      </c>
      <c r="R8" s="16">
        <f t="shared" ca="1" si="2"/>
        <v>3540.7399999999989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5565.42</v>
      </c>
      <c r="L9" s="16">
        <f t="shared" ca="1" si="0"/>
        <v>5565.42</v>
      </c>
      <c r="M9" s="16"/>
      <c r="N9" s="16">
        <f t="shared" ca="1" si="3"/>
        <v>0</v>
      </c>
      <c r="O9" s="11" cm="1">
        <f t="array" aca="1" ref="O9" ca="1">INDIRECT("'data'!$U$" &amp; $A$1)*parameters!$B$15</f>
        <v>871.22</v>
      </c>
      <c r="P9" s="13" cm="1">
        <f t="array" aca="1" ref="P9" ca="1">-INDIRECT("'data'!$V$" &amp; $A$1)*parameters!$B$15</f>
        <v>-2425.5</v>
      </c>
      <c r="Q9" s="16" cm="1">
        <f t="array" aca="1" ref="Q9" ca="1">INDIRECT("'data'!$T$" &amp; $A$1)*parameters!$B$15</f>
        <v>4011.14</v>
      </c>
      <c r="R9" s="16">
        <f t="shared" ca="1" si="2"/>
        <v>4011.1400000000003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11437.851834992887</v>
      </c>
      <c r="L10" s="16">
        <f t="shared" ca="1" si="0"/>
        <v>11437.851834992887</v>
      </c>
      <c r="M10" s="16"/>
      <c r="N10" s="16">
        <f t="shared" ca="1" si="3"/>
        <v>0</v>
      </c>
      <c r="O10" s="11" cm="1">
        <f t="array" aca="1" ref="O10" ca="1">INDIRECT("'data'!$X$" &amp; $A$1)*parameters!$B$15</f>
        <v>245.98</v>
      </c>
      <c r="P10" s="13" cm="1">
        <f t="array" aca="1" ref="P10" ca="1">-INDIRECT("'data'!$Y$" &amp; $A$1)*parameters!$B$15</f>
        <v>-8848.42</v>
      </c>
      <c r="Q10" s="16" cm="1">
        <f t="array" aca="1" ref="Q10" ca="1">INDIRECT("'data'!$W$" &amp; $A$1)*parameters!$B$15</f>
        <v>2835.4118349928876</v>
      </c>
      <c r="R10" s="16">
        <f t="shared" ca="1" si="2"/>
        <v>2835.4118349928867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13906.74737809388</v>
      </c>
      <c r="N11" s="19"/>
      <c r="O11" s="21" cm="1">
        <f t="array" aca="1" ref="O11" ca="1">INDIRECT("'data'!$Z$" &amp; $A$1)*parameters!$B$15</f>
        <v>4807.88</v>
      </c>
      <c r="P11" s="27" cm="1">
        <f t="array" aca="1" ref="P11" ca="1">-INDIRECT("'data'!$AA$" &amp; $A$1)*parameters!$B$15</f>
        <v>-3646.58</v>
      </c>
      <c r="Q11" s="16">
        <f ca="1">K9*parameters!$B$10+K10*parameters!$B$11</f>
        <v>15068.047378093881</v>
      </c>
      <c r="R11" s="16">
        <f t="shared" ref="R11:R17" ca="1" si="4">SUM(L11:P11)</f>
        <v>15068.047378093879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-380.61579684876642</v>
      </c>
      <c r="F12" s="9">
        <f ca="1">-(F17-Q6)</f>
        <v>0</v>
      </c>
      <c r="G12" s="9">
        <f ca="1">-(G17-Q7)</f>
        <v>-159.09281086729379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-539.70860771606021</v>
      </c>
      <c r="M12" s="17"/>
      <c r="N12" s="17"/>
      <c r="O12" s="10"/>
      <c r="P12" s="12"/>
      <c r="Q12" s="9">
        <f t="shared" ref="Q12:Q17" ca="1" si="6">SUM(L12:P12)</f>
        <v>-539.70860771606021</v>
      </c>
      <c r="R12" s="17">
        <f t="shared" ca="1" si="4"/>
        <v>-539.70860771606021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-150.26687345421806</v>
      </c>
      <c r="J13" s="14">
        <f ca="1">-(J17-Q10)</f>
        <v>-106.22129155289258</v>
      </c>
      <c r="K13" s="13">
        <f ca="1">-(K17-Q11)</f>
        <v>-1935.2244568990063</v>
      </c>
      <c r="L13" s="14">
        <f t="shared" ca="1" si="5"/>
        <v>-2191.712621906117</v>
      </c>
      <c r="M13" s="16">
        <f ca="1">-E15</f>
        <v>-1268.4309858099432</v>
      </c>
      <c r="N13" s="16"/>
      <c r="O13" s="11"/>
      <c r="P13" s="13"/>
      <c r="Q13" s="14">
        <f t="shared" ca="1" si="6"/>
        <v>-3460.1436077160602</v>
      </c>
      <c r="R13" s="16">
        <f t="shared" ca="1" si="4"/>
        <v>-3460.1436077160602</v>
      </c>
    </row>
    <row r="14" spans="1:20">
      <c r="A14" s="18" t="s">
        <v>78</v>
      </c>
      <c r="B14" s="11"/>
      <c r="C14" s="14"/>
      <c r="D14" s="14"/>
      <c r="E14" s="14">
        <f ca="1">-(I13+J13)-K13</f>
        <v>2191.712621906117</v>
      </c>
      <c r="F14" s="14"/>
      <c r="G14" s="14"/>
      <c r="H14" s="14"/>
      <c r="I14" s="14"/>
      <c r="J14" s="14"/>
      <c r="K14" s="13"/>
      <c r="L14" s="14">
        <f t="shared" ca="1" si="5"/>
        <v>2191.712621906117</v>
      </c>
      <c r="M14" s="16"/>
      <c r="N14" s="16"/>
      <c r="O14" s="11"/>
      <c r="P14" s="13"/>
      <c r="Q14" s="14">
        <f t="shared" ca="1" si="6"/>
        <v>2191.712621906117</v>
      </c>
      <c r="R14" s="16">
        <f t="shared" ca="1" si="4"/>
        <v>2191.712621906117</v>
      </c>
    </row>
    <row r="15" spans="1:20">
      <c r="A15" s="18" t="s">
        <v>79</v>
      </c>
      <c r="B15" s="11"/>
      <c r="C15" s="14"/>
      <c r="D15" s="14"/>
      <c r="E15" s="14">
        <f ca="1">E17-E14</f>
        <v>1268.4309858099432</v>
      </c>
      <c r="F15" s="14"/>
      <c r="G15" s="14"/>
      <c r="H15" s="14"/>
      <c r="I15" s="14"/>
      <c r="J15" s="14"/>
      <c r="K15" s="13"/>
      <c r="L15" s="14">
        <f t="shared" ca="1" si="5"/>
        <v>1268.4309858099432</v>
      </c>
      <c r="M15" s="16"/>
      <c r="N15" s="16"/>
      <c r="O15" s="11"/>
      <c r="P15" s="13"/>
      <c r="Q15" s="14">
        <f t="shared" ca="1" si="6"/>
        <v>1268.4309858099432</v>
      </c>
      <c r="R15" s="16">
        <f t="shared" ca="1" si="4"/>
        <v>1268.4309858099432</v>
      </c>
    </row>
    <row r="16" spans="1:20">
      <c r="A16" s="30" t="s">
        <v>89</v>
      </c>
      <c r="B16" s="21">
        <f ca="1">Q2</f>
        <v>202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202</v>
      </c>
      <c r="M16" s="19"/>
      <c r="N16" s="19"/>
      <c r="O16" s="21"/>
      <c r="P16" s="27"/>
      <c r="Q16" s="22">
        <f t="shared" ca="1" si="6"/>
        <v>202</v>
      </c>
      <c r="R16" s="19">
        <f t="shared" ca="1" si="4"/>
        <v>202</v>
      </c>
    </row>
    <row r="17" spans="1:18">
      <c r="A17" s="29" t="s">
        <v>88</v>
      </c>
      <c r="B17" s="9">
        <f ca="1">B16</f>
        <v>202</v>
      </c>
      <c r="C17" s="9">
        <f ca="1">SUM(C$2:C$11)</f>
        <v>0</v>
      </c>
      <c r="D17" s="9">
        <f ca="1">SUM(D$2:D$11)</f>
        <v>0</v>
      </c>
      <c r="E17" s="9">
        <f ca="1">$Q$5/parameters!$B$4</f>
        <v>3460.1436077160602</v>
      </c>
      <c r="F17" s="9">
        <f t="shared" ref="F17:K17" ca="1" si="7">SUM(F$2:F$11)</f>
        <v>0</v>
      </c>
      <c r="G17" s="9">
        <f t="shared" ca="1" si="7"/>
        <v>3699.8328108672936</v>
      </c>
      <c r="H17" s="9">
        <f t="shared" ca="1" si="7"/>
        <v>3540.74</v>
      </c>
      <c r="I17" s="9">
        <f t="shared" ca="1" si="7"/>
        <v>4161.4068734542179</v>
      </c>
      <c r="J17" s="9">
        <f t="shared" ca="1" si="7"/>
        <v>2941.6331265457802</v>
      </c>
      <c r="K17" s="9">
        <f t="shared" ca="1" si="7"/>
        <v>17003.271834992887</v>
      </c>
      <c r="L17" s="17">
        <f t="shared" ca="1" si="5"/>
        <v>35009.028253576238</v>
      </c>
      <c r="M17" s="17"/>
      <c r="N17" s="17"/>
      <c r="O17" s="9"/>
      <c r="P17" s="14"/>
      <c r="Q17" s="11">
        <f t="shared" ca="1" si="6"/>
        <v>35009.028253576238</v>
      </c>
      <c r="R17" s="17">
        <f t="shared" ca="1" si="4"/>
        <v>35009.028253576238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0.96389036736283185</v>
      </c>
      <c r="J18" s="39">
        <f ca="1">I18</f>
        <v>0.96389036736283185</v>
      </c>
      <c r="K18" s="40">
        <f ca="1">1-(-K13)/K17</f>
        <v>0.88618517214338144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2754.0706450639022</v>
      </c>
      <c r="D2" s="9">
        <f ca="1">Q4/parameters!$B$3</f>
        <v>104.61910033209219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2858.6897453959946</v>
      </c>
      <c r="M2" s="17"/>
      <c r="N2" s="17">
        <f ca="1">Q2-(L2+O2+P2)</f>
        <v>4650.2602546040034</v>
      </c>
      <c r="O2" s="11" cm="1">
        <f t="array" aca="1" ref="O2" ca="1">INDIRECT("'data'!$F$" &amp; $A$1)</f>
        <v>15091.050000000001</v>
      </c>
      <c r="P2" s="13">
        <f ca="1">IF(-(L2-Q2+O2)&lt;0, -(L2-Q2+O2), 0)</f>
        <v>0</v>
      </c>
      <c r="Q2" s="17" cm="1">
        <f t="array" aca="1" ref="Q2" ca="1">INDIRECT("'data'!$D$" &amp; $A$1)</f>
        <v>22600</v>
      </c>
      <c r="R2" s="17">
        <f ca="1">SUM(L2:P2)</f>
        <v>22600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2495.7611940298507</v>
      </c>
      <c r="G3" s="14">
        <f ca="1">Q3-O3-P3-F3</f>
        <v>257.96880597014933</v>
      </c>
      <c r="H3" s="14"/>
      <c r="I3" s="14"/>
      <c r="J3" s="14"/>
      <c r="K3" s="13"/>
      <c r="L3" s="16">
        <f t="shared" ca="1" si="0"/>
        <v>2753.73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33.074999999999996</v>
      </c>
      <c r="P3" s="13" cm="1">
        <f t="array" aca="1" ref="P3" ca="1">-INDIRECT("'data'!$I$" &amp; $A$1)*parameters!$B$13</f>
        <v>-50.085000000000001</v>
      </c>
      <c r="Q3" s="16" cm="1">
        <f t="array" aca="1" ref="Q3" ca="1">INDIRECT("'data'!$G$" &amp; $A$1)*parameters!$B$13</f>
        <v>2736.72</v>
      </c>
      <c r="R3" s="16">
        <f t="shared" ref="R3:R10" ca="1" si="2">SUM(L3:P3)</f>
        <v>2736.72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135.24</v>
      </c>
      <c r="H4" s="14"/>
      <c r="I4" s="14"/>
      <c r="J4" s="14"/>
      <c r="K4" s="13"/>
      <c r="L4" s="16">
        <f t="shared" ca="1" si="0"/>
        <v>135.24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-34.04</v>
      </c>
      <c r="Q4" s="16" cm="1">
        <f t="array" aca="1" ref="Q4" ca="1">INDIRECT("'data'!$J$" &amp; $A$1)*parameters!$B$14</f>
        <v>103.96000000000001</v>
      </c>
      <c r="R4" s="16">
        <f t="shared" ca="1" si="2"/>
        <v>103.96000000000001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623.94029850746267</v>
      </c>
      <c r="G5" s="14">
        <f ca="1">Q7/parameters!$B$7-(G3+G4)</f>
        <v>1058.8706088678862</v>
      </c>
      <c r="H5" s="14"/>
      <c r="I5" s="14"/>
      <c r="J5" s="14"/>
      <c r="K5" s="13"/>
      <c r="L5" s="16">
        <f t="shared" ca="1" si="0"/>
        <v>1682.810907375349</v>
      </c>
      <c r="M5" s="16"/>
      <c r="N5" s="16"/>
      <c r="O5" s="11" cm="1">
        <f t="array" aca="1" ref="O5" ca="1">INDIRECT("'data'!$M$" &amp; $A$1)*parameters!$B$15</f>
        <v>1272.04</v>
      </c>
      <c r="P5" s="13" cm="1">
        <f t="array" aca="1" ref="P5" ca="1">-INDIRECT("'data'!$N$" &amp; $A$1)*parameters!$B$15</f>
        <v>-250.88</v>
      </c>
      <c r="Q5" s="16">
        <f ca="1">SUM(L5:P5)</f>
        <v>2703.9709073753488</v>
      </c>
      <c r="R5" s="16">
        <f t="shared" ca="1" si="2"/>
        <v>2703.9709073753488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2926.2799999999997</v>
      </c>
      <c r="I6" s="14"/>
      <c r="J6" s="14"/>
      <c r="K6" s="13"/>
      <c r="L6" s="16">
        <f t="shared" ca="1" si="0"/>
        <v>2926.2799999999997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2926.2799999999997</v>
      </c>
      <c r="R6" s="16">
        <f t="shared" ca="1" si="2"/>
        <v>2926.2799999999997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1389.6399999999999</v>
      </c>
      <c r="I7" s="14"/>
      <c r="J7" s="14"/>
      <c r="K7" s="13"/>
      <c r="L7" s="16">
        <f t="shared" ca="1" si="0"/>
        <v>1389.6399999999999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1389.6399999999999</v>
      </c>
      <c r="R7" s="16">
        <f t="shared" ca="1" si="2"/>
        <v>1389.6399999999999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899.72133331947805</v>
      </c>
      <c r="J8" s="14">
        <f ca="1">Q10/J18</f>
        <v>3125.1386666805224</v>
      </c>
      <c r="K8" s="13"/>
      <c r="L8" s="16">
        <f t="shared" ca="1" si="0"/>
        <v>4024.8600000000006</v>
      </c>
      <c r="M8" s="16"/>
      <c r="N8" s="16">
        <f t="shared" ca="1" si="3"/>
        <v>0</v>
      </c>
      <c r="O8" s="11" cm="1">
        <f t="array" aca="1" ref="O8" ca="1">INDIRECT("'data'!$R$" &amp; $A$1)*parameters!$B$15</f>
        <v>407.68</v>
      </c>
      <c r="P8" s="13" cm="1">
        <f t="array" aca="1" ref="P8" ca="1">-INDIRECT("'data'!$S$" &amp; $A$1)*parameters!$B$15</f>
        <v>-116.62</v>
      </c>
      <c r="Q8" s="16">
        <f ca="1">SUM(Q6:Q7)</f>
        <v>4315.92</v>
      </c>
      <c r="R8" s="16">
        <f t="shared" ca="1" si="2"/>
        <v>4315.920000000001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1055.46</v>
      </c>
      <c r="L9" s="16">
        <f t="shared" ca="1" si="0"/>
        <v>1055.46</v>
      </c>
      <c r="M9" s="16"/>
      <c r="N9" s="16">
        <f t="shared" ca="1" si="3"/>
        <v>0</v>
      </c>
      <c r="O9" s="11" cm="1">
        <f t="array" aca="1" ref="O9" ca="1">INDIRECT("'data'!$U$" &amp; $A$1)*parameters!$B$15</f>
        <v>482.15999999999997</v>
      </c>
      <c r="P9" s="13" cm="1">
        <f t="array" aca="1" ref="P9" ca="1">-INDIRECT("'data'!$V$" &amp; $A$1)*parameters!$B$15</f>
        <v>-787.92</v>
      </c>
      <c r="Q9" s="16" cm="1">
        <f t="array" aca="1" ref="Q9" ca="1">INDIRECT("'data'!$T$" &amp; $A$1)*parameters!$B$15</f>
        <v>749.69999999999993</v>
      </c>
      <c r="R9" s="16">
        <f t="shared" ca="1" si="2"/>
        <v>749.69999999999993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2230.6667994310101</v>
      </c>
      <c r="L10" s="16">
        <f t="shared" ca="1" si="0"/>
        <v>2230.6667994310101</v>
      </c>
      <c r="M10" s="16"/>
      <c r="N10" s="16">
        <f t="shared" ca="1" si="3"/>
        <v>0</v>
      </c>
      <c r="O10" s="11" cm="1">
        <f t="array" aca="1" ref="O10" ca="1">INDIRECT("'data'!$X$" &amp; $A$1)*parameters!$B$15</f>
        <v>2224.6</v>
      </c>
      <c r="P10" s="13" cm="1">
        <f t="array" aca="1" ref="P10" ca="1">-INDIRECT("'data'!$Y$" &amp; $A$1)*parameters!$B$15</f>
        <v>-1851.22</v>
      </c>
      <c r="Q10" s="16" cm="1">
        <f t="array" aca="1" ref="Q10" ca="1">INDIRECT("'data'!$W$" &amp; $A$1)*parameters!$B$15</f>
        <v>2604.0467994310097</v>
      </c>
      <c r="R10" s="16">
        <f t="shared" ca="1" si="2"/>
        <v>2604.0467994310102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3348.5658475106688</v>
      </c>
      <c r="N11" s="19"/>
      <c r="O11" s="21" cm="1">
        <f t="array" aca="1" ref="O11" ca="1">INDIRECT("'data'!$Z$" &amp; $A$1)*parameters!$B$15</f>
        <v>2612.6799999999998</v>
      </c>
      <c r="P11" s="27" cm="1">
        <f t="array" aca="1" ref="P11" ca="1">-INDIRECT("'data'!$AA$" &amp; $A$1)*parameters!$B$15</f>
        <v>-3050.74</v>
      </c>
      <c r="Q11" s="16">
        <f ca="1">K9*parameters!$B$10+K10*parameters!$B$11</f>
        <v>2910.5058475106689</v>
      </c>
      <c r="R11" s="16">
        <f t="shared" ref="R11:R17" ca="1" si="4">SUM(L11:P11)</f>
        <v>2910.5058475106689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-17.350645063902448</v>
      </c>
      <c r="D12" s="9">
        <f ca="1">-(D17-Q4)</f>
        <v>-0.65910033209218</v>
      </c>
      <c r="E12" s="9">
        <f ca="1">-(E17-Q5)</f>
        <v>-334.19865147335759</v>
      </c>
      <c r="F12" s="9">
        <f ca="1">-(F17-Q6)</f>
        <v>-193.4214925373135</v>
      </c>
      <c r="G12" s="9">
        <f ca="1">-(G17-Q7)</f>
        <v>-62.439414838035646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-608.06930424470136</v>
      </c>
      <c r="M12" s="17"/>
      <c r="N12" s="17"/>
      <c r="O12" s="10"/>
      <c r="P12" s="12"/>
      <c r="Q12" s="9">
        <f t="shared" ref="Q12:Q17" ca="1" si="6">SUM(L12:P12)</f>
        <v>-608.06930424470136</v>
      </c>
      <c r="R12" s="17">
        <f t="shared" ca="1" si="4"/>
        <v>-608.06930424470136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-150.02133331947812</v>
      </c>
      <c r="J13" s="14">
        <f ca="1">-(J17-Q10)</f>
        <v>-521.09186724951269</v>
      </c>
      <c r="K13" s="13">
        <f ca="1">-(K17-Q11)</f>
        <v>-375.62095192034121</v>
      </c>
      <c r="L13" s="14">
        <f t="shared" ca="1" si="5"/>
        <v>-1046.734152489332</v>
      </c>
      <c r="M13" s="16">
        <f ca="1">-E15</f>
        <v>-1991.4354063593744</v>
      </c>
      <c r="N13" s="16"/>
      <c r="O13" s="11"/>
      <c r="P13" s="13"/>
      <c r="Q13" s="14">
        <f t="shared" ca="1" si="6"/>
        <v>-3038.1695588487064</v>
      </c>
      <c r="R13" s="16">
        <f t="shared" ca="1" si="4"/>
        <v>-3038.1695588487064</v>
      </c>
    </row>
    <row r="14" spans="1:20">
      <c r="A14" s="18" t="s">
        <v>78</v>
      </c>
      <c r="B14" s="11"/>
      <c r="C14" s="14"/>
      <c r="D14" s="14"/>
      <c r="E14" s="14">
        <f ca="1">-(I13+J13)-K13</f>
        <v>1046.734152489332</v>
      </c>
      <c r="F14" s="14"/>
      <c r="G14" s="14"/>
      <c r="H14" s="14"/>
      <c r="I14" s="14"/>
      <c r="J14" s="14"/>
      <c r="K14" s="13"/>
      <c r="L14" s="14">
        <f t="shared" ca="1" si="5"/>
        <v>1046.734152489332</v>
      </c>
      <c r="M14" s="16"/>
      <c r="N14" s="16"/>
      <c r="O14" s="11"/>
      <c r="P14" s="13"/>
      <c r="Q14" s="14">
        <f t="shared" ca="1" si="6"/>
        <v>1046.734152489332</v>
      </c>
      <c r="R14" s="16">
        <f t="shared" ca="1" si="4"/>
        <v>1046.734152489332</v>
      </c>
    </row>
    <row r="15" spans="1:20">
      <c r="A15" s="18" t="s">
        <v>79</v>
      </c>
      <c r="B15" s="11"/>
      <c r="C15" s="14"/>
      <c r="D15" s="14"/>
      <c r="E15" s="14">
        <f ca="1">E17-E14</f>
        <v>1991.4354063593744</v>
      </c>
      <c r="F15" s="14"/>
      <c r="G15" s="14"/>
      <c r="H15" s="14"/>
      <c r="I15" s="14"/>
      <c r="J15" s="14"/>
      <c r="K15" s="13"/>
      <c r="L15" s="14">
        <f t="shared" ca="1" si="5"/>
        <v>1991.4354063593744</v>
      </c>
      <c r="M15" s="16"/>
      <c r="N15" s="16"/>
      <c r="O15" s="11"/>
      <c r="P15" s="13"/>
      <c r="Q15" s="14">
        <f t="shared" ca="1" si="6"/>
        <v>1991.4354063593744</v>
      </c>
      <c r="R15" s="16">
        <f t="shared" ca="1" si="4"/>
        <v>1991.4354063593744</v>
      </c>
    </row>
    <row r="16" spans="1:20">
      <c r="A16" s="30" t="s">
        <v>89</v>
      </c>
      <c r="B16" s="21">
        <f ca="1">Q2</f>
        <v>22600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22600</v>
      </c>
      <c r="M16" s="19"/>
      <c r="N16" s="19"/>
      <c r="O16" s="21"/>
      <c r="P16" s="27"/>
      <c r="Q16" s="22">
        <f t="shared" ca="1" si="6"/>
        <v>22600</v>
      </c>
      <c r="R16" s="19">
        <f t="shared" ca="1" si="4"/>
        <v>22600</v>
      </c>
    </row>
    <row r="17" spans="1:18">
      <c r="A17" s="29" t="s">
        <v>88</v>
      </c>
      <c r="B17" s="9">
        <f ca="1">B16</f>
        <v>22600</v>
      </c>
      <c r="C17" s="9">
        <f ca="1">SUM(C$2:C$11)</f>
        <v>2754.0706450639022</v>
      </c>
      <c r="D17" s="9">
        <f ca="1">SUM(D$2:D$11)</f>
        <v>104.61910033209219</v>
      </c>
      <c r="E17" s="9">
        <f ca="1">$Q$5/parameters!$B$4</f>
        <v>3038.1695588487064</v>
      </c>
      <c r="F17" s="9">
        <f t="shared" ref="F17:K17" ca="1" si="7">SUM(F$2:F$11)</f>
        <v>3119.7014925373132</v>
      </c>
      <c r="G17" s="9">
        <f t="shared" ca="1" si="7"/>
        <v>1452.0794148380355</v>
      </c>
      <c r="H17" s="9">
        <f t="shared" ca="1" si="7"/>
        <v>4315.92</v>
      </c>
      <c r="I17" s="9">
        <f t="shared" ca="1" si="7"/>
        <v>899.72133331947805</v>
      </c>
      <c r="J17" s="9">
        <f t="shared" ca="1" si="7"/>
        <v>3125.1386666805224</v>
      </c>
      <c r="K17" s="9">
        <f t="shared" ca="1" si="7"/>
        <v>3286.1267994310101</v>
      </c>
      <c r="L17" s="17">
        <f t="shared" ca="1" si="5"/>
        <v>44695.547011051058</v>
      </c>
      <c r="M17" s="17"/>
      <c r="N17" s="17"/>
      <c r="O17" s="9"/>
      <c r="P17" s="14"/>
      <c r="Q17" s="11">
        <f t="shared" ca="1" si="6"/>
        <v>44695.547011051058</v>
      </c>
      <c r="R17" s="17">
        <f t="shared" ca="1" si="4"/>
        <v>44695.547011051058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0.83325800137918071</v>
      </c>
      <c r="J18" s="39">
        <f ca="1">I18</f>
        <v>0.83325800137918071</v>
      </c>
      <c r="K18" s="40">
        <f ca="1">1-(-K13)/K17</f>
        <v>0.88569493058351256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2024-08-12T07:15:10Z</dcterms:modified>
</cp:coreProperties>
</file>