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1DD6CFCA-DDC1-464C-9813-591B5BCB5B75}" xr6:coauthVersionLast="47" xr6:coauthVersionMax="47" xr10:uidLastSave="{00000000-0000-0000-0000-000000000000}"/>
  <bookViews>
    <workbookView xWindow="0" yWindow="500" windowWidth="38400" windowHeight="21100" firstSheet="13" activeTab="22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41" l="1"/>
  <c r="J18" i="41" s="1"/>
  <c r="I18" i="35"/>
  <c r="J18" i="35" s="1"/>
  <c r="I18" i="15"/>
  <c r="J18" i="15" s="1"/>
  <c r="I18" i="20"/>
  <c r="J18" i="20" s="1"/>
  <c r="I18" i="19"/>
  <c r="J18" i="19"/>
  <c r="Q4" i="49"/>
  <c r="Q5" i="49"/>
  <c r="Q6" i="49"/>
  <c r="Q7" i="49"/>
  <c r="Q8" i="49"/>
  <c r="Q9" i="49"/>
  <c r="Q10" i="49"/>
  <c r="Q11" i="49"/>
  <c r="Q12" i="49"/>
  <c r="Q13" i="49"/>
  <c r="Q14" i="49"/>
  <c r="Q15" i="49"/>
  <c r="Q16" i="49"/>
  <c r="Q17" i="49"/>
  <c r="Q18" i="49"/>
  <c r="Q19" i="49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" i="49"/>
  <c r="C5" i="49" l="1"/>
  <c r="D5" i="49"/>
  <c r="C6" i="49"/>
  <c r="D6" i="49"/>
  <c r="C7" i="49"/>
  <c r="D7" i="49"/>
  <c r="C8" i="49"/>
  <c r="D8" i="49"/>
  <c r="C9" i="49"/>
  <c r="D9" i="49"/>
  <c r="C10" i="49"/>
  <c r="D10" i="49"/>
  <c r="C11" i="49"/>
  <c r="D11" i="49"/>
  <c r="C12" i="49"/>
  <c r="D12" i="49"/>
  <c r="C13" i="49"/>
  <c r="D13" i="49"/>
  <c r="C14" i="49"/>
  <c r="D14" i="49"/>
  <c r="C15" i="49"/>
  <c r="D15" i="49"/>
  <c r="C16" i="49"/>
  <c r="D16" i="49"/>
  <c r="C17" i="49"/>
  <c r="D17" i="49"/>
  <c r="C18" i="49"/>
  <c r="D18" i="49"/>
  <c r="C19" i="49"/>
  <c r="D19" i="49"/>
  <c r="C20" i="49"/>
  <c r="D20" i="49"/>
  <c r="C21" i="49"/>
  <c r="D21" i="49"/>
  <c r="C22" i="49"/>
  <c r="D22" i="49"/>
  <c r="C23" i="49"/>
  <c r="D23" i="49"/>
  <c r="C24" i="49"/>
  <c r="D24" i="49"/>
  <c r="C25" i="49"/>
  <c r="D25" i="49"/>
  <c r="C26" i="49"/>
  <c r="D26" i="49"/>
  <c r="C27" i="49"/>
  <c r="D27" i="49"/>
  <c r="C28" i="49"/>
  <c r="D28" i="49"/>
  <c r="C29" i="49"/>
  <c r="D29" i="49"/>
  <c r="C30" i="49"/>
  <c r="D30" i="49"/>
  <c r="C31" i="49"/>
  <c r="D31" i="49"/>
  <c r="C32" i="49"/>
  <c r="D32" i="49"/>
  <c r="C4" i="49"/>
  <c r="D4" i="49"/>
  <c r="D3" i="49"/>
  <c r="C3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2" i="49"/>
  <c r="J23" i="49"/>
  <c r="J24" i="49"/>
  <c r="J25" i="49"/>
  <c r="J26" i="49"/>
  <c r="J27" i="49"/>
  <c r="J28" i="49"/>
  <c r="J29" i="49"/>
  <c r="J30" i="49"/>
  <c r="J31" i="49"/>
  <c r="J32" i="49"/>
  <c r="J8" i="49"/>
  <c r="J9" i="49"/>
  <c r="J4" i="49"/>
  <c r="J5" i="49"/>
  <c r="J6" i="49"/>
  <c r="J7" i="49"/>
  <c r="J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" i="49"/>
  <c r="W32" i="49" l="1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" i="49"/>
  <c r="Q6" i="20" a="1"/>
  <c r="Q6" i="31" a="1"/>
  <c r="Q6" i="11" a="1"/>
  <c r="Q6" i="22" a="1"/>
  <c r="Q6" i="39" a="1"/>
  <c r="Q6" i="42" a="1"/>
  <c r="Q6" i="36" a="1"/>
  <c r="Q6" i="34" a="1"/>
  <c r="Q6" i="19" a="1"/>
  <c r="Q6" i="30" a="1"/>
  <c r="Q6" i="14" a="1"/>
  <c r="Q6" i="21" a="1"/>
  <c r="Q6" i="38" a="1"/>
  <c r="Q6" i="43" a="1"/>
  <c r="Q6" i="35" a="1"/>
  <c r="Q6" i="41" a="1"/>
  <c r="Q6" i="32" a="1"/>
  <c r="Q6" i="24" a="1"/>
  <c r="Q6" i="29" a="1"/>
  <c r="Q6" i="28" a="1"/>
  <c r="Q6" i="37" a="1"/>
  <c r="Q6" i="16" a="1"/>
  <c r="Q6" i="18" a="1"/>
  <c r="Q6" i="17" a="1"/>
  <c r="Q6" i="26" a="1"/>
  <c r="Q6" i="27" a="1"/>
  <c r="Q6" i="40" a="1"/>
  <c r="Q6" i="15" a="1"/>
  <c r="Q6" i="33" a="1"/>
  <c r="Q6" i="23" a="1"/>
  <c r="Q6" i="42" l="1"/>
  <c r="Q6" i="33"/>
  <c r="Q6" i="14"/>
  <c r="Q6" i="34"/>
  <c r="Q6" i="41"/>
  <c r="Q6" i="18"/>
  <c r="F5" i="18" s="1"/>
  <c r="Q6" i="24"/>
  <c r="Q6" i="40"/>
  <c r="Q6" i="32"/>
  <c r="F5" i="32" s="1"/>
  <c r="Q6" i="23"/>
  <c r="Q6" i="43"/>
  <c r="Q6" i="16"/>
  <c r="Q6" i="31"/>
  <c r="Q6" i="22"/>
  <c r="Q6" i="19"/>
  <c r="F5" i="19" s="1"/>
  <c r="Q6" i="15"/>
  <c r="Q6" i="39"/>
  <c r="F5" i="39" s="1"/>
  <c r="Q6" i="30"/>
  <c r="Q6" i="21"/>
  <c r="Q6" i="26"/>
  <c r="Q6" i="38"/>
  <c r="Q6" i="29"/>
  <c r="Q6" i="11"/>
  <c r="Q6" i="35"/>
  <c r="Q6" i="37"/>
  <c r="Q6" i="28"/>
  <c r="Q6" i="17"/>
  <c r="Q6" i="36"/>
  <c r="F5" i="36" s="1"/>
  <c r="Q6" i="27"/>
  <c r="F5" i="27" s="1"/>
  <c r="Q6" i="20"/>
  <c r="F3" i="18" l="1"/>
  <c r="F5" i="34"/>
  <c r="F3" i="34" s="1"/>
  <c r="F17" i="34" s="1"/>
  <c r="F12" i="34" s="1"/>
  <c r="F18" i="34" s="1"/>
  <c r="H6" i="34"/>
  <c r="F5" i="29"/>
  <c r="F3" i="29" s="1"/>
  <c r="F17" i="29" s="1"/>
  <c r="F12" i="29" s="1"/>
  <c r="F18" i="29" s="1"/>
  <c r="H6" i="29"/>
  <c r="P3" i="40" a="1"/>
  <c r="P3" i="36" a="1"/>
  <c r="O9" i="11" a="1"/>
  <c r="O5" i="36" a="1"/>
  <c r="P5" i="39" a="1"/>
  <c r="Q2" i="19" a="1"/>
  <c r="O3" i="40" a="1"/>
  <c r="O11" i="14" a="1"/>
  <c r="O2" i="34" a="1"/>
  <c r="Q4" i="26" a="1"/>
  <c r="P11" i="18" a="1"/>
  <c r="P9" i="35" a="1"/>
  <c r="Q3" i="21" a="1"/>
  <c r="Q4" i="19" a="1"/>
  <c r="O10" i="37" a="1"/>
  <c r="P3" i="41" a="1"/>
  <c r="O10" i="39" a="1"/>
  <c r="O10" i="16" a="1"/>
  <c r="O10" i="32" a="1"/>
  <c r="O4" i="37" a="1"/>
  <c r="P3" i="23" a="1"/>
  <c r="Q3" i="31" a="1"/>
  <c r="Q7" i="42" a="1"/>
  <c r="Q4" i="14" a="1"/>
  <c r="O9" i="32" a="1"/>
  <c r="P5" i="24" a="1"/>
  <c r="O3" i="28" a="1"/>
  <c r="P10" i="34" a="1"/>
  <c r="P10" i="32" a="1"/>
  <c r="P8" i="38" a="1"/>
  <c r="Q2" i="42" a="1"/>
  <c r="O11" i="28" a="1"/>
  <c r="O4" i="42" a="1"/>
  <c r="O3" i="37" a="1"/>
  <c r="Q9" i="24" a="1"/>
  <c r="P9" i="36" a="1"/>
  <c r="O3" i="33" a="1"/>
  <c r="P9" i="43" a="1"/>
  <c r="Q7" i="21" a="1"/>
  <c r="P11" i="26" a="1"/>
  <c r="O4" i="41" a="1"/>
  <c r="Q2" i="43" a="1"/>
  <c r="P3" i="15" a="1"/>
  <c r="P9" i="31" a="1"/>
  <c r="Q4" i="29" a="1"/>
  <c r="Q4" i="24" a="1"/>
  <c r="O4" i="23" a="1"/>
  <c r="O2" i="33" a="1"/>
  <c r="Q10" i="30" a="1"/>
  <c r="Q9" i="21" a="1"/>
  <c r="P3" i="21" a="1"/>
  <c r="P5" i="22" a="1"/>
  <c r="O2" i="30" a="1"/>
  <c r="O10" i="27" a="1"/>
  <c r="Q7" i="31" a="1"/>
  <c r="Q3" i="28" a="1"/>
  <c r="O9" i="19" a="1"/>
  <c r="P4" i="40" a="1"/>
  <c r="O10" i="40" a="1"/>
  <c r="P8" i="16" a="1"/>
  <c r="Q3" i="23" a="1"/>
  <c r="Q2" i="35" a="1"/>
  <c r="O9" i="41" a="1"/>
  <c r="Q3" i="34" a="1"/>
  <c r="O8" i="21" a="1"/>
  <c r="P10" i="11" a="1"/>
  <c r="Q10" i="37" a="1"/>
  <c r="O3" i="15" a="1"/>
  <c r="Q2" i="22" a="1"/>
  <c r="O8" i="28" a="1"/>
  <c r="P10" i="42" a="1"/>
  <c r="Q4" i="34" a="1"/>
  <c r="O11" i="31" a="1"/>
  <c r="O5" i="30" a="1"/>
  <c r="P8" i="23" a="1"/>
  <c r="Q10" i="39" a="1"/>
  <c r="Q7" i="17" a="1"/>
  <c r="P4" i="27" a="1"/>
  <c r="Q4" i="35" a="1"/>
  <c r="P8" i="35" a="1"/>
  <c r="O11" i="24" a="1"/>
  <c r="Q3" i="11" a="1"/>
  <c r="O9" i="24" a="1"/>
  <c r="P5" i="20" a="1"/>
  <c r="O5" i="34" a="1"/>
  <c r="O9" i="38" a="1"/>
  <c r="Q9" i="37" a="1"/>
  <c r="O11" i="40" a="1"/>
  <c r="P3" i="35" a="1"/>
  <c r="Q4" i="27" a="1"/>
  <c r="P8" i="30" a="1"/>
  <c r="O10" i="43" a="1"/>
  <c r="Q7" i="27" a="1"/>
  <c r="O8" i="33" a="1"/>
  <c r="O3" i="20" a="1"/>
  <c r="P4" i="30" a="1"/>
  <c r="O8" i="23" a="1"/>
  <c r="Q9" i="30" a="1"/>
  <c r="Q4" i="28" a="1"/>
  <c r="P3" i="26" a="1"/>
  <c r="Q4" i="33" a="1"/>
  <c r="Q2" i="16" a="1"/>
  <c r="O8" i="17" a="1"/>
  <c r="P11" i="14" a="1"/>
  <c r="O4" i="27" a="1"/>
  <c r="O2" i="31" a="1"/>
  <c r="O2" i="24" a="1"/>
  <c r="Q4" i="36" a="1"/>
  <c r="P5" i="34" a="1"/>
  <c r="Q9" i="15" a="1"/>
  <c r="P11" i="36" a="1"/>
  <c r="O8" i="20" a="1"/>
  <c r="O9" i="30" a="1"/>
  <c r="Q10" i="36" a="1"/>
  <c r="P4" i="23" a="1"/>
  <c r="P3" i="11" a="1"/>
  <c r="Q2" i="11" a="1"/>
  <c r="Q9" i="38" a="1"/>
  <c r="O8" i="34" a="1"/>
  <c r="O10" i="22" a="1"/>
  <c r="Q3" i="37" a="1"/>
  <c r="P9" i="32" a="1"/>
  <c r="O11" i="16" a="1"/>
  <c r="O11" i="19" a="1"/>
  <c r="O8" i="15" a="1"/>
  <c r="P5" i="31" a="1"/>
  <c r="P10" i="31" a="1"/>
  <c r="O3" i="26" a="1"/>
  <c r="P4" i="36" a="1"/>
  <c r="O11" i="35" a="1"/>
  <c r="P8" i="18" a="1"/>
  <c r="P8" i="42" a="1"/>
  <c r="P9" i="28" a="1"/>
  <c r="O8" i="41" a="1"/>
  <c r="O4" i="17" a="1"/>
  <c r="Q3" i="41" a="1"/>
  <c r="O4" i="14" a="1"/>
  <c r="O10" i="38" a="1"/>
  <c r="P4" i="43" a="1"/>
  <c r="O5" i="24" a="1"/>
  <c r="Q10" i="23" a="1"/>
  <c r="P10" i="20" a="1"/>
  <c r="Q9" i="34" a="1"/>
  <c r="Q2" i="27" a="1"/>
  <c r="O10" i="15" a="1"/>
  <c r="O4" i="26" a="1"/>
  <c r="O2" i="42" a="1"/>
  <c r="O2" i="16" a="1"/>
  <c r="P10" i="19" a="1"/>
  <c r="O3" i="16" a="1"/>
  <c r="Q10" i="24" a="1"/>
  <c r="P8" i="28" a="1"/>
  <c r="Q10" i="11" a="1"/>
  <c r="P10" i="28" a="1"/>
  <c r="P8" i="43" a="1"/>
  <c r="Q10" i="27" a="1"/>
  <c r="O3" i="42" a="1"/>
  <c r="O5" i="29" a="1"/>
  <c r="Q2" i="23" a="1"/>
  <c r="O2" i="19" a="1"/>
  <c r="P4" i="15" a="1"/>
  <c r="O5" i="26" a="1"/>
  <c r="P5" i="11" a="1"/>
  <c r="Q4" i="23" a="1"/>
  <c r="Q4" i="37" a="1"/>
  <c r="P5" i="19" a="1"/>
  <c r="P8" i="24" a="1"/>
  <c r="O5" i="32" a="1"/>
  <c r="Q9" i="14" a="1"/>
  <c r="Q7" i="29" a="1"/>
  <c r="O10" i="30" a="1"/>
  <c r="O2" i="29" a="1"/>
  <c r="P11" i="20" a="1"/>
  <c r="Q4" i="30" a="1"/>
  <c r="Q10" i="17" a="1"/>
  <c r="O5" i="43" a="1"/>
  <c r="Q10" i="20" a="1"/>
  <c r="Q9" i="33" a="1"/>
  <c r="O4" i="24" a="1"/>
  <c r="P8" i="15" a="1"/>
  <c r="O8" i="39" a="1"/>
  <c r="P3" i="39" a="1"/>
  <c r="Q7" i="18" a="1"/>
  <c r="Q10" i="28" a="1"/>
  <c r="O2" i="41" a="1"/>
  <c r="O2" i="20" a="1"/>
  <c r="P11" i="15" a="1"/>
  <c r="Q10" i="43" a="1"/>
  <c r="Q3" i="35" a="1"/>
  <c r="O11" i="36" a="1"/>
  <c r="Q2" i="28" a="1"/>
  <c r="P4" i="11" a="1"/>
  <c r="Q7" i="19" a="1"/>
  <c r="O8" i="38" a="1"/>
  <c r="O9" i="16" a="1"/>
  <c r="P10" i="36" a="1"/>
  <c r="P11" i="38" a="1"/>
  <c r="P5" i="35" a="1"/>
  <c r="O8" i="30" a="1"/>
  <c r="P3" i="14" a="1"/>
  <c r="Q7" i="15" a="1"/>
  <c r="O5" i="38" a="1"/>
  <c r="O3" i="30" a="1"/>
  <c r="P4" i="37" a="1"/>
  <c r="O8" i="27" a="1"/>
  <c r="P9" i="38" a="1"/>
  <c r="O5" i="19" a="1"/>
  <c r="Q7" i="16" a="1"/>
  <c r="P4" i="41" a="1"/>
  <c r="Q3" i="32" a="1"/>
  <c r="O9" i="39" a="1"/>
  <c r="Q3" i="19" a="1"/>
  <c r="P4" i="29" a="1"/>
  <c r="O2" i="43" a="1"/>
  <c r="P10" i="27" a="1"/>
  <c r="O8" i="26" a="1"/>
  <c r="Q9" i="17" a="1"/>
  <c r="Q2" i="33" a="1"/>
  <c r="O10" i="41" a="1"/>
  <c r="P3" i="32" a="1"/>
  <c r="O8" i="24" a="1"/>
  <c r="P8" i="29" a="1"/>
  <c r="O3" i="34" a="1"/>
  <c r="O9" i="42" a="1"/>
  <c r="Q9" i="43" a="1"/>
  <c r="Q10" i="33" a="1"/>
  <c r="Q3" i="42" a="1"/>
  <c r="Q7" i="35" a="1"/>
  <c r="P5" i="23" a="1"/>
  <c r="Q7" i="39" a="1"/>
  <c r="P8" i="17" a="1"/>
  <c r="P10" i="35" a="1"/>
  <c r="O3" i="38" a="1"/>
  <c r="Q7" i="36" a="1"/>
  <c r="P9" i="19" a="1"/>
  <c r="P9" i="27" a="1"/>
  <c r="O8" i="29" a="1"/>
  <c r="P8" i="26" a="1"/>
  <c r="P10" i="29" a="1"/>
  <c r="P3" i="22" a="1"/>
  <c r="Q7" i="43" a="1"/>
  <c r="P3" i="34" a="1"/>
  <c r="O3" i="14" a="1"/>
  <c r="Q2" i="32" a="1"/>
  <c r="O10" i="35" a="1"/>
  <c r="P11" i="27" a="1"/>
  <c r="O5" i="31" a="1"/>
  <c r="P8" i="32" a="1"/>
  <c r="O8" i="16" a="1"/>
  <c r="Q4" i="38" a="1"/>
  <c r="P10" i="30" a="1"/>
  <c r="O4" i="36" a="1"/>
  <c r="Q4" i="17" a="1"/>
  <c r="O4" i="20" a="1"/>
  <c r="O2" i="39" a="1"/>
  <c r="Q9" i="19" a="1"/>
  <c r="Q10" i="21" a="1"/>
  <c r="P3" i="19" a="1"/>
  <c r="O3" i="17" a="1"/>
  <c r="P5" i="27" a="1"/>
  <c r="O4" i="22" a="1"/>
  <c r="O11" i="41" a="1"/>
  <c r="O9" i="40" a="1"/>
  <c r="P3" i="16" a="1"/>
  <c r="O9" i="43" a="1"/>
  <c r="Q9" i="35" a="1"/>
  <c r="P8" i="31" a="1"/>
  <c r="O11" i="20" a="1"/>
  <c r="O10" i="20" a="1"/>
  <c r="Q4" i="16" a="1"/>
  <c r="P5" i="16" a="1"/>
  <c r="Q10" i="32" a="1"/>
  <c r="P3" i="28" a="1"/>
  <c r="O5" i="11" a="1"/>
  <c r="P8" i="34" a="1"/>
  <c r="O5" i="39" a="1"/>
  <c r="P8" i="11" a="1"/>
  <c r="O3" i="22" a="1"/>
  <c r="P8" i="19" a="1"/>
  <c r="Q9" i="29" a="1"/>
  <c r="P10" i="37" a="1"/>
  <c r="O10" i="23" a="1"/>
  <c r="O3" i="23" a="1"/>
  <c r="P11" i="37" a="1"/>
  <c r="O4" i="39" a="1"/>
  <c r="Q10" i="42" a="1"/>
  <c r="Q4" i="11" a="1"/>
  <c r="Q3" i="29" a="1"/>
  <c r="Q4" i="31" a="1"/>
  <c r="O11" i="27" a="1"/>
  <c r="O2" i="32" a="1"/>
  <c r="P8" i="41" a="1"/>
  <c r="O9" i="20" a="1"/>
  <c r="O10" i="19" a="1"/>
  <c r="P4" i="17" a="1"/>
  <c r="P3" i="27" a="1"/>
  <c r="P11" i="23" a="1"/>
  <c r="P11" i="43" a="1"/>
  <c r="P9" i="30" a="1"/>
  <c r="O3" i="29" a="1"/>
  <c r="Q10" i="14" a="1"/>
  <c r="Q9" i="18" a="1"/>
  <c r="O11" i="38" a="1"/>
  <c r="P4" i="28" a="1"/>
  <c r="P10" i="39" a="1"/>
  <c r="O10" i="42" a="1"/>
  <c r="O11" i="29" a="1"/>
  <c r="Q4" i="43" a="1"/>
  <c r="Q10" i="29" a="1"/>
  <c r="Q2" i="41" a="1"/>
  <c r="O10" i="14" a="1"/>
  <c r="Q3" i="14" a="1"/>
  <c r="O2" i="38" a="1"/>
  <c r="P5" i="28" a="1"/>
  <c r="Q3" i="24" a="1"/>
  <c r="P5" i="33" a="1"/>
  <c r="Q3" i="16" a="1"/>
  <c r="P4" i="31" a="1"/>
  <c r="P8" i="40" a="1"/>
  <c r="P5" i="37" a="1"/>
  <c r="O3" i="18" a="1"/>
  <c r="O3" i="41" a="1"/>
  <c r="Q4" i="15" a="1"/>
  <c r="Q9" i="41" a="1"/>
  <c r="O9" i="27" a="1"/>
  <c r="P11" i="35" a="1"/>
  <c r="O3" i="11" a="1"/>
  <c r="P11" i="41" a="1"/>
  <c r="O2" i="27" a="1"/>
  <c r="O8" i="14" a="1"/>
  <c r="O11" i="42" a="1"/>
  <c r="Q3" i="39" a="1"/>
  <c r="P9" i="26" a="1"/>
  <c r="O4" i="32" a="1"/>
  <c r="P10" i="16" a="1"/>
  <c r="O3" i="21" a="1"/>
  <c r="P3" i="37" a="1"/>
  <c r="P10" i="24" a="1"/>
  <c r="Q4" i="32" a="1"/>
  <c r="O9" i="17" a="1"/>
  <c r="P8" i="37" a="1"/>
  <c r="Q9" i="31" a="1"/>
  <c r="Q4" i="42" a="1"/>
  <c r="P8" i="33" a="1"/>
  <c r="Q3" i="33" a="1"/>
  <c r="P3" i="30" a="1"/>
  <c r="Q3" i="40" a="1"/>
  <c r="O4" i="30" a="1"/>
  <c r="O2" i="36" a="1"/>
  <c r="O4" i="16" a="1"/>
  <c r="P4" i="33" a="1"/>
  <c r="O5" i="23" a="1"/>
  <c r="O9" i="23" a="1"/>
  <c r="P10" i="21" a="1"/>
  <c r="O10" i="31" a="1"/>
  <c r="P5" i="30" a="1"/>
  <c r="P8" i="14" a="1"/>
  <c r="O9" i="37" a="1"/>
  <c r="O2" i="37" a="1"/>
  <c r="O4" i="38" a="1"/>
  <c r="Q4" i="39" a="1"/>
  <c r="Q4" i="40" a="1"/>
  <c r="Q3" i="26" a="1"/>
  <c r="Q7" i="11" a="1"/>
  <c r="O8" i="35" a="1"/>
  <c r="P3" i="38" a="1"/>
  <c r="O3" i="39" a="1"/>
  <c r="P5" i="29" a="1"/>
  <c r="O11" i="11" a="1"/>
  <c r="P3" i="43" a="1"/>
  <c r="O2" i="40" a="1"/>
  <c r="Q7" i="23" a="1"/>
  <c r="O11" i="15" a="1"/>
  <c r="P11" i="32" a="1"/>
  <c r="Q2" i="17" a="1"/>
  <c r="P9" i="17" a="1"/>
  <c r="P9" i="40" a="1"/>
  <c r="O3" i="36" a="1"/>
  <c r="P11" i="16" a="1"/>
  <c r="Q2" i="24" a="1"/>
  <c r="P3" i="33" a="1"/>
  <c r="P10" i="18" a="1"/>
  <c r="O5" i="28" a="1"/>
  <c r="O10" i="24" a="1"/>
  <c r="Q7" i="40" a="1"/>
  <c r="O2" i="11" a="1"/>
  <c r="P4" i="21" a="1"/>
  <c r="O8" i="43" a="1"/>
  <c r="Q3" i="18" a="1"/>
  <c r="Q2" i="15" a="1"/>
  <c r="O5" i="37" a="1"/>
  <c r="P10" i="38" a="1"/>
  <c r="P10" i="15" a="1"/>
  <c r="Q9" i="16" a="1"/>
  <c r="P5" i="43" a="1"/>
  <c r="O11" i="43" a="1"/>
  <c r="P4" i="24" a="1"/>
  <c r="Q2" i="40" a="1"/>
  <c r="Q2" i="39" a="1"/>
  <c r="Q2" i="31" a="1"/>
  <c r="Q7" i="34" a="1"/>
  <c r="Q10" i="38" a="1"/>
  <c r="O5" i="41" a="1"/>
  <c r="Q4" i="20" a="1"/>
  <c r="P4" i="35" a="1"/>
  <c r="Q7" i="37" a="1"/>
  <c r="Q3" i="30" a="1"/>
  <c r="P9" i="41" a="1"/>
  <c r="Q9" i="20" a="1"/>
  <c r="Q10" i="22" a="1"/>
  <c r="P9" i="15" a="1"/>
  <c r="P10" i="14" a="1"/>
  <c r="O8" i="36" a="1"/>
  <c r="O11" i="33" a="1"/>
  <c r="P9" i="23" a="1"/>
  <c r="O4" i="31" a="1"/>
  <c r="Q7" i="30" a="1"/>
  <c r="P11" i="39" a="1"/>
  <c r="O5" i="15" a="1"/>
  <c r="O2" i="22" a="1"/>
  <c r="O3" i="31" a="1"/>
  <c r="Q7" i="28" a="1"/>
  <c r="Q9" i="36" a="1"/>
  <c r="P5" i="21" a="1"/>
  <c r="Q2" i="21" a="1"/>
  <c r="Q10" i="26" a="1"/>
  <c r="P10" i="41" a="1"/>
  <c r="O11" i="39" a="1"/>
  <c r="Q2" i="37" a="1"/>
  <c r="P11" i="28" a="1"/>
  <c r="P11" i="33" a="1"/>
  <c r="Q7" i="22" a="1"/>
  <c r="P5" i="36" a="1"/>
  <c r="O4" i="40" a="1"/>
  <c r="O3" i="32" a="1"/>
  <c r="P9" i="14" a="1"/>
  <c r="Q9" i="40" a="1"/>
  <c r="P11" i="31" a="1"/>
  <c r="P9" i="21" a="1"/>
  <c r="P8" i="20" a="1"/>
  <c r="O4" i="35" a="1"/>
  <c r="O5" i="18" a="1"/>
  <c r="Q7" i="14" a="1"/>
  <c r="O5" i="33" a="1"/>
  <c r="O5" i="40" a="1"/>
  <c r="O2" i="21" a="1"/>
  <c r="P3" i="42" a="1"/>
  <c r="O5" i="17" a="1"/>
  <c r="O4" i="33" a="1"/>
  <c r="O2" i="23" a="1"/>
  <c r="P10" i="33" a="1"/>
  <c r="P11" i="29" a="1"/>
  <c r="O9" i="31" a="1"/>
  <c r="O10" i="26" a="1"/>
  <c r="O3" i="43" a="1"/>
  <c r="O8" i="37" a="1"/>
  <c r="P5" i="40" a="1"/>
  <c r="O9" i="21" a="1"/>
  <c r="O5" i="35" a="1"/>
  <c r="Q7" i="26" a="1"/>
  <c r="P9" i="20" a="1"/>
  <c r="Q10" i="31" a="1"/>
  <c r="O5" i="20" a="1"/>
  <c r="O11" i="34" a="1"/>
  <c r="P5" i="41" a="1"/>
  <c r="Q2" i="14" a="1"/>
  <c r="P4" i="38" a="1"/>
  <c r="Q9" i="32" a="1"/>
  <c r="Q9" i="23" a="1"/>
  <c r="O11" i="18" a="1"/>
  <c r="Q7" i="24" a="1"/>
  <c r="O5" i="27" a="1"/>
  <c r="P5" i="17" a="1"/>
  <c r="P5" i="42" a="1"/>
  <c r="Q10" i="41" a="1"/>
  <c r="O2" i="18" a="1"/>
  <c r="O4" i="15" a="1"/>
  <c r="P9" i="42" a="1"/>
  <c r="Q9" i="11" a="1"/>
  <c r="P11" i="19" a="1"/>
  <c r="Q4" i="22" a="1"/>
  <c r="Q10" i="18" a="1"/>
  <c r="P4" i="22" a="1"/>
  <c r="O9" i="22" a="1"/>
  <c r="O9" i="33" a="1"/>
  <c r="O2" i="28" a="1"/>
  <c r="Q2" i="38" a="1"/>
  <c r="P4" i="26" a="1"/>
  <c r="O2" i="15" a="1"/>
  <c r="P4" i="14" a="1"/>
  <c r="P4" i="19" a="1"/>
  <c r="P9" i="34" a="1"/>
  <c r="O10" i="17" a="1"/>
  <c r="Q10" i="16" a="1"/>
  <c r="Q2" i="36" a="1"/>
  <c r="O10" i="36" a="1"/>
  <c r="O4" i="11" a="1"/>
  <c r="O8" i="22" a="1"/>
  <c r="P5" i="15" a="1"/>
  <c r="P9" i="16" a="1"/>
  <c r="O11" i="37" a="1"/>
  <c r="P11" i="22" a="1"/>
  <c r="O9" i="26" a="1"/>
  <c r="Q7" i="20" a="1"/>
  <c r="P4" i="42" a="1"/>
  <c r="O8" i="42" a="1"/>
  <c r="P4" i="18" a="1"/>
  <c r="P3" i="24" a="1"/>
  <c r="P8" i="39" a="1"/>
  <c r="Q3" i="20" a="1"/>
  <c r="P4" i="32" a="1"/>
  <c r="P11" i="34" a="1"/>
  <c r="O11" i="23" a="1"/>
  <c r="O8" i="18" a="1"/>
  <c r="P11" i="24" a="1"/>
  <c r="O11" i="22" a="1"/>
  <c r="P9" i="24" a="1"/>
  <c r="P5" i="14" a="1"/>
  <c r="O9" i="36" a="1"/>
  <c r="P4" i="20" a="1"/>
  <c r="P11" i="40" a="1"/>
  <c r="Q7" i="38" a="1"/>
  <c r="Q9" i="39" a="1"/>
  <c r="O5" i="14" a="1"/>
  <c r="O5" i="22" a="1"/>
  <c r="O3" i="35" a="1"/>
  <c r="P9" i="39" a="1"/>
  <c r="P11" i="30" a="1"/>
  <c r="Q3" i="43" a="1"/>
  <c r="P8" i="27" a="1"/>
  <c r="P10" i="17" a="1"/>
  <c r="O8" i="19" a="1"/>
  <c r="Q4" i="21" a="1"/>
  <c r="P5" i="32" a="1"/>
  <c r="O9" i="18" a="1"/>
  <c r="P11" i="17" a="1"/>
  <c r="Q7" i="33" a="1"/>
  <c r="P3" i="18" a="1"/>
  <c r="P5" i="26" a="1"/>
  <c r="P11" i="42" a="1"/>
  <c r="Q2" i="20" a="1"/>
  <c r="Q3" i="22" a="1"/>
  <c r="P10" i="22" a="1"/>
  <c r="O10" i="28" a="1"/>
  <c r="O10" i="29" a="1"/>
  <c r="O2" i="26" a="1"/>
  <c r="P10" i="23" a="1"/>
  <c r="P3" i="20" a="1"/>
  <c r="P11" i="21" a="1"/>
  <c r="Q9" i="27" a="1"/>
  <c r="O5" i="21" a="1"/>
  <c r="Q10" i="40" a="1"/>
  <c r="Q2" i="29" a="1"/>
  <c r="Q2" i="18" a="1"/>
  <c r="O8" i="40" a="1"/>
  <c r="O3" i="24" a="1"/>
  <c r="Q9" i="28" a="1"/>
  <c r="P5" i="38" a="1"/>
  <c r="P4" i="34" a="1"/>
  <c r="O10" i="21" a="1"/>
  <c r="Q3" i="36" a="1"/>
  <c r="O11" i="17" a="1"/>
  <c r="P3" i="17" a="1"/>
  <c r="O9" i="14" a="1"/>
  <c r="O11" i="32" a="1"/>
  <c r="Q10" i="35" a="1"/>
  <c r="O4" i="43" a="1"/>
  <c r="O9" i="15" a="1"/>
  <c r="O3" i="27" a="1"/>
  <c r="Q3" i="17" a="1"/>
  <c r="P9" i="18" a="1"/>
  <c r="Q9" i="42" a="1"/>
  <c r="Q10" i="15" a="1"/>
  <c r="Q7" i="32" a="1"/>
  <c r="P9" i="33" a="1"/>
  <c r="O9" i="34" a="1"/>
  <c r="O8" i="11" a="1"/>
  <c r="P10" i="43" a="1"/>
  <c r="Q2" i="26" a="1"/>
  <c r="Q9" i="22" a="1"/>
  <c r="O4" i="19" a="1"/>
  <c r="Q9" i="26" a="1"/>
  <c r="O3" i="19" a="1"/>
  <c r="Q7" i="41" a="1"/>
  <c r="P8" i="21" a="1"/>
  <c r="P4" i="39" a="1"/>
  <c r="Q2" i="30" a="1"/>
  <c r="O4" i="21" a="1"/>
  <c r="O4" i="18" a="1"/>
  <c r="O11" i="21" a="1"/>
  <c r="P3" i="31" a="1"/>
  <c r="O5" i="16" a="1"/>
  <c r="P9" i="22" a="1"/>
  <c r="Q10" i="34" a="1"/>
  <c r="Q4" i="18" a="1"/>
  <c r="P8" i="36" a="1"/>
  <c r="O9" i="35" a="1"/>
  <c r="O9" i="29" a="1"/>
  <c r="O2" i="17" a="1"/>
  <c r="P8" i="22" a="1"/>
  <c r="O2" i="14" a="1"/>
  <c r="O2" i="35" a="1"/>
  <c r="O8" i="32" a="1"/>
  <c r="P9" i="11" a="1"/>
  <c r="P3" i="29" a="1"/>
  <c r="Q2" i="34" a="1"/>
  <c r="O10" i="11" a="1"/>
  <c r="O4" i="34" a="1"/>
  <c r="O8" i="31" a="1"/>
  <c r="O10" i="34" a="1"/>
  <c r="Q3" i="38" a="1"/>
  <c r="P10" i="40" a="1"/>
  <c r="O11" i="26" a="1"/>
  <c r="P5" i="18" a="1"/>
  <c r="O4" i="28" a="1"/>
  <c r="P4" i="16" a="1"/>
  <c r="P9" i="37" a="1"/>
  <c r="O4" i="29" a="1"/>
  <c r="P10" i="26" a="1"/>
  <c r="O11" i="30" a="1"/>
  <c r="Q3" i="27" a="1"/>
  <c r="Q4" i="41" a="1"/>
  <c r="O9" i="28" a="1"/>
  <c r="Q3" i="15" a="1"/>
  <c r="O5" i="42" a="1"/>
  <c r="Q10" i="19" a="1"/>
  <c r="O10" i="33" a="1"/>
  <c r="P9" i="29" a="1"/>
  <c r="P11" i="11" a="1"/>
  <c r="O10" i="18" a="1"/>
  <c r="O3" i="31" l="1"/>
  <c r="Q2" i="30"/>
  <c r="F5" i="21"/>
  <c r="P9" i="32"/>
  <c r="O10" i="27"/>
  <c r="O9" i="24"/>
  <c r="O10" i="17"/>
  <c r="Q2" i="42"/>
  <c r="P10" i="23"/>
  <c r="Q4" i="30"/>
  <c r="P4" i="27"/>
  <c r="P9" i="29"/>
  <c r="P8" i="37"/>
  <c r="Q7" i="29"/>
  <c r="O10" i="23"/>
  <c r="Q3" i="35"/>
  <c r="O4" i="22"/>
  <c r="P10" i="33"/>
  <c r="Q4" i="24"/>
  <c r="Q10" i="21"/>
  <c r="O3" i="39"/>
  <c r="P8" i="23"/>
  <c r="P8" i="42"/>
  <c r="P10" i="22"/>
  <c r="O11" i="31"/>
  <c r="Q10" i="40"/>
  <c r="O5" i="35"/>
  <c r="O8" i="19"/>
  <c r="O9" i="32"/>
  <c r="Q2" i="18"/>
  <c r="O10" i="37"/>
  <c r="P11" i="36"/>
  <c r="P9" i="16"/>
  <c r="O10" i="32"/>
  <c r="O3" i="21"/>
  <c r="O2" i="31"/>
  <c r="Q2" i="31"/>
  <c r="P4" i="22"/>
  <c r="P9" i="41"/>
  <c r="P8" i="34"/>
  <c r="O5" i="33"/>
  <c r="O4" i="43"/>
  <c r="P5" i="20"/>
  <c r="P11" i="33"/>
  <c r="O5" i="27"/>
  <c r="Q10" i="37"/>
  <c r="Q3" i="28"/>
  <c r="P9" i="31"/>
  <c r="O11" i="40"/>
  <c r="Q2" i="39"/>
  <c r="P9" i="42"/>
  <c r="Q10" i="26"/>
  <c r="P4" i="24"/>
  <c r="O3" i="32"/>
  <c r="O2" i="37"/>
  <c r="O8" i="21"/>
  <c r="P5" i="21"/>
  <c r="P4" i="38"/>
  <c r="P10" i="27"/>
  <c r="O5" i="18"/>
  <c r="O4" i="29"/>
  <c r="Q7" i="38"/>
  <c r="O5" i="16"/>
  <c r="O8" i="32"/>
  <c r="O8" i="42"/>
  <c r="O11" i="24"/>
  <c r="O5" i="30"/>
  <c r="O8" i="16"/>
  <c r="O8" i="34"/>
  <c r="Q7" i="36"/>
  <c r="P11" i="28"/>
  <c r="P10" i="31"/>
  <c r="F5" i="17"/>
  <c r="P3" i="18"/>
  <c r="P4" i="18"/>
  <c r="P9" i="21"/>
  <c r="F5" i="28"/>
  <c r="O4" i="32"/>
  <c r="Q4" i="38"/>
  <c r="O3" i="15"/>
  <c r="P11" i="15"/>
  <c r="P10" i="38"/>
  <c r="F5" i="31"/>
  <c r="O4" i="17"/>
  <c r="O5" i="20"/>
  <c r="O3" i="38"/>
  <c r="O11" i="17"/>
  <c r="O11" i="28"/>
  <c r="P9" i="28"/>
  <c r="O4" i="11"/>
  <c r="Q4" i="42"/>
  <c r="P5" i="11"/>
  <c r="O10" i="30"/>
  <c r="P3" i="16"/>
  <c r="Q9" i="24"/>
  <c r="O5" i="32"/>
  <c r="O9" i="35"/>
  <c r="L6" i="29"/>
  <c r="N6" i="29" s="1"/>
  <c r="R6" i="29" s="1"/>
  <c r="O4" i="37"/>
  <c r="Q7" i="30"/>
  <c r="Q2" i="27"/>
  <c r="O5" i="37"/>
  <c r="Q2" i="34"/>
  <c r="B16" i="34" s="1"/>
  <c r="B17" i="34" s="1"/>
  <c r="B12" i="34" s="1"/>
  <c r="B18" i="34" s="1"/>
  <c r="O5" i="14"/>
  <c r="O3" i="17"/>
  <c r="Q4" i="28"/>
  <c r="O3" i="24"/>
  <c r="O3" i="19"/>
  <c r="Q2" i="24"/>
  <c r="P10" i="18"/>
  <c r="P8" i="30"/>
  <c r="Q10" i="35"/>
  <c r="O9" i="26"/>
  <c r="O3" i="11"/>
  <c r="O8" i="28"/>
  <c r="O9" i="43"/>
  <c r="P9" i="24"/>
  <c r="P9" i="27"/>
  <c r="O8" i="23"/>
  <c r="Q3" i="18"/>
  <c r="P4" i="41"/>
  <c r="O8" i="40"/>
  <c r="Q3" i="43"/>
  <c r="P9" i="20"/>
  <c r="Q7" i="35"/>
  <c r="Q2" i="33"/>
  <c r="Q7" i="42"/>
  <c r="O9" i="23"/>
  <c r="P3" i="39"/>
  <c r="O3" i="26"/>
  <c r="O4" i="40"/>
  <c r="O2" i="42"/>
  <c r="P5" i="42"/>
  <c r="P10" i="29"/>
  <c r="O11" i="30"/>
  <c r="P5" i="32"/>
  <c r="P4" i="19"/>
  <c r="O9" i="20"/>
  <c r="Q4" i="40"/>
  <c r="Q7" i="33"/>
  <c r="O3" i="30"/>
  <c r="Q9" i="38"/>
  <c r="Q7" i="15"/>
  <c r="H7" i="15" s="1"/>
  <c r="L7" i="15" s="1"/>
  <c r="N7" i="15" s="1"/>
  <c r="R7" i="15" s="1"/>
  <c r="P5" i="24"/>
  <c r="Q9" i="19"/>
  <c r="Q9" i="43"/>
  <c r="O2" i="39"/>
  <c r="O3" i="36"/>
  <c r="O9" i="27"/>
  <c r="Q4" i="18"/>
  <c r="Q9" i="21"/>
  <c r="Q10" i="18"/>
  <c r="Q7" i="26"/>
  <c r="P3" i="14"/>
  <c r="P9" i="37"/>
  <c r="P3" i="32"/>
  <c r="P8" i="24"/>
  <c r="O2" i="14"/>
  <c r="Q10" i="38"/>
  <c r="O5" i="11"/>
  <c r="P11" i="32"/>
  <c r="O10" i="14"/>
  <c r="O8" i="22"/>
  <c r="Q10" i="33"/>
  <c r="O11" i="32"/>
  <c r="Q2" i="17"/>
  <c r="Q9" i="37"/>
  <c r="P10" i="26"/>
  <c r="Q4" i="19"/>
  <c r="D2" i="19" s="1"/>
  <c r="D17" i="19" s="1"/>
  <c r="D12" i="19" s="1"/>
  <c r="D18" i="19" s="1"/>
  <c r="Q4" i="14"/>
  <c r="D2" i="14" s="1"/>
  <c r="D17" i="14" s="1"/>
  <c r="D12" i="14" s="1"/>
  <c r="P4" i="36"/>
  <c r="P4" i="32"/>
  <c r="O9" i="37"/>
  <c r="Q4" i="35"/>
  <c r="P5" i="40"/>
  <c r="O2" i="15"/>
  <c r="Q3" i="37"/>
  <c r="Q10" i="34"/>
  <c r="Q9" i="29"/>
  <c r="P8" i="36"/>
  <c r="P11" i="17"/>
  <c r="O10" i="22"/>
  <c r="O2" i="11"/>
  <c r="Q10" i="39"/>
  <c r="O3" i="23"/>
  <c r="O3" i="16"/>
  <c r="P8" i="22"/>
  <c r="Q4" i="16"/>
  <c r="P3" i="11"/>
  <c r="P5" i="14"/>
  <c r="O9" i="39"/>
  <c r="O4" i="38"/>
  <c r="O4" i="27"/>
  <c r="P9" i="43"/>
  <c r="Q7" i="11"/>
  <c r="O4" i="30"/>
  <c r="O10" i="24"/>
  <c r="O9" i="28"/>
  <c r="F5" i="38"/>
  <c r="O11" i="34"/>
  <c r="O10" i="19"/>
  <c r="O4" i="23"/>
  <c r="Q2" i="35"/>
  <c r="B16" i="35" s="1"/>
  <c r="Q3" i="21"/>
  <c r="O5" i="28"/>
  <c r="Q3" i="26"/>
  <c r="Q2" i="23"/>
  <c r="O3" i="40"/>
  <c r="Q10" i="15"/>
  <c r="O2" i="22"/>
  <c r="P8" i="21"/>
  <c r="P8" i="15"/>
  <c r="O5" i="29"/>
  <c r="O8" i="18"/>
  <c r="O9" i="14"/>
  <c r="O2" i="34"/>
  <c r="P3" i="30"/>
  <c r="F5" i="14"/>
  <c r="F3" i="14" s="1"/>
  <c r="F17" i="14" s="1"/>
  <c r="F12" i="14" s="1"/>
  <c r="F18" i="14" s="1"/>
  <c r="P3" i="19"/>
  <c r="O3" i="33"/>
  <c r="Q3" i="41"/>
  <c r="P3" i="22"/>
  <c r="P8" i="31"/>
  <c r="P3" i="36"/>
  <c r="Q3" i="11"/>
  <c r="O9" i="30"/>
  <c r="O5" i="23"/>
  <c r="O2" i="18"/>
  <c r="Q3" i="29"/>
  <c r="F5" i="37"/>
  <c r="P4" i="34"/>
  <c r="Q10" i="23"/>
  <c r="P4" i="28"/>
  <c r="Q4" i="22"/>
  <c r="Q9" i="42"/>
  <c r="O8" i="11"/>
  <c r="P5" i="18"/>
  <c r="O8" i="36"/>
  <c r="P8" i="41"/>
  <c r="O8" i="31"/>
  <c r="O4" i="35"/>
  <c r="Q2" i="40"/>
  <c r="P9" i="18"/>
  <c r="P5" i="43"/>
  <c r="O3" i="28"/>
  <c r="Q9" i="33"/>
  <c r="Q10" i="11"/>
  <c r="Q2" i="37"/>
  <c r="Q3" i="34"/>
  <c r="Q3" i="16"/>
  <c r="Q2" i="29"/>
  <c r="B16" i="29" s="1"/>
  <c r="B17" i="29" s="1"/>
  <c r="B12" i="29" s="1"/>
  <c r="B18" i="29" s="1"/>
  <c r="Q7" i="19"/>
  <c r="H7" i="19" s="1"/>
  <c r="L7" i="19" s="1"/>
  <c r="N7" i="19" s="1"/>
  <c r="R7" i="19" s="1"/>
  <c r="Q9" i="27"/>
  <c r="Q9" i="23"/>
  <c r="F5" i="22"/>
  <c r="P5" i="26"/>
  <c r="O4" i="33"/>
  <c r="P10" i="43"/>
  <c r="O8" i="27"/>
  <c r="Q10" i="19"/>
  <c r="Q4" i="36"/>
  <c r="Q10" i="28"/>
  <c r="O11" i="22"/>
  <c r="O11" i="39"/>
  <c r="F5" i="16"/>
  <c r="O5" i="15"/>
  <c r="Q7" i="14"/>
  <c r="H7" i="14" s="1"/>
  <c r="L7" i="14" s="1"/>
  <c r="N7" i="14" s="1"/>
  <c r="R7" i="14" s="1"/>
  <c r="P10" i="21"/>
  <c r="Q4" i="20"/>
  <c r="D2" i="20" s="1"/>
  <c r="D17" i="20" s="1"/>
  <c r="D12" i="20" s="1"/>
  <c r="D18" i="20" s="1"/>
  <c r="O4" i="19"/>
  <c r="Q9" i="14"/>
  <c r="O10" i="11"/>
  <c r="O2" i="20"/>
  <c r="O8" i="39"/>
  <c r="Q9" i="26"/>
  <c r="P4" i="37"/>
  <c r="P4" i="42"/>
  <c r="O9" i="42"/>
  <c r="Q3" i="39"/>
  <c r="O4" i="39"/>
  <c r="Q3" i="15"/>
  <c r="P8" i="28"/>
  <c r="Q2" i="28"/>
  <c r="P11" i="41"/>
  <c r="P4" i="11"/>
  <c r="O9" i="11"/>
  <c r="F3" i="39"/>
  <c r="Q10" i="43"/>
  <c r="O5" i="38"/>
  <c r="O9" i="29"/>
  <c r="P10" i="32"/>
  <c r="O3" i="43"/>
  <c r="P3" i="21"/>
  <c r="P4" i="20"/>
  <c r="Q2" i="41"/>
  <c r="B16" i="41" s="1"/>
  <c r="B17" i="41" s="1"/>
  <c r="B12" i="41" s="1"/>
  <c r="B18" i="41" s="1"/>
  <c r="P4" i="15"/>
  <c r="P8" i="33"/>
  <c r="Q2" i="19"/>
  <c r="B16" i="19" s="1"/>
  <c r="L16" i="19" s="1"/>
  <c r="R16" i="19" s="1"/>
  <c r="P5" i="28"/>
  <c r="P8" i="20"/>
  <c r="O5" i="40"/>
  <c r="O5" i="17"/>
  <c r="P10" i="41"/>
  <c r="Q9" i="22"/>
  <c r="Q4" i="17"/>
  <c r="Q4" i="39"/>
  <c r="P10" i="15"/>
  <c r="F5" i="33"/>
  <c r="P10" i="28"/>
  <c r="Q4" i="33"/>
  <c r="P3" i="27"/>
  <c r="Q9" i="41"/>
  <c r="P10" i="30"/>
  <c r="P11" i="42"/>
  <c r="P3" i="34"/>
  <c r="F5" i="23"/>
  <c r="Q7" i="41"/>
  <c r="H7" i="41" s="1"/>
  <c r="L7" i="41" s="1"/>
  <c r="P11" i="30"/>
  <c r="P8" i="43"/>
  <c r="O11" i="26"/>
  <c r="P3" i="42"/>
  <c r="P4" i="31"/>
  <c r="Q4" i="15"/>
  <c r="D2" i="15" s="1"/>
  <c r="D17" i="15" s="1"/>
  <c r="D12" i="15" s="1"/>
  <c r="O5" i="24"/>
  <c r="P11" i="29"/>
  <c r="P8" i="17"/>
  <c r="Q10" i="27"/>
  <c r="O10" i="34"/>
  <c r="O3" i="14"/>
  <c r="P8" i="40"/>
  <c r="P9" i="34"/>
  <c r="O3" i="27"/>
  <c r="P5" i="23"/>
  <c r="Q4" i="21"/>
  <c r="P11" i="18"/>
  <c r="P5" i="33"/>
  <c r="O10" i="42"/>
  <c r="Q7" i="32"/>
  <c r="O5" i="22"/>
  <c r="O3" i="42"/>
  <c r="O8" i="26"/>
  <c r="O11" i="38"/>
  <c r="P10" i="37"/>
  <c r="O10" i="28"/>
  <c r="P3" i="33"/>
  <c r="P3" i="23"/>
  <c r="Q7" i="18"/>
  <c r="O2" i="41"/>
  <c r="P10" i="19"/>
  <c r="Q10" i="42"/>
  <c r="O9" i="22"/>
  <c r="O2" i="38"/>
  <c r="P11" i="37"/>
  <c r="P10" i="20"/>
  <c r="Q9" i="40"/>
  <c r="P9" i="14"/>
  <c r="P5" i="31"/>
  <c r="P11" i="43"/>
  <c r="Q7" i="39"/>
  <c r="Q3" i="31"/>
  <c r="P8" i="27"/>
  <c r="Q3" i="40"/>
  <c r="P4" i="16"/>
  <c r="O4" i="42"/>
  <c r="P8" i="29"/>
  <c r="Q3" i="42"/>
  <c r="O3" i="41"/>
  <c r="O8" i="33"/>
  <c r="Q2" i="22"/>
  <c r="P3" i="31"/>
  <c r="Q9" i="39"/>
  <c r="O11" i="36"/>
  <c r="Q2" i="26"/>
  <c r="P10" i="36"/>
  <c r="P3" i="26"/>
  <c r="O9" i="34"/>
  <c r="O4" i="28"/>
  <c r="Q10" i="31"/>
  <c r="Q3" i="24"/>
  <c r="Q10" i="29"/>
  <c r="Q9" i="31"/>
  <c r="Q9" i="18"/>
  <c r="P11" i="22"/>
  <c r="Q7" i="23"/>
  <c r="O4" i="20"/>
  <c r="P8" i="26"/>
  <c r="O5" i="36"/>
  <c r="O10" i="15"/>
  <c r="O11" i="33"/>
  <c r="O8" i="43"/>
  <c r="P8" i="19"/>
  <c r="O3" i="20"/>
  <c r="P5" i="19"/>
  <c r="P4" i="35"/>
  <c r="P8" i="18"/>
  <c r="P11" i="24"/>
  <c r="Q9" i="34"/>
  <c r="Q4" i="29"/>
  <c r="O10" i="31"/>
  <c r="Q9" i="35"/>
  <c r="P9" i="15"/>
  <c r="O5" i="43"/>
  <c r="P11" i="11"/>
  <c r="O11" i="16"/>
  <c r="P5" i="30"/>
  <c r="P10" i="17"/>
  <c r="O8" i="14"/>
  <c r="P3" i="20"/>
  <c r="P8" i="14"/>
  <c r="O4" i="24"/>
  <c r="Q10" i="36"/>
  <c r="O9" i="41"/>
  <c r="Q7" i="24"/>
  <c r="P11" i="38"/>
  <c r="O11" i="23"/>
  <c r="P10" i="24"/>
  <c r="P5" i="35"/>
  <c r="Q7" i="20"/>
  <c r="H7" i="20" s="1"/>
  <c r="L7" i="20" s="1"/>
  <c r="N7" i="20" s="1"/>
  <c r="P8" i="11"/>
  <c r="P4" i="14"/>
  <c r="O4" i="34"/>
  <c r="Q7" i="27"/>
  <c r="O3" i="35"/>
  <c r="P11" i="34"/>
  <c r="O9" i="31"/>
  <c r="O8" i="38"/>
  <c r="Q7" i="22"/>
  <c r="Q9" i="20"/>
  <c r="P11" i="26"/>
  <c r="O2" i="19"/>
  <c r="O4" i="14"/>
  <c r="P8" i="38"/>
  <c r="O4" i="26"/>
  <c r="O11" i="14"/>
  <c r="O10" i="36"/>
  <c r="P9" i="36"/>
  <c r="O2" i="28"/>
  <c r="Q3" i="38"/>
  <c r="O11" i="37"/>
  <c r="P9" i="38"/>
  <c r="P9" i="11"/>
  <c r="Q2" i="16"/>
  <c r="P10" i="39"/>
  <c r="O5" i="21"/>
  <c r="P9" i="33"/>
  <c r="O5" i="42"/>
  <c r="P3" i="15"/>
  <c r="P11" i="19"/>
  <c r="O4" i="36"/>
  <c r="P11" i="31"/>
  <c r="P10" i="35"/>
  <c r="Q9" i="11"/>
  <c r="P5" i="29"/>
  <c r="P11" i="39"/>
  <c r="P3" i="38"/>
  <c r="Q10" i="17"/>
  <c r="Q9" i="36"/>
  <c r="F5" i="11"/>
  <c r="Q4" i="27"/>
  <c r="Q9" i="16"/>
  <c r="O3" i="18"/>
  <c r="P3" i="29"/>
  <c r="Q3" i="17"/>
  <c r="O4" i="15"/>
  <c r="Q4" i="32"/>
  <c r="O10" i="40"/>
  <c r="P9" i="23"/>
  <c r="Q7" i="21"/>
  <c r="L6" i="34"/>
  <c r="N6" i="34" s="1"/>
  <c r="R6" i="34" s="1"/>
  <c r="Q3" i="14"/>
  <c r="Q7" i="16"/>
  <c r="Q4" i="37"/>
  <c r="Q10" i="16"/>
  <c r="Q7" i="43"/>
  <c r="O2" i="30"/>
  <c r="O11" i="19"/>
  <c r="F5" i="40"/>
  <c r="Q4" i="11"/>
  <c r="Q10" i="41"/>
  <c r="P5" i="16"/>
  <c r="O9" i="17"/>
  <c r="F5" i="43"/>
  <c r="Q9" i="15"/>
  <c r="O10" i="18"/>
  <c r="P4" i="33"/>
  <c r="Q3" i="30"/>
  <c r="O8" i="41"/>
  <c r="P8" i="32"/>
  <c r="O9" i="38"/>
  <c r="P11" i="20"/>
  <c r="Q7" i="28"/>
  <c r="Q10" i="32"/>
  <c r="P4" i="29"/>
  <c r="O11" i="20"/>
  <c r="P11" i="14"/>
  <c r="O10" i="16"/>
  <c r="Q2" i="11"/>
  <c r="Q10" i="14"/>
  <c r="P4" i="23"/>
  <c r="Q3" i="22"/>
  <c r="O11" i="21"/>
  <c r="O5" i="39"/>
  <c r="F5" i="42"/>
  <c r="O9" i="16"/>
  <c r="P9" i="22"/>
  <c r="Q2" i="14"/>
  <c r="B16" i="14" s="1"/>
  <c r="L16" i="14" s="1"/>
  <c r="Q16" i="14" s="1"/>
  <c r="Q10" i="24"/>
  <c r="F5" i="30"/>
  <c r="O4" i="16"/>
  <c r="O11" i="35"/>
  <c r="O2" i="32"/>
  <c r="O10" i="43"/>
  <c r="Q2" i="36"/>
  <c r="P10" i="14"/>
  <c r="Q7" i="34"/>
  <c r="O11" i="27"/>
  <c r="P3" i="37"/>
  <c r="P5" i="38"/>
  <c r="Q2" i="20"/>
  <c r="B16" i="20" s="1"/>
  <c r="B17" i="20" s="1"/>
  <c r="B12" i="20" s="1"/>
  <c r="Q4" i="26"/>
  <c r="P4" i="30"/>
  <c r="P10" i="34"/>
  <c r="P5" i="15"/>
  <c r="Q4" i="41"/>
  <c r="D2" i="41" s="1"/>
  <c r="D17" i="41" s="1"/>
  <c r="D12" i="41" s="1"/>
  <c r="P11" i="23"/>
  <c r="O2" i="43"/>
  <c r="P3" i="17"/>
  <c r="Q4" i="23"/>
  <c r="O2" i="24"/>
  <c r="O10" i="21"/>
  <c r="O8" i="17"/>
  <c r="Q2" i="43"/>
  <c r="P10" i="42"/>
  <c r="O10" i="26"/>
  <c r="O11" i="18"/>
  <c r="O8" i="24"/>
  <c r="P5" i="17"/>
  <c r="Q3" i="33"/>
  <c r="O2" i="40"/>
  <c r="O9" i="33"/>
  <c r="Q10" i="30"/>
  <c r="O9" i="15"/>
  <c r="P5" i="39"/>
  <c r="P9" i="19"/>
  <c r="O10" i="33"/>
  <c r="O2" i="26"/>
  <c r="Q9" i="32"/>
  <c r="P3" i="41"/>
  <c r="O2" i="21"/>
  <c r="O5" i="34"/>
  <c r="O3" i="34"/>
  <c r="O10" i="38"/>
  <c r="P9" i="26"/>
  <c r="P8" i="16"/>
  <c r="O4" i="18"/>
  <c r="O2" i="17"/>
  <c r="O8" i="35"/>
  <c r="P4" i="39"/>
  <c r="P4" i="17"/>
  <c r="F5" i="20"/>
  <c r="Q9" i="30"/>
  <c r="O4" i="41"/>
  <c r="P5" i="22"/>
  <c r="P5" i="36"/>
  <c r="O9" i="19"/>
  <c r="O11" i="43"/>
  <c r="O5" i="19"/>
  <c r="O10" i="20"/>
  <c r="Q7" i="40"/>
  <c r="O8" i="15"/>
  <c r="O11" i="29"/>
  <c r="P3" i="43"/>
  <c r="Q7" i="31"/>
  <c r="P11" i="35"/>
  <c r="Q9" i="28"/>
  <c r="O8" i="30"/>
  <c r="O10" i="29"/>
  <c r="O5" i="41"/>
  <c r="P5" i="41"/>
  <c r="P5" i="34"/>
  <c r="O11" i="41"/>
  <c r="O3" i="22"/>
  <c r="P9" i="30"/>
  <c r="F5" i="24"/>
  <c r="P4" i="40"/>
  <c r="Q2" i="32"/>
  <c r="P4" i="26"/>
  <c r="Q7" i="37"/>
  <c r="P11" i="16"/>
  <c r="P8" i="35"/>
  <c r="O9" i="21"/>
  <c r="P3" i="40"/>
  <c r="O8" i="20"/>
  <c r="Q7" i="17"/>
  <c r="P9" i="39"/>
  <c r="O3" i="37"/>
  <c r="O8" i="29"/>
  <c r="O5" i="31"/>
  <c r="O2" i="36"/>
  <c r="Q3" i="36"/>
  <c r="O2" i="33"/>
  <c r="P11" i="21"/>
  <c r="P3" i="28"/>
  <c r="P10" i="11"/>
  <c r="O10" i="35"/>
  <c r="O2" i="29"/>
  <c r="Q3" i="20"/>
  <c r="F3" i="19"/>
  <c r="F17" i="19" s="1"/>
  <c r="F12" i="19" s="1"/>
  <c r="F18" i="19" s="1"/>
  <c r="P5" i="37"/>
  <c r="P5" i="27"/>
  <c r="Q2" i="21"/>
  <c r="P10" i="40"/>
  <c r="Q4" i="34"/>
  <c r="D2" i="34" s="1"/>
  <c r="D17" i="34" s="1"/>
  <c r="D12" i="34" s="1"/>
  <c r="D18" i="34" s="1"/>
  <c r="Q2" i="15"/>
  <c r="B16" i="15" s="1"/>
  <c r="B17" i="15" s="1"/>
  <c r="B12" i="15" s="1"/>
  <c r="B18" i="15" s="1"/>
  <c r="P11" i="27"/>
  <c r="O5" i="26"/>
  <c r="Q3" i="19"/>
  <c r="F5" i="15"/>
  <c r="F3" i="15" s="1"/>
  <c r="F17" i="15" s="1"/>
  <c r="F12" i="15" s="1"/>
  <c r="F18" i="15" s="1"/>
  <c r="P10" i="16"/>
  <c r="P9" i="35"/>
  <c r="P4" i="43"/>
  <c r="O9" i="18"/>
  <c r="O11" i="42"/>
  <c r="Q3" i="32"/>
  <c r="Q4" i="31"/>
  <c r="O4" i="21"/>
  <c r="O9" i="40"/>
  <c r="Q10" i="20"/>
  <c r="Q3" i="23"/>
  <c r="P9" i="40"/>
  <c r="O8" i="37"/>
  <c r="P9" i="17"/>
  <c r="O3" i="29"/>
  <c r="O11" i="11"/>
  <c r="P4" i="21"/>
  <c r="O2" i="35"/>
  <c r="O10" i="41"/>
  <c r="O10" i="39"/>
  <c r="Q9" i="17"/>
  <c r="Q10" i="22"/>
  <c r="P8" i="39"/>
  <c r="O2" i="23"/>
  <c r="O4" i="31"/>
  <c r="Q3" i="27"/>
  <c r="P3" i="24"/>
  <c r="Q4" i="43"/>
  <c r="Q2" i="38"/>
  <c r="O2" i="16"/>
  <c r="O11" i="15"/>
  <c r="O9" i="36"/>
  <c r="P3" i="35"/>
  <c r="O2" i="27"/>
  <c r="P11" i="40"/>
  <c r="G4" i="18" l="1"/>
  <c r="G3" i="18"/>
  <c r="C2" i="34"/>
  <c r="C17" i="34" s="1"/>
  <c r="C12" i="34" s="1"/>
  <c r="C18" i="34" s="1"/>
  <c r="G3" i="34"/>
  <c r="K9" i="34"/>
  <c r="L9" i="34" s="1"/>
  <c r="N9" i="34" s="1"/>
  <c r="R9" i="34" s="1"/>
  <c r="K10" i="34"/>
  <c r="L10" i="34" s="1"/>
  <c r="N10" i="34" s="1"/>
  <c r="R10" i="34" s="1"/>
  <c r="H7" i="34"/>
  <c r="H17" i="34" s="1"/>
  <c r="G4" i="35"/>
  <c r="H7" i="35"/>
  <c r="L7" i="35" s="1"/>
  <c r="N7" i="35" s="1"/>
  <c r="R7" i="35" s="1"/>
  <c r="D2" i="35"/>
  <c r="D17" i="35" s="1"/>
  <c r="D12" i="35" s="1"/>
  <c r="D18" i="35" s="1"/>
  <c r="C2" i="29"/>
  <c r="C17" i="29" s="1"/>
  <c r="C12" i="29" s="1"/>
  <c r="C18" i="29" s="1"/>
  <c r="G3" i="29"/>
  <c r="K9" i="29"/>
  <c r="L9" i="29" s="1"/>
  <c r="N9" i="29" s="1"/>
  <c r="R9" i="29" s="1"/>
  <c r="H7" i="29"/>
  <c r="H17" i="29" s="1"/>
  <c r="K10" i="29"/>
  <c r="L10" i="29" s="1"/>
  <c r="N10" i="29" s="1"/>
  <c r="R10" i="29" s="1"/>
  <c r="G4" i="29"/>
  <c r="L4" i="29" s="1"/>
  <c r="N4" i="29" s="1"/>
  <c r="R4" i="29" s="1"/>
  <c r="D2" i="29"/>
  <c r="D17" i="29" s="1"/>
  <c r="D12" i="29" s="1"/>
  <c r="D18" i="29" s="1"/>
  <c r="J8" i="19"/>
  <c r="J17" i="19" s="1"/>
  <c r="J13" i="19" s="1"/>
  <c r="C2" i="35"/>
  <c r="C17" i="35" s="1"/>
  <c r="C12" i="35" s="1"/>
  <c r="C18" i="35" s="1"/>
  <c r="C2" i="14"/>
  <c r="C17" i="14" s="1"/>
  <c r="C12" i="14" s="1"/>
  <c r="C18" i="14" s="1"/>
  <c r="G3" i="14"/>
  <c r="C2" i="15"/>
  <c r="C17" i="15" s="1"/>
  <c r="C12" i="15" s="1"/>
  <c r="C18" i="15" s="1"/>
  <c r="G3" i="15"/>
  <c r="C2" i="41"/>
  <c r="C17" i="41" s="1"/>
  <c r="C12" i="41" s="1"/>
  <c r="C18" i="41" s="1"/>
  <c r="C2" i="19"/>
  <c r="C17" i="19" s="1"/>
  <c r="C12" i="19" s="1"/>
  <c r="C18" i="19" s="1"/>
  <c r="G3" i="19"/>
  <c r="C2" i="20"/>
  <c r="C17" i="20" s="1"/>
  <c r="C12" i="20" s="1"/>
  <c r="C18" i="20" s="1"/>
  <c r="G3" i="39"/>
  <c r="H6" i="20"/>
  <c r="L6" i="20" s="1"/>
  <c r="N6" i="20" s="1"/>
  <c r="R6" i="20" s="1"/>
  <c r="F3" i="20"/>
  <c r="F17" i="20" s="1"/>
  <c r="F12" i="20" s="1"/>
  <c r="F18" i="20" s="1"/>
  <c r="H6" i="14"/>
  <c r="L6" i="14" s="1"/>
  <c r="N6" i="14" s="1"/>
  <c r="R6" i="14" s="1"/>
  <c r="Q8" i="26"/>
  <c r="Q8" i="41"/>
  <c r="B17" i="19"/>
  <c r="B12" i="19" s="1"/>
  <c r="B18" i="19" s="1"/>
  <c r="N7" i="41"/>
  <c r="R7" i="41" s="1"/>
  <c r="G4" i="20"/>
  <c r="L4" i="20" s="1"/>
  <c r="N4" i="20" s="1"/>
  <c r="R4" i="20" s="1"/>
  <c r="Q16" i="19"/>
  <c r="L16" i="29"/>
  <c r="R16" i="29" s="1"/>
  <c r="K10" i="35"/>
  <c r="L10" i="35" s="1"/>
  <c r="N10" i="35" s="1"/>
  <c r="R10" i="35" s="1"/>
  <c r="G4" i="19"/>
  <c r="L4" i="19" s="1"/>
  <c r="N4" i="19" s="1"/>
  <c r="R4" i="19" s="1"/>
  <c r="Q8" i="33"/>
  <c r="K9" i="41"/>
  <c r="L9" i="41" s="1"/>
  <c r="N9" i="41" s="1"/>
  <c r="R9" i="41" s="1"/>
  <c r="K9" i="20"/>
  <c r="L9" i="20" s="1"/>
  <c r="N9" i="20" s="1"/>
  <c r="R9" i="20" s="1"/>
  <c r="R7" i="20"/>
  <c r="Q8" i="36"/>
  <c r="Q8" i="38"/>
  <c r="K9" i="14"/>
  <c r="L9" i="14" s="1"/>
  <c r="N9" i="14" s="1"/>
  <c r="R9" i="14" s="1"/>
  <c r="Q8" i="16"/>
  <c r="Q8" i="31"/>
  <c r="Q8" i="32"/>
  <c r="Q8" i="20"/>
  <c r="Q8" i="43"/>
  <c r="Q8" i="22"/>
  <c r="K10" i="20"/>
  <c r="L10" i="20" s="1"/>
  <c r="N10" i="20" s="1"/>
  <c r="K10" i="15"/>
  <c r="L10" i="15" s="1"/>
  <c r="N10" i="15" s="1"/>
  <c r="R10" i="15" s="1"/>
  <c r="K10" i="19"/>
  <c r="L10" i="19" s="1"/>
  <c r="N10" i="19" s="1"/>
  <c r="R10" i="19" s="1"/>
  <c r="Q8" i="39"/>
  <c r="L16" i="15"/>
  <c r="Q16" i="15" s="1"/>
  <c r="Q8" i="17"/>
  <c r="Q8" i="18"/>
  <c r="I18" i="18" s="1"/>
  <c r="J18" i="18" s="1"/>
  <c r="Q8" i="21"/>
  <c r="Q8" i="19"/>
  <c r="K10" i="14"/>
  <c r="L10" i="14" s="1"/>
  <c r="N10" i="14" s="1"/>
  <c r="R10" i="14" s="1"/>
  <c r="G4" i="14"/>
  <c r="L4" i="14" s="1"/>
  <c r="N4" i="14" s="1"/>
  <c r="R4" i="14" s="1"/>
  <c r="K9" i="15"/>
  <c r="L9" i="15" s="1"/>
  <c r="N9" i="15" s="1"/>
  <c r="R9" i="15" s="1"/>
  <c r="G4" i="15"/>
  <c r="Q8" i="42"/>
  <c r="Q8" i="28"/>
  <c r="Q8" i="11"/>
  <c r="Q8" i="34"/>
  <c r="I18" i="34" s="1"/>
  <c r="L16" i="41"/>
  <c r="R16" i="41" s="1"/>
  <c r="K10" i="41"/>
  <c r="L10" i="41" s="1"/>
  <c r="N10" i="41" s="1"/>
  <c r="R10" i="41" s="1"/>
  <c r="Q8" i="40"/>
  <c r="K9" i="19"/>
  <c r="L9" i="19" s="1"/>
  <c r="N9" i="19" s="1"/>
  <c r="R9" i="19" s="1"/>
  <c r="K9" i="35"/>
  <c r="L9" i="35" s="1"/>
  <c r="N9" i="35" s="1"/>
  <c r="R9" i="35" s="1"/>
  <c r="F5" i="26"/>
  <c r="Q8" i="23"/>
  <c r="L16" i="20"/>
  <c r="Q16" i="20" s="1"/>
  <c r="Q8" i="37"/>
  <c r="R16" i="14"/>
  <c r="Q8" i="27"/>
  <c r="Q8" i="14"/>
  <c r="B17" i="14"/>
  <c r="B12" i="14" s="1"/>
  <c r="B18" i="14" s="1"/>
  <c r="Q8" i="15"/>
  <c r="G4" i="41"/>
  <c r="L4" i="41" s="1"/>
  <c r="N4" i="41" s="1"/>
  <c r="R4" i="41" s="1"/>
  <c r="H6" i="19"/>
  <c r="H17" i="19" s="1"/>
  <c r="Q8" i="29"/>
  <c r="I18" i="29" s="1"/>
  <c r="Q8" i="30"/>
  <c r="L16" i="35"/>
  <c r="B17" i="35"/>
  <c r="B12" i="35" s="1"/>
  <c r="B18" i="35" s="1"/>
  <c r="H6" i="35"/>
  <c r="L6" i="35" s="1"/>
  <c r="N6" i="35" s="1"/>
  <c r="R6" i="35" s="1"/>
  <c r="F5" i="35"/>
  <c r="F3" i="35" s="1"/>
  <c r="F17" i="35" s="1"/>
  <c r="F12" i="35" s="1"/>
  <c r="F18" i="35" s="1"/>
  <c r="Q8" i="35"/>
  <c r="Q8" i="24"/>
  <c r="H6" i="41"/>
  <c r="L6" i="41" s="1"/>
  <c r="N6" i="41" s="1"/>
  <c r="R6" i="41" s="1"/>
  <c r="F5" i="41"/>
  <c r="F3" i="41" s="1"/>
  <c r="G3" i="41" s="1"/>
  <c r="H6" i="15"/>
  <c r="L6" i="15" s="1"/>
  <c r="N6" i="15" s="1"/>
  <c r="R6" i="15" s="1"/>
  <c r="D18" i="41"/>
  <c r="D18" i="15"/>
  <c r="D18" i="14"/>
  <c r="B18" i="20"/>
  <c r="G5" i="18" l="1"/>
  <c r="J8" i="41"/>
  <c r="J17" i="41" s="1"/>
  <c r="J13" i="41" s="1"/>
  <c r="I8" i="41"/>
  <c r="J18" i="34"/>
  <c r="J8" i="34" s="1"/>
  <c r="J17" i="34" s="1"/>
  <c r="J13" i="34" s="1"/>
  <c r="I8" i="34"/>
  <c r="I17" i="34" s="1"/>
  <c r="I13" i="34" s="1"/>
  <c r="H12" i="34"/>
  <c r="H18" i="34" s="1"/>
  <c r="L7" i="34"/>
  <c r="N7" i="34" s="1"/>
  <c r="R7" i="34" s="1"/>
  <c r="K17" i="34"/>
  <c r="L16" i="34"/>
  <c r="G3" i="35"/>
  <c r="G5" i="35" s="1"/>
  <c r="L3" i="34"/>
  <c r="N3" i="34" s="1"/>
  <c r="R3" i="34" s="1"/>
  <c r="G5" i="29"/>
  <c r="G17" i="29" s="1"/>
  <c r="G12" i="29" s="1"/>
  <c r="G18" i="29" s="1"/>
  <c r="L7" i="29"/>
  <c r="N7" i="29" s="1"/>
  <c r="R7" i="29" s="1"/>
  <c r="J18" i="29"/>
  <c r="J8" i="29" s="1"/>
  <c r="J17" i="29" s="1"/>
  <c r="J13" i="29" s="1"/>
  <c r="I8" i="29"/>
  <c r="H12" i="29"/>
  <c r="H18" i="29" s="1"/>
  <c r="K17" i="29"/>
  <c r="I8" i="19"/>
  <c r="L2" i="19"/>
  <c r="P2" i="19" s="1"/>
  <c r="N2" i="19" s="1"/>
  <c r="R2" i="19" s="1"/>
  <c r="L2" i="29"/>
  <c r="P2" i="29" s="1"/>
  <c r="N2" i="29" s="1"/>
  <c r="R2" i="29" s="1"/>
  <c r="L2" i="14"/>
  <c r="P2" i="14" s="1"/>
  <c r="N2" i="14" s="1"/>
  <c r="R2" i="14" s="1"/>
  <c r="L2" i="34"/>
  <c r="P2" i="34" s="1"/>
  <c r="N2" i="34" s="1"/>
  <c r="R2" i="34" s="1"/>
  <c r="L2" i="41"/>
  <c r="P2" i="41" s="1"/>
  <c r="N2" i="41" s="1"/>
  <c r="R2" i="41" s="1"/>
  <c r="L2" i="20"/>
  <c r="P2" i="20" s="1"/>
  <c r="N2" i="20" s="1"/>
  <c r="R2" i="20" s="1"/>
  <c r="L2" i="15"/>
  <c r="P2" i="15" s="1"/>
  <c r="N2" i="15" s="1"/>
  <c r="R2" i="15" s="1"/>
  <c r="L2" i="35"/>
  <c r="P2" i="35" s="1"/>
  <c r="N2" i="35" s="1"/>
  <c r="R2" i="35" s="1"/>
  <c r="G3" i="20"/>
  <c r="L3" i="20" s="1"/>
  <c r="N3" i="20" s="1"/>
  <c r="R3" i="20" s="1"/>
  <c r="H17" i="20"/>
  <c r="H12" i="20" s="1"/>
  <c r="H18" i="20" s="1"/>
  <c r="H17" i="14"/>
  <c r="H12" i="14" s="1"/>
  <c r="H18" i="14" s="1"/>
  <c r="I8" i="35"/>
  <c r="I17" i="35" s="1"/>
  <c r="I13" i="35" s="1"/>
  <c r="J8" i="15"/>
  <c r="J17" i="15" s="1"/>
  <c r="J13" i="15" s="1"/>
  <c r="I18" i="14"/>
  <c r="J18" i="14" s="1"/>
  <c r="J8" i="14" s="1"/>
  <c r="J17" i="14" s="1"/>
  <c r="J13" i="14" s="1"/>
  <c r="J8" i="20"/>
  <c r="J17" i="20" s="1"/>
  <c r="J13" i="20" s="1"/>
  <c r="L3" i="14"/>
  <c r="N3" i="14" s="1"/>
  <c r="R3" i="14" s="1"/>
  <c r="G5" i="19"/>
  <c r="L5" i="19" s="1"/>
  <c r="Q16" i="29"/>
  <c r="Q11" i="20"/>
  <c r="M11" i="20" s="1"/>
  <c r="G5" i="39"/>
  <c r="R10" i="20"/>
  <c r="Q11" i="34"/>
  <c r="M11" i="34" s="1"/>
  <c r="Q11" i="19"/>
  <c r="M11" i="19" s="1"/>
  <c r="K17" i="41"/>
  <c r="K17" i="19"/>
  <c r="Q11" i="35"/>
  <c r="M11" i="35" s="1"/>
  <c r="R16" i="15"/>
  <c r="G5" i="15"/>
  <c r="Q11" i="29"/>
  <c r="M11" i="29" s="1"/>
  <c r="Q16" i="41"/>
  <c r="K17" i="20"/>
  <c r="Q11" i="14"/>
  <c r="M11" i="14" s="1"/>
  <c r="K17" i="35"/>
  <c r="H12" i="19"/>
  <c r="H18" i="19" s="1"/>
  <c r="K17" i="15"/>
  <c r="L3" i="15"/>
  <c r="N3" i="15" s="1"/>
  <c r="R3" i="15" s="1"/>
  <c r="K17" i="14"/>
  <c r="Q11" i="15"/>
  <c r="M11" i="15" s="1"/>
  <c r="Q11" i="41"/>
  <c r="M11" i="41" s="1"/>
  <c r="H17" i="41"/>
  <c r="H12" i="41" s="1"/>
  <c r="H18" i="41" s="1"/>
  <c r="R16" i="20"/>
  <c r="H17" i="35"/>
  <c r="H12" i="35" s="1"/>
  <c r="H18" i="35" s="1"/>
  <c r="R16" i="35"/>
  <c r="Q16" i="35"/>
  <c r="H17" i="15"/>
  <c r="H12" i="15" s="1"/>
  <c r="H18" i="15" s="1"/>
  <c r="F17" i="41"/>
  <c r="F12" i="41" s="1"/>
  <c r="F18" i="41" s="1"/>
  <c r="L6" i="19"/>
  <c r="N6" i="19" s="1"/>
  <c r="R6" i="19" s="1"/>
  <c r="I17" i="41" l="1"/>
  <c r="I13" i="41" s="1"/>
  <c r="L8" i="41"/>
  <c r="N8" i="41" s="1"/>
  <c r="R8" i="41" s="1"/>
  <c r="L3" i="35"/>
  <c r="N3" i="35" s="1"/>
  <c r="R3" i="35" s="1"/>
  <c r="K13" i="34"/>
  <c r="K18" i="34" s="1"/>
  <c r="R16" i="34"/>
  <c r="Q16" i="34"/>
  <c r="K13" i="29"/>
  <c r="K18" i="29" s="1"/>
  <c r="I17" i="29"/>
  <c r="I13" i="29" s="1"/>
  <c r="L8" i="29"/>
  <c r="N8" i="29" s="1"/>
  <c r="R8" i="29" s="1"/>
  <c r="I17" i="19"/>
  <c r="I13" i="19" s="1"/>
  <c r="L8" i="19"/>
  <c r="N8" i="19" s="1"/>
  <c r="R8" i="19" s="1"/>
  <c r="R5" i="19"/>
  <c r="I8" i="20"/>
  <c r="L8" i="20" s="1"/>
  <c r="N8" i="20" s="1"/>
  <c r="R8" i="20" s="1"/>
  <c r="G5" i="14"/>
  <c r="L5" i="14" s="1"/>
  <c r="J8" i="35"/>
  <c r="J17" i="35" s="1"/>
  <c r="J13" i="35" s="1"/>
  <c r="I8" i="15"/>
  <c r="I17" i="15" s="1"/>
  <c r="I13" i="15" s="1"/>
  <c r="I8" i="14"/>
  <c r="I17" i="14" s="1"/>
  <c r="I13" i="14" s="1"/>
  <c r="R11" i="34"/>
  <c r="R11" i="15"/>
  <c r="R11" i="14"/>
  <c r="R11" i="35"/>
  <c r="R11" i="20"/>
  <c r="R11" i="41"/>
  <c r="R11" i="29"/>
  <c r="R11" i="19"/>
  <c r="L3" i="19"/>
  <c r="K13" i="20"/>
  <c r="K18" i="20" s="1"/>
  <c r="G17" i="19"/>
  <c r="G12" i="19" s="1"/>
  <c r="G18" i="19" s="1"/>
  <c r="Q5" i="19"/>
  <c r="E17" i="19" s="1"/>
  <c r="E12" i="19" s="1"/>
  <c r="E18" i="19" s="1"/>
  <c r="K13" i="19"/>
  <c r="K18" i="19" s="1"/>
  <c r="K13" i="35"/>
  <c r="K18" i="35" s="1"/>
  <c r="K13" i="14"/>
  <c r="K18" i="14" s="1"/>
  <c r="G5" i="20"/>
  <c r="L5" i="20" s="1"/>
  <c r="K13" i="15"/>
  <c r="K18" i="15" s="1"/>
  <c r="K13" i="41"/>
  <c r="K18" i="41" s="1"/>
  <c r="L3" i="41"/>
  <c r="N3" i="41" s="1"/>
  <c r="R3" i="41" s="1"/>
  <c r="G5" i="41"/>
  <c r="L5" i="41" s="1"/>
  <c r="L5" i="15"/>
  <c r="E14" i="34" l="1"/>
  <c r="G5" i="34" s="1"/>
  <c r="G4" i="34" s="1"/>
  <c r="G17" i="34" s="1"/>
  <c r="G12" i="34" s="1"/>
  <c r="G18" i="34" s="1"/>
  <c r="E14" i="29"/>
  <c r="R5" i="20"/>
  <c r="Q5" i="14"/>
  <c r="E17" i="14" s="1"/>
  <c r="E12" i="14" s="1"/>
  <c r="E18" i="14" s="1"/>
  <c r="N3" i="19"/>
  <c r="R3" i="19" s="1"/>
  <c r="L8" i="34"/>
  <c r="N8" i="34" s="1"/>
  <c r="R8" i="34" s="1"/>
  <c r="R5" i="14"/>
  <c r="I17" i="20"/>
  <c r="I13" i="20" s="1"/>
  <c r="E14" i="20" s="1"/>
  <c r="L8" i="14"/>
  <c r="N8" i="14" s="1"/>
  <c r="R8" i="14" s="1"/>
  <c r="G17" i="14"/>
  <c r="G12" i="14" s="1"/>
  <c r="G18" i="14" s="1"/>
  <c r="L8" i="15"/>
  <c r="N8" i="15" s="1"/>
  <c r="R8" i="15" s="1"/>
  <c r="L8" i="35"/>
  <c r="N8" i="35" s="1"/>
  <c r="R8" i="35" s="1"/>
  <c r="L12" i="19"/>
  <c r="R12" i="19" s="1"/>
  <c r="L17" i="19"/>
  <c r="R17" i="19" s="1"/>
  <c r="E14" i="19"/>
  <c r="L13" i="19"/>
  <c r="L13" i="34"/>
  <c r="G17" i="41"/>
  <c r="G12" i="41" s="1"/>
  <c r="G18" i="41" s="1"/>
  <c r="L13" i="14"/>
  <c r="E14" i="14"/>
  <c r="L13" i="35"/>
  <c r="E14" i="35"/>
  <c r="G17" i="20"/>
  <c r="G12" i="20" s="1"/>
  <c r="G18" i="20" s="1"/>
  <c r="Q5" i="20"/>
  <c r="E17" i="20" s="1"/>
  <c r="E12" i="20" s="1"/>
  <c r="E18" i="20" s="1"/>
  <c r="E14" i="15"/>
  <c r="L13" i="15"/>
  <c r="L13" i="41"/>
  <c r="L13" i="29"/>
  <c r="E14" i="41"/>
  <c r="R5" i="41"/>
  <c r="Q5" i="41"/>
  <c r="E17" i="41" s="1"/>
  <c r="G17" i="15"/>
  <c r="G12" i="15" s="1"/>
  <c r="G18" i="15" s="1"/>
  <c r="L4" i="15"/>
  <c r="Q5" i="15"/>
  <c r="E17" i="15" s="1"/>
  <c r="R5" i="15"/>
  <c r="L13" i="20" l="1"/>
  <c r="L4" i="34"/>
  <c r="N4" i="34" s="1"/>
  <c r="R4" i="34" s="1"/>
  <c r="L4" i="35"/>
  <c r="N4" i="35" s="1"/>
  <c r="R4" i="35" s="1"/>
  <c r="L14" i="20"/>
  <c r="R14" i="20" s="1"/>
  <c r="L14" i="41"/>
  <c r="Q14" i="41" s="1"/>
  <c r="L14" i="14"/>
  <c r="Q14" i="14" s="1"/>
  <c r="L14" i="15"/>
  <c r="R14" i="15" s="1"/>
  <c r="L12" i="14"/>
  <c r="R12" i="14" s="1"/>
  <c r="L17" i="14"/>
  <c r="R17" i="14" s="1"/>
  <c r="L14" i="19"/>
  <c r="Q14" i="19" s="1"/>
  <c r="E15" i="19"/>
  <c r="Q17" i="19"/>
  <c r="Q12" i="19"/>
  <c r="L14" i="34"/>
  <c r="R14" i="34" s="1"/>
  <c r="E15" i="14"/>
  <c r="L14" i="35"/>
  <c r="Q14" i="35" s="1"/>
  <c r="E15" i="20"/>
  <c r="L17" i="20"/>
  <c r="R17" i="20" s="1"/>
  <c r="L12" i="20"/>
  <c r="Q12" i="20" s="1"/>
  <c r="E15" i="41"/>
  <c r="L14" i="29"/>
  <c r="Q14" i="29" s="1"/>
  <c r="E12" i="41"/>
  <c r="L17" i="41"/>
  <c r="N4" i="15"/>
  <c r="R4" i="15" s="1"/>
  <c r="E12" i="15"/>
  <c r="E15" i="15"/>
  <c r="L17" i="15"/>
  <c r="Q14" i="20" l="1"/>
  <c r="R14" i="14"/>
  <c r="L5" i="35"/>
  <c r="L5" i="34"/>
  <c r="M13" i="14"/>
  <c r="L15" i="41"/>
  <c r="Q15" i="41" s="1"/>
  <c r="R14" i="41"/>
  <c r="Q14" i="15"/>
  <c r="Q17" i="14"/>
  <c r="L15" i="20"/>
  <c r="Q15" i="20" s="1"/>
  <c r="Q12" i="14"/>
  <c r="G17" i="35"/>
  <c r="G12" i="35" s="1"/>
  <c r="G18" i="35" s="1"/>
  <c r="R14" i="19"/>
  <c r="L15" i="19"/>
  <c r="R15" i="19" s="1"/>
  <c r="M13" i="19"/>
  <c r="Q14" i="34"/>
  <c r="L15" i="14"/>
  <c r="Q15" i="14" s="1"/>
  <c r="M13" i="20"/>
  <c r="R14" i="35"/>
  <c r="R14" i="29"/>
  <c r="R12" i="20"/>
  <c r="M13" i="41"/>
  <c r="Q17" i="20"/>
  <c r="R17" i="41"/>
  <c r="Q17" i="41"/>
  <c r="E18" i="41"/>
  <c r="L12" i="41"/>
  <c r="M13" i="15"/>
  <c r="L15" i="15"/>
  <c r="E18" i="15"/>
  <c r="L12" i="15"/>
  <c r="R17" i="15"/>
  <c r="Q17" i="15"/>
  <c r="D2" i="43"/>
  <c r="G4" i="43"/>
  <c r="L4" i="43" s="1"/>
  <c r="C2" i="43"/>
  <c r="C17" i="43" s="1"/>
  <c r="K10" i="43"/>
  <c r="L10" i="43" s="1"/>
  <c r="C2" i="42"/>
  <c r="C17" i="42" s="1"/>
  <c r="K10" i="42"/>
  <c r="L10" i="42" s="1"/>
  <c r="N10" i="42" s="1"/>
  <c r="D2" i="42"/>
  <c r="G4" i="42"/>
  <c r="L4" i="42" s="1"/>
  <c r="G4" i="40"/>
  <c r="L4" i="40" s="1"/>
  <c r="D2" i="40"/>
  <c r="K10" i="40"/>
  <c r="L10" i="40" s="1"/>
  <c r="N10" i="40" s="1"/>
  <c r="C2" i="40"/>
  <c r="C17" i="40" s="1"/>
  <c r="L4" i="39"/>
  <c r="D2" i="39"/>
  <c r="K10" i="39"/>
  <c r="L10" i="39" s="1"/>
  <c r="N10" i="39" s="1"/>
  <c r="C2" i="39"/>
  <c r="C17" i="39" s="1"/>
  <c r="K10" i="38"/>
  <c r="L10" i="38" s="1"/>
  <c r="N10" i="38" s="1"/>
  <c r="D2" i="38"/>
  <c r="G4" i="38"/>
  <c r="L4" i="38" s="1"/>
  <c r="C2" i="38"/>
  <c r="C17" i="38" s="1"/>
  <c r="C2" i="37"/>
  <c r="C17" i="37" s="1"/>
  <c r="K10" i="36"/>
  <c r="L10" i="36" s="1"/>
  <c r="C2" i="36"/>
  <c r="C17" i="36" s="1"/>
  <c r="G4" i="36"/>
  <c r="L4" i="36" s="1"/>
  <c r="D2" i="36"/>
  <c r="R5" i="34" l="1"/>
  <c r="Q5" i="35"/>
  <c r="E17" i="35" s="1"/>
  <c r="E12" i="35" s="1"/>
  <c r="E18" i="35" s="1"/>
  <c r="Q13" i="14"/>
  <c r="Q13" i="20"/>
  <c r="Q13" i="41"/>
  <c r="R13" i="19"/>
  <c r="R5" i="35"/>
  <c r="Q15" i="19"/>
  <c r="Q5" i="34"/>
  <c r="E17" i="34" s="1"/>
  <c r="R13" i="14"/>
  <c r="R15" i="20"/>
  <c r="R15" i="41"/>
  <c r="Q13" i="19"/>
  <c r="R15" i="14"/>
  <c r="R13" i="20"/>
  <c r="R13" i="41"/>
  <c r="Q12" i="41"/>
  <c r="R12" i="41"/>
  <c r="N4" i="39"/>
  <c r="R4" i="39" s="1"/>
  <c r="R12" i="15"/>
  <c r="Q12" i="15"/>
  <c r="Q15" i="15"/>
  <c r="R15" i="15"/>
  <c r="Q13" i="15"/>
  <c r="R13" i="15"/>
  <c r="D17" i="39"/>
  <c r="D12" i="39" s="1"/>
  <c r="D17" i="38"/>
  <c r="D12" i="38" s="1"/>
  <c r="D17" i="40"/>
  <c r="D17" i="36"/>
  <c r="D12" i="36" s="1"/>
  <c r="D17" i="42"/>
  <c r="D17" i="43"/>
  <c r="N4" i="40"/>
  <c r="R4" i="40" s="1"/>
  <c r="N4" i="38"/>
  <c r="R4" i="38" s="1"/>
  <c r="N4" i="42"/>
  <c r="R4" i="42" s="1"/>
  <c r="N4" i="43"/>
  <c r="R4" i="43" s="1"/>
  <c r="C12" i="43"/>
  <c r="C18" i="43" s="1"/>
  <c r="L2" i="43"/>
  <c r="P2" i="43" s="1"/>
  <c r="N10" i="43"/>
  <c r="R10" i="43" s="1"/>
  <c r="R10" i="42"/>
  <c r="C12" i="42"/>
  <c r="C18" i="42" s="1"/>
  <c r="L2" i="42"/>
  <c r="P2" i="42" s="1"/>
  <c r="R10" i="40"/>
  <c r="C12" i="40"/>
  <c r="C18" i="40" s="1"/>
  <c r="L2" i="40"/>
  <c r="P2" i="40" s="1"/>
  <c r="R10" i="39"/>
  <c r="L2" i="39"/>
  <c r="P2" i="39" s="1"/>
  <c r="C12" i="39"/>
  <c r="C18" i="39" s="1"/>
  <c r="R10" i="38"/>
  <c r="C12" i="38"/>
  <c r="C18" i="38" s="1"/>
  <c r="L2" i="38"/>
  <c r="P2" i="38" s="1"/>
  <c r="C12" i="37"/>
  <c r="C18" i="37" s="1"/>
  <c r="N4" i="36"/>
  <c r="R4" i="36" s="1"/>
  <c r="C12" i="36"/>
  <c r="C18" i="36" s="1"/>
  <c r="L2" i="36"/>
  <c r="P2" i="36" s="1"/>
  <c r="N10" i="36"/>
  <c r="R10" i="36" s="1"/>
  <c r="E15" i="34" l="1"/>
  <c r="L15" i="34" s="1"/>
  <c r="Q15" i="34" s="1"/>
  <c r="E12" i="34"/>
  <c r="E18" i="34" s="1"/>
  <c r="L17" i="35"/>
  <c r="R17" i="35" s="1"/>
  <c r="E15" i="35"/>
  <c r="L12" i="35"/>
  <c r="R12" i="35" s="1"/>
  <c r="L17" i="34"/>
  <c r="R17" i="34" s="1"/>
  <c r="D18" i="36"/>
  <c r="D18" i="38"/>
  <c r="D18" i="39"/>
  <c r="D12" i="43"/>
  <c r="D12" i="42"/>
  <c r="D12" i="40"/>
  <c r="M13" i="34" l="1"/>
  <c r="Q13" i="34" s="1"/>
  <c r="R15" i="34"/>
  <c r="M13" i="35"/>
  <c r="R13" i="35" s="1"/>
  <c r="Q17" i="35"/>
  <c r="L15" i="35"/>
  <c r="R15" i="35" s="1"/>
  <c r="Q12" i="35"/>
  <c r="Q17" i="34"/>
  <c r="L12" i="34"/>
  <c r="R12" i="34" s="1"/>
  <c r="D18" i="42"/>
  <c r="D18" i="43"/>
  <c r="D18" i="40"/>
  <c r="R13" i="34" l="1"/>
  <c r="Q13" i="35"/>
  <c r="Q15" i="35"/>
  <c r="Q12" i="34"/>
  <c r="D2" i="33"/>
  <c r="G4" i="33"/>
  <c r="L4" i="33" s="1"/>
  <c r="K10" i="33"/>
  <c r="L10" i="33" s="1"/>
  <c r="N10" i="33" s="1"/>
  <c r="C2" i="33"/>
  <c r="C17" i="33" s="1"/>
  <c r="D2" i="32"/>
  <c r="G4" i="32"/>
  <c r="L4" i="32" s="1"/>
  <c r="C2" i="32"/>
  <c r="C17" i="32" s="1"/>
  <c r="K10" i="32"/>
  <c r="L10" i="32" s="1"/>
  <c r="G4" i="31"/>
  <c r="L4" i="31" s="1"/>
  <c r="D2" i="31"/>
  <c r="K10" i="31"/>
  <c r="L10" i="31" s="1"/>
  <c r="N10" i="31" s="1"/>
  <c r="C2" i="31"/>
  <c r="C17" i="31" s="1"/>
  <c r="K10" i="30"/>
  <c r="L10" i="30" s="1"/>
  <c r="G4" i="30"/>
  <c r="L4" i="30" s="1"/>
  <c r="D2" i="30"/>
  <c r="C2" i="30"/>
  <c r="C17" i="30" s="1"/>
  <c r="K10" i="28"/>
  <c r="L10" i="28" s="1"/>
  <c r="D2" i="28"/>
  <c r="G4" i="28"/>
  <c r="L4" i="28" s="1"/>
  <c r="C2" i="28"/>
  <c r="C17" i="28" s="1"/>
  <c r="K10" i="27"/>
  <c r="L10" i="27" s="1"/>
  <c r="N10" i="27" s="1"/>
  <c r="D2" i="27"/>
  <c r="G4" i="27"/>
  <c r="L4" i="27" s="1"/>
  <c r="C2" i="27"/>
  <c r="C17" i="27" s="1"/>
  <c r="G4" i="26"/>
  <c r="L4" i="26" s="1"/>
  <c r="D2" i="26"/>
  <c r="K10" i="26"/>
  <c r="L10" i="26" s="1"/>
  <c r="N10" i="26" s="1"/>
  <c r="C2" i="26"/>
  <c r="C17" i="26" s="1"/>
  <c r="K10" i="24"/>
  <c r="L10" i="24" s="1"/>
  <c r="N10" i="24" s="1"/>
  <c r="C2" i="24"/>
  <c r="C17" i="24" s="1"/>
  <c r="G4" i="24"/>
  <c r="L4" i="24" s="1"/>
  <c r="D2" i="24"/>
  <c r="C2" i="23"/>
  <c r="C17" i="23" s="1"/>
  <c r="K10" i="23"/>
  <c r="L10" i="23" s="1"/>
  <c r="N10" i="23" s="1"/>
  <c r="G4" i="23"/>
  <c r="L4" i="23" s="1"/>
  <c r="D2" i="23"/>
  <c r="G4" i="22"/>
  <c r="L4" i="22" s="1"/>
  <c r="D2" i="22"/>
  <c r="C2" i="22"/>
  <c r="C17" i="22" s="1"/>
  <c r="G4" i="21"/>
  <c r="L4" i="21" s="1"/>
  <c r="D2" i="21"/>
  <c r="C2" i="21"/>
  <c r="C17" i="21" s="1"/>
  <c r="D2" i="18"/>
  <c r="C2" i="18"/>
  <c r="C17" i="18" s="1"/>
  <c r="C2" i="17"/>
  <c r="C17" i="17" s="1"/>
  <c r="G4" i="17"/>
  <c r="L4" i="17" s="1"/>
  <c r="D2" i="17"/>
  <c r="D17" i="22" l="1"/>
  <c r="D12" i="22" s="1"/>
  <c r="D17" i="28"/>
  <c r="D12" i="28" s="1"/>
  <c r="D17" i="30"/>
  <c r="D17" i="27"/>
  <c r="D17" i="31"/>
  <c r="D17" i="18"/>
  <c r="D12" i="18" s="1"/>
  <c r="D17" i="17"/>
  <c r="D12" i="17" s="1"/>
  <c r="D17" i="23"/>
  <c r="D12" i="23" s="1"/>
  <c r="D17" i="21"/>
  <c r="D12" i="21" s="1"/>
  <c r="D17" i="24"/>
  <c r="D17" i="26"/>
  <c r="D12" i="26" s="1"/>
  <c r="D17" i="33"/>
  <c r="D17" i="32"/>
  <c r="N4" i="31"/>
  <c r="R4" i="31" s="1"/>
  <c r="N4" i="33"/>
  <c r="R4" i="33" s="1"/>
  <c r="N4" i="17"/>
  <c r="R4" i="17" s="1"/>
  <c r="N4" i="22"/>
  <c r="R4" i="22" s="1"/>
  <c r="N4" i="21"/>
  <c r="R4" i="21" s="1"/>
  <c r="N4" i="32"/>
  <c r="R4" i="32" s="1"/>
  <c r="N4" i="24"/>
  <c r="R4" i="24" s="1"/>
  <c r="N4" i="30"/>
  <c r="R4" i="30" s="1"/>
  <c r="L2" i="33"/>
  <c r="P2" i="33" s="1"/>
  <c r="C12" i="33"/>
  <c r="C18" i="33" s="1"/>
  <c r="R10" i="33"/>
  <c r="N10" i="32"/>
  <c r="R10" i="32" s="1"/>
  <c r="L2" i="32"/>
  <c r="P2" i="32" s="1"/>
  <c r="C12" i="32"/>
  <c r="C18" i="32" s="1"/>
  <c r="C12" i="31"/>
  <c r="C18" i="31" s="1"/>
  <c r="L2" i="31"/>
  <c r="P2" i="31" s="1"/>
  <c r="R10" i="31"/>
  <c r="N10" i="30"/>
  <c r="R10" i="30" s="1"/>
  <c r="C12" i="30"/>
  <c r="C18" i="30" s="1"/>
  <c r="L2" i="30"/>
  <c r="P2" i="30" s="1"/>
  <c r="C12" i="28"/>
  <c r="C18" i="28" s="1"/>
  <c r="L2" i="28"/>
  <c r="P2" i="28" s="1"/>
  <c r="N10" i="28"/>
  <c r="R10" i="28" s="1"/>
  <c r="N4" i="28"/>
  <c r="R4" i="28" s="1"/>
  <c r="N4" i="27"/>
  <c r="R4" i="27" s="1"/>
  <c r="C12" i="27"/>
  <c r="C18" i="27" s="1"/>
  <c r="L2" i="27"/>
  <c r="P2" i="27" s="1"/>
  <c r="R10" i="27"/>
  <c r="L2" i="26"/>
  <c r="P2" i="26" s="1"/>
  <c r="C12" i="26"/>
  <c r="C18" i="26" s="1"/>
  <c r="N4" i="26"/>
  <c r="R4" i="26" s="1"/>
  <c r="R10" i="26"/>
  <c r="L2" i="24"/>
  <c r="P2" i="24" s="1"/>
  <c r="C12" i="24"/>
  <c r="C18" i="24" s="1"/>
  <c r="R10" i="24"/>
  <c r="C12" i="23"/>
  <c r="C18" i="23" s="1"/>
  <c r="L2" i="23"/>
  <c r="P2" i="23" s="1"/>
  <c r="N4" i="23"/>
  <c r="R4" i="23" s="1"/>
  <c r="R10" i="23"/>
  <c r="L2" i="22"/>
  <c r="P2" i="22" s="1"/>
  <c r="C12" i="22"/>
  <c r="C18" i="22" s="1"/>
  <c r="C12" i="21"/>
  <c r="C18" i="21" s="1"/>
  <c r="L2" i="21"/>
  <c r="P2" i="21" s="1"/>
  <c r="C12" i="18"/>
  <c r="C18" i="18" s="1"/>
  <c r="L2" i="18"/>
  <c r="P2" i="18" s="1"/>
  <c r="C12" i="17"/>
  <c r="C18" i="17" s="1"/>
  <c r="L2" i="17"/>
  <c r="P2" i="17" s="1"/>
  <c r="D18" i="21" l="1"/>
  <c r="D18" i="23"/>
  <c r="D18" i="17"/>
  <c r="D18" i="18"/>
  <c r="D18" i="26"/>
  <c r="D18" i="28"/>
  <c r="D18" i="22"/>
  <c r="D12" i="27"/>
  <c r="D12" i="30"/>
  <c r="D12" i="32"/>
  <c r="D12" i="24"/>
  <c r="D12" i="31"/>
  <c r="D12" i="33"/>
  <c r="D18" i="30" l="1"/>
  <c r="D18" i="27"/>
  <c r="D18" i="31"/>
  <c r="D18" i="24"/>
  <c r="D18" i="33"/>
  <c r="D18" i="32"/>
  <c r="G4" i="16"/>
  <c r="L4" i="16" s="1"/>
  <c r="D2" i="16"/>
  <c r="D17" i="16" s="1"/>
  <c r="C2" i="16"/>
  <c r="C17" i="16" s="1"/>
  <c r="G4" i="11"/>
  <c r="L4" i="11" s="1"/>
  <c r="D2" i="11"/>
  <c r="D17" i="11" s="1"/>
  <c r="C2" i="11"/>
  <c r="C17" i="11" s="1"/>
  <c r="D12" i="16" l="1"/>
  <c r="L2" i="16"/>
  <c r="P2" i="16" s="1"/>
  <c r="N4" i="16"/>
  <c r="R4" i="16" s="1"/>
  <c r="D12" i="11"/>
  <c r="N4" i="11"/>
  <c r="R4" i="11" s="1"/>
  <c r="L2" i="11"/>
  <c r="P2" i="11" s="1"/>
  <c r="D18" i="11" l="1"/>
  <c r="D18" i="16"/>
  <c r="C12" i="16"/>
  <c r="C18" i="16" s="1"/>
  <c r="K9" i="37" l="1"/>
  <c r="F3" i="16"/>
  <c r="F3" i="17"/>
  <c r="F3" i="22"/>
  <c r="F3" i="11"/>
  <c r="B16" i="37"/>
  <c r="B17" i="37" s="1"/>
  <c r="B12" i="37" s="1"/>
  <c r="B18" i="37" s="1"/>
  <c r="B16" i="39"/>
  <c r="L16" i="39" s="1"/>
  <c r="F17" i="39"/>
  <c r="F12" i="39" s="1"/>
  <c r="F18" i="39" s="1"/>
  <c r="H6" i="39"/>
  <c r="L6" i="39" s="1"/>
  <c r="N6" i="39" s="1"/>
  <c r="R6" i="39" s="1"/>
  <c r="F3" i="33"/>
  <c r="G3" i="33" s="1"/>
  <c r="H6" i="33"/>
  <c r="L6" i="33" s="1"/>
  <c r="N6" i="33" s="1"/>
  <c r="R6" i="33" s="1"/>
  <c r="F3" i="31"/>
  <c r="G3" i="31" s="1"/>
  <c r="H6" i="31"/>
  <c r="L6" i="31" s="1"/>
  <c r="N6" i="31" s="1"/>
  <c r="R6" i="31" s="1"/>
  <c r="F3" i="42"/>
  <c r="G3" i="42" s="1"/>
  <c r="H6" i="42"/>
  <c r="L6" i="42" s="1"/>
  <c r="N6" i="42" s="1"/>
  <c r="R6" i="42" s="1"/>
  <c r="F3" i="24"/>
  <c r="G3" i="24" s="1"/>
  <c r="H6" i="24"/>
  <c r="L6" i="24" s="1"/>
  <c r="N6" i="24" s="1"/>
  <c r="R6" i="24" s="1"/>
  <c r="F3" i="38"/>
  <c r="G3" i="38" s="1"/>
  <c r="H6" i="38"/>
  <c r="L6" i="38" s="1"/>
  <c r="N6" i="38" s="1"/>
  <c r="R6" i="38" s="1"/>
  <c r="F3" i="32"/>
  <c r="G3" i="32" s="1"/>
  <c r="H6" i="32"/>
  <c r="L6" i="32" s="1"/>
  <c r="N6" i="32" s="1"/>
  <c r="R6" i="32" s="1"/>
  <c r="F3" i="27"/>
  <c r="G3" i="27" s="1"/>
  <c r="H6" i="27"/>
  <c r="L6" i="27" s="1"/>
  <c r="N6" i="27" s="1"/>
  <c r="R6" i="27" s="1"/>
  <c r="F3" i="43"/>
  <c r="G3" i="43" s="1"/>
  <c r="H6" i="43"/>
  <c r="L6" i="43" s="1"/>
  <c r="N6" i="43" s="1"/>
  <c r="R6" i="43" s="1"/>
  <c r="F3" i="40"/>
  <c r="G3" i="40" s="1"/>
  <c r="H6" i="40"/>
  <c r="L6" i="40" s="1"/>
  <c r="N6" i="40" s="1"/>
  <c r="R6" i="40" s="1"/>
  <c r="F3" i="30"/>
  <c r="G3" i="30" s="1"/>
  <c r="H6" i="30"/>
  <c r="L6" i="30" s="1"/>
  <c r="N6" i="30" s="1"/>
  <c r="R6" i="30" s="1"/>
  <c r="F3" i="28"/>
  <c r="G3" i="28" s="1"/>
  <c r="H6" i="28"/>
  <c r="L6" i="28" s="1"/>
  <c r="N6" i="28" s="1"/>
  <c r="R6" i="28" s="1"/>
  <c r="F3" i="23"/>
  <c r="G3" i="23" s="1"/>
  <c r="H6" i="23"/>
  <c r="L6" i="23" s="1"/>
  <c r="N6" i="23" s="1"/>
  <c r="R6" i="23" s="1"/>
  <c r="F3" i="36"/>
  <c r="G3" i="36" s="1"/>
  <c r="H6" i="36"/>
  <c r="L6" i="36" s="1"/>
  <c r="N6" i="36" s="1"/>
  <c r="R6" i="36" s="1"/>
  <c r="F3" i="26"/>
  <c r="G3" i="26" s="1"/>
  <c r="H6" i="26"/>
  <c r="L6" i="26" s="1"/>
  <c r="N6" i="26" s="1"/>
  <c r="R6" i="26" s="1"/>
  <c r="K9" i="27"/>
  <c r="Q11" i="27" s="1"/>
  <c r="B16" i="40"/>
  <c r="H7" i="33"/>
  <c r="K9" i="30"/>
  <c r="Q11" i="30" s="1"/>
  <c r="B16" i="38"/>
  <c r="H7" i="30"/>
  <c r="H7" i="28"/>
  <c r="K9" i="39"/>
  <c r="Q11" i="39" s="1"/>
  <c r="K9" i="40"/>
  <c r="Q11" i="40" s="1"/>
  <c r="K9" i="26"/>
  <c r="Q11" i="26" s="1"/>
  <c r="K9" i="23"/>
  <c r="Q11" i="23" s="1"/>
  <c r="H7" i="36"/>
  <c r="B16" i="28"/>
  <c r="H7" i="42"/>
  <c r="H7" i="26"/>
  <c r="K9" i="33"/>
  <c r="Q11" i="33" s="1"/>
  <c r="H7" i="23"/>
  <c r="H7" i="38"/>
  <c r="K9" i="42"/>
  <c r="Q11" i="42" s="1"/>
  <c r="K9" i="38"/>
  <c r="Q11" i="38" s="1"/>
  <c r="K9" i="28"/>
  <c r="Q11" i="28" s="1"/>
  <c r="B16" i="30"/>
  <c r="B16" i="26"/>
  <c r="B16" i="33"/>
  <c r="H7" i="24"/>
  <c r="H7" i="39"/>
  <c r="B16" i="42"/>
  <c r="H7" i="32"/>
  <c r="H7" i="27"/>
  <c r="B16" i="32"/>
  <c r="H7" i="43"/>
  <c r="B16" i="27"/>
  <c r="H7" i="31"/>
  <c r="B16" i="24"/>
  <c r="K9" i="32"/>
  <c r="Q11" i="32" s="1"/>
  <c r="K9" i="24"/>
  <c r="Q11" i="24" s="1"/>
  <c r="H7" i="40"/>
  <c r="B16" i="43"/>
  <c r="K9" i="31"/>
  <c r="Q11" i="31" s="1"/>
  <c r="B16" i="31"/>
  <c r="K9" i="36"/>
  <c r="Q11" i="36" s="1"/>
  <c r="G4" i="37"/>
  <c r="D2" i="37"/>
  <c r="K10" i="37"/>
  <c r="L10" i="37" s="1"/>
  <c r="N10" i="37" s="1"/>
  <c r="R10" i="37" s="1"/>
  <c r="B16" i="11"/>
  <c r="B16" i="22"/>
  <c r="B16" i="21"/>
  <c r="B16" i="18"/>
  <c r="B16" i="16"/>
  <c r="B16" i="17"/>
  <c r="K10" i="11"/>
  <c r="L10" i="11" s="1"/>
  <c r="N10" i="11" s="1"/>
  <c r="R10" i="11" s="1"/>
  <c r="K10" i="21"/>
  <c r="L10" i="21" s="1"/>
  <c r="N10" i="21" s="1"/>
  <c r="R10" i="21" s="1"/>
  <c r="K10" i="17"/>
  <c r="L10" i="17" s="1"/>
  <c r="N10" i="17" s="1"/>
  <c r="R10" i="17" s="1"/>
  <c r="K10" i="22"/>
  <c r="L10" i="22" s="1"/>
  <c r="N10" i="22" s="1"/>
  <c r="R10" i="22" s="1"/>
  <c r="K9" i="16"/>
  <c r="K10" i="18"/>
  <c r="L10" i="18" s="1"/>
  <c r="N10" i="18" s="1"/>
  <c r="R10" i="18" s="1"/>
  <c r="K10" i="16"/>
  <c r="L10" i="16" s="1"/>
  <c r="N10" i="16" s="1"/>
  <c r="R10" i="16" s="1"/>
  <c r="K9" i="11"/>
  <c r="H7" i="22"/>
  <c r="L7" i="22" s="1"/>
  <c r="N7" i="22" s="1"/>
  <c r="R7" i="22" s="1"/>
  <c r="H7" i="18"/>
  <c r="L7" i="18" s="1"/>
  <c r="N7" i="18" s="1"/>
  <c r="R7" i="18" s="1"/>
  <c r="H7" i="21"/>
  <c r="L7" i="21" s="1"/>
  <c r="N7" i="21" s="1"/>
  <c r="R7" i="21" s="1"/>
  <c r="H6" i="17"/>
  <c r="H6" i="16"/>
  <c r="K9" i="18"/>
  <c r="K9" i="21"/>
  <c r="H6" i="18"/>
  <c r="H6" i="11"/>
  <c r="H6" i="21"/>
  <c r="K9" i="22"/>
  <c r="H6" i="22"/>
  <c r="K9" i="17"/>
  <c r="H7" i="11"/>
  <c r="L7" i="11" s="1"/>
  <c r="N7" i="11" s="1"/>
  <c r="R7" i="11" s="1"/>
  <c r="H7" i="16"/>
  <c r="H7" i="17"/>
  <c r="F17" i="11" l="1"/>
  <c r="F12" i="11" s="1"/>
  <c r="F18" i="11" s="1"/>
  <c r="G3" i="11"/>
  <c r="F17" i="22"/>
  <c r="F12" i="22" s="1"/>
  <c r="F18" i="22" s="1"/>
  <c r="G3" i="22"/>
  <c r="F17" i="17"/>
  <c r="F12" i="17" s="1"/>
  <c r="F18" i="17" s="1"/>
  <c r="G3" i="17"/>
  <c r="F17" i="16"/>
  <c r="F12" i="16" s="1"/>
  <c r="F18" i="16" s="1"/>
  <c r="G3" i="16"/>
  <c r="F17" i="18"/>
  <c r="F12" i="18" s="1"/>
  <c r="F18" i="18" s="1"/>
  <c r="Q11" i="11"/>
  <c r="Q11" i="17"/>
  <c r="Q11" i="18"/>
  <c r="Q11" i="22"/>
  <c r="Q11" i="16"/>
  <c r="Q11" i="21"/>
  <c r="Q11" i="37"/>
  <c r="N2" i="33"/>
  <c r="R2" i="33" s="1"/>
  <c r="N2" i="28"/>
  <c r="R2" i="28" s="1"/>
  <c r="N2" i="40"/>
  <c r="R2" i="40" s="1"/>
  <c r="N2" i="39"/>
  <c r="R2" i="39" s="1"/>
  <c r="N2" i="31"/>
  <c r="R2" i="31" s="1"/>
  <c r="N2" i="26"/>
  <c r="R2" i="26" s="1"/>
  <c r="N2" i="38"/>
  <c r="R2" i="38" s="1"/>
  <c r="N2" i="27"/>
  <c r="R2" i="27" s="1"/>
  <c r="N2" i="42"/>
  <c r="N2" i="32"/>
  <c r="R2" i="32" s="1"/>
  <c r="N2" i="24"/>
  <c r="R2" i="24" s="1"/>
  <c r="N2" i="43"/>
  <c r="N2" i="30"/>
  <c r="R2" i="30" s="1"/>
  <c r="L16" i="37"/>
  <c r="R16" i="37" s="1"/>
  <c r="B17" i="39"/>
  <c r="B12" i="39" s="1"/>
  <c r="B18" i="39" s="1"/>
  <c r="B16" i="36"/>
  <c r="L16" i="36" s="1"/>
  <c r="F17" i="33"/>
  <c r="F12" i="33" s="1"/>
  <c r="F18" i="33" s="1"/>
  <c r="F17" i="42"/>
  <c r="F12" i="42" s="1"/>
  <c r="F18" i="42" s="1"/>
  <c r="F17" i="38"/>
  <c r="F12" i="38" s="1"/>
  <c r="F18" i="38" s="1"/>
  <c r="F17" i="26"/>
  <c r="F12" i="26" s="1"/>
  <c r="F18" i="26" s="1"/>
  <c r="F17" i="30"/>
  <c r="F12" i="30" s="1"/>
  <c r="F18" i="30" s="1"/>
  <c r="F17" i="36"/>
  <c r="F12" i="36" s="1"/>
  <c r="F18" i="36" s="1"/>
  <c r="F17" i="32"/>
  <c r="F12" i="32" s="1"/>
  <c r="F18" i="32" s="1"/>
  <c r="F17" i="43"/>
  <c r="F12" i="43" s="1"/>
  <c r="F18" i="43" s="1"/>
  <c r="F17" i="23"/>
  <c r="F12" i="23" s="1"/>
  <c r="F18" i="23" s="1"/>
  <c r="F17" i="27"/>
  <c r="F12" i="27" s="1"/>
  <c r="F18" i="27" s="1"/>
  <c r="F17" i="31"/>
  <c r="F12" i="31" s="1"/>
  <c r="F18" i="31" s="1"/>
  <c r="F17" i="24"/>
  <c r="F12" i="24" s="1"/>
  <c r="F18" i="24" s="1"/>
  <c r="F3" i="37"/>
  <c r="G3" i="37" s="1"/>
  <c r="H6" i="37"/>
  <c r="L6" i="37" s="1"/>
  <c r="N6" i="37" s="1"/>
  <c r="R6" i="37" s="1"/>
  <c r="F17" i="28"/>
  <c r="F12" i="28" s="1"/>
  <c r="F18" i="28" s="1"/>
  <c r="F17" i="40"/>
  <c r="F12" i="40" s="1"/>
  <c r="F18" i="40" s="1"/>
  <c r="L9" i="31"/>
  <c r="N9" i="31" s="1"/>
  <c r="R9" i="31" s="1"/>
  <c r="K17" i="31"/>
  <c r="B17" i="31"/>
  <c r="B12" i="31" s="1"/>
  <c r="B18" i="31" s="1"/>
  <c r="L16" i="31"/>
  <c r="L7" i="31"/>
  <c r="N7" i="31" s="1"/>
  <c r="R7" i="31" s="1"/>
  <c r="B17" i="32"/>
  <c r="B12" i="32" s="1"/>
  <c r="B18" i="32" s="1"/>
  <c r="L16" i="32"/>
  <c r="L7" i="26"/>
  <c r="L9" i="40"/>
  <c r="N9" i="40" s="1"/>
  <c r="R9" i="40" s="1"/>
  <c r="K17" i="40"/>
  <c r="L7" i="33"/>
  <c r="N7" i="33" s="1"/>
  <c r="R7" i="33" s="1"/>
  <c r="K17" i="27"/>
  <c r="L9" i="27"/>
  <c r="N9" i="27" s="1"/>
  <c r="R9" i="27" s="1"/>
  <c r="L7" i="32"/>
  <c r="N7" i="32" s="1"/>
  <c r="R7" i="32" s="1"/>
  <c r="L7" i="38"/>
  <c r="L7" i="36"/>
  <c r="N7" i="36" s="1"/>
  <c r="R7" i="36" s="1"/>
  <c r="B17" i="43"/>
  <c r="B12" i="43" s="1"/>
  <c r="B18" i="43" s="1"/>
  <c r="L16" i="43"/>
  <c r="L7" i="24"/>
  <c r="N7" i="24" s="1"/>
  <c r="R7" i="24" s="1"/>
  <c r="B17" i="26"/>
  <c r="B12" i="26" s="1"/>
  <c r="B18" i="26" s="1"/>
  <c r="L16" i="26"/>
  <c r="K17" i="28"/>
  <c r="L9" i="28"/>
  <c r="N9" i="28" s="1"/>
  <c r="R9" i="28" s="1"/>
  <c r="K17" i="23"/>
  <c r="L9" i="23"/>
  <c r="N9" i="23" s="1"/>
  <c r="R9" i="23" s="1"/>
  <c r="L7" i="30"/>
  <c r="N7" i="30" s="1"/>
  <c r="R7" i="30" s="1"/>
  <c r="K17" i="30"/>
  <c r="L9" i="30"/>
  <c r="N9" i="30" s="1"/>
  <c r="R9" i="30" s="1"/>
  <c r="L9" i="32"/>
  <c r="N9" i="32" s="1"/>
  <c r="R9" i="32" s="1"/>
  <c r="K17" i="32"/>
  <c r="B17" i="27"/>
  <c r="B12" i="27" s="1"/>
  <c r="B18" i="27" s="1"/>
  <c r="L16" i="27"/>
  <c r="L7" i="42"/>
  <c r="B17" i="40"/>
  <c r="B12" i="40" s="1"/>
  <c r="B18" i="40" s="1"/>
  <c r="L16" i="40"/>
  <c r="L7" i="40"/>
  <c r="L7" i="27"/>
  <c r="N7" i="27" s="1"/>
  <c r="R7" i="27" s="1"/>
  <c r="L7" i="23"/>
  <c r="K17" i="39"/>
  <c r="L9" i="39"/>
  <c r="N9" i="39" s="1"/>
  <c r="R9" i="39" s="1"/>
  <c r="B17" i="42"/>
  <c r="B12" i="42" s="1"/>
  <c r="B18" i="42" s="1"/>
  <c r="L16" i="42"/>
  <c r="K17" i="24"/>
  <c r="L9" i="24"/>
  <c r="N9" i="24" s="1"/>
  <c r="R9" i="24" s="1"/>
  <c r="L7" i="39"/>
  <c r="N7" i="39" s="1"/>
  <c r="R7" i="39" s="1"/>
  <c r="B17" i="24"/>
  <c r="B12" i="24" s="1"/>
  <c r="B18" i="24" s="1"/>
  <c r="L16" i="24"/>
  <c r="L7" i="43"/>
  <c r="N7" i="43" s="1"/>
  <c r="R7" i="43" s="1"/>
  <c r="B17" i="33"/>
  <c r="B12" i="33" s="1"/>
  <c r="B18" i="33" s="1"/>
  <c r="L16" i="33"/>
  <c r="K17" i="26"/>
  <c r="L9" i="26"/>
  <c r="N9" i="26" s="1"/>
  <c r="R9" i="26" s="1"/>
  <c r="B17" i="38"/>
  <c r="B12" i="38" s="1"/>
  <c r="B18" i="38" s="1"/>
  <c r="L16" i="38"/>
  <c r="K17" i="36"/>
  <c r="L9" i="36"/>
  <c r="N9" i="36" s="1"/>
  <c r="R9" i="36" s="1"/>
  <c r="B17" i="28"/>
  <c r="B12" i="28" s="1"/>
  <c r="B18" i="28" s="1"/>
  <c r="L16" i="28"/>
  <c r="R16" i="39"/>
  <c r="Q16" i="39"/>
  <c r="B17" i="30"/>
  <c r="B12" i="30" s="1"/>
  <c r="B18" i="30" s="1"/>
  <c r="L16" i="30"/>
  <c r="K17" i="38"/>
  <c r="L9" i="38"/>
  <c r="N9" i="38" s="1"/>
  <c r="R9" i="38" s="1"/>
  <c r="L9" i="42"/>
  <c r="N9" i="42" s="1"/>
  <c r="R9" i="42" s="1"/>
  <c r="K17" i="42"/>
  <c r="L9" i="33"/>
  <c r="N9" i="33" s="1"/>
  <c r="R9" i="33" s="1"/>
  <c r="K17" i="33"/>
  <c r="L7" i="28"/>
  <c r="H7" i="37"/>
  <c r="L9" i="37"/>
  <c r="N9" i="37" s="1"/>
  <c r="R9" i="37" s="1"/>
  <c r="K17" i="37"/>
  <c r="D17" i="37"/>
  <c r="D12" i="37" s="1"/>
  <c r="L2" i="37"/>
  <c r="P2" i="37" s="1"/>
  <c r="L4" i="37"/>
  <c r="K17" i="22"/>
  <c r="B17" i="16"/>
  <c r="B12" i="16" s="1"/>
  <c r="B18" i="16" s="1"/>
  <c r="L16" i="16"/>
  <c r="B17" i="18"/>
  <c r="B12" i="18" s="1"/>
  <c r="B18" i="18" s="1"/>
  <c r="L16" i="18"/>
  <c r="B17" i="21"/>
  <c r="B12" i="21" s="1"/>
  <c r="B18" i="21" s="1"/>
  <c r="L16" i="21"/>
  <c r="B17" i="22"/>
  <c r="B12" i="22" s="1"/>
  <c r="B18" i="22" s="1"/>
  <c r="L16" i="22"/>
  <c r="B17" i="11"/>
  <c r="B12" i="11" s="1"/>
  <c r="B18" i="11" s="1"/>
  <c r="L16" i="11"/>
  <c r="B17" i="17"/>
  <c r="B12" i="17" s="1"/>
  <c r="B18" i="17" s="1"/>
  <c r="L16" i="17"/>
  <c r="K17" i="18"/>
  <c r="K17" i="21"/>
  <c r="K17" i="17"/>
  <c r="L9" i="16"/>
  <c r="N9" i="16" s="1"/>
  <c r="R9" i="16" s="1"/>
  <c r="K17" i="16"/>
  <c r="L9" i="11"/>
  <c r="N9" i="11" s="1"/>
  <c r="R9" i="11" s="1"/>
  <c r="K17" i="11"/>
  <c r="L6" i="11"/>
  <c r="N6" i="11" s="1"/>
  <c r="R6" i="11" s="1"/>
  <c r="L6" i="17"/>
  <c r="N6" i="17" s="1"/>
  <c r="R6" i="17" s="1"/>
  <c r="L6" i="16"/>
  <c r="N6" i="16" s="1"/>
  <c r="R6" i="16" s="1"/>
  <c r="N2" i="16"/>
  <c r="N2" i="11"/>
  <c r="R2" i="11" s="1"/>
  <c r="N2" i="17"/>
  <c r="R2" i="17" s="1"/>
  <c r="N2" i="21"/>
  <c r="R2" i="21" s="1"/>
  <c r="N2" i="18"/>
  <c r="R2" i="18" s="1"/>
  <c r="L9" i="22"/>
  <c r="N9" i="22" s="1"/>
  <c r="R9" i="22" s="1"/>
  <c r="F3" i="21"/>
  <c r="L9" i="21"/>
  <c r="N9" i="21" s="1"/>
  <c r="R9" i="21" s="1"/>
  <c r="L9" i="18"/>
  <c r="N9" i="18" s="1"/>
  <c r="R9" i="18" s="1"/>
  <c r="L6" i="21"/>
  <c r="N6" i="21" s="1"/>
  <c r="R6" i="21" s="1"/>
  <c r="L6" i="22"/>
  <c r="N6" i="22" s="1"/>
  <c r="R6" i="22" s="1"/>
  <c r="L6" i="18"/>
  <c r="N6" i="18" s="1"/>
  <c r="R6" i="18" s="1"/>
  <c r="L9" i="17"/>
  <c r="N9" i="17" s="1"/>
  <c r="R9" i="17" s="1"/>
  <c r="L7" i="17"/>
  <c r="L7" i="16"/>
  <c r="N7" i="16" s="1"/>
  <c r="R7" i="16" s="1"/>
  <c r="F17" i="21" l="1"/>
  <c r="F12" i="21" s="1"/>
  <c r="F18" i="21" s="1"/>
  <c r="G3" i="21"/>
  <c r="D18" i="37"/>
  <c r="G5" i="23"/>
  <c r="L5" i="23" s="1"/>
  <c r="I18" i="11"/>
  <c r="J18" i="11" s="1"/>
  <c r="J8" i="11" s="1"/>
  <c r="J17" i="11" s="1"/>
  <c r="J13" i="11" s="1"/>
  <c r="J8" i="18"/>
  <c r="I18" i="31"/>
  <c r="J18" i="31" s="1"/>
  <c r="J8" i="31" s="1"/>
  <c r="J17" i="31" s="1"/>
  <c r="J13" i="31" s="1"/>
  <c r="R2" i="42"/>
  <c r="I18" i="17"/>
  <c r="I8" i="17" s="1"/>
  <c r="I17" i="17" s="1"/>
  <c r="I18" i="21"/>
  <c r="J18" i="21" s="1"/>
  <c r="J8" i="21" s="1"/>
  <c r="J17" i="21" s="1"/>
  <c r="J13" i="21" s="1"/>
  <c r="I18" i="33"/>
  <c r="I8" i="33" s="1"/>
  <c r="I18" i="16"/>
  <c r="I8" i="16" s="1"/>
  <c r="I17" i="16" s="1"/>
  <c r="I13" i="16" s="1"/>
  <c r="I18" i="22"/>
  <c r="J18" i="22" s="1"/>
  <c r="J8" i="22" s="1"/>
  <c r="I18" i="26"/>
  <c r="I8" i="26" s="1"/>
  <c r="R2" i="43"/>
  <c r="N4" i="37"/>
  <c r="R4" i="37" s="1"/>
  <c r="M11" i="36"/>
  <c r="M11" i="24"/>
  <c r="M11" i="38"/>
  <c r="M11" i="11"/>
  <c r="M11" i="26"/>
  <c r="M11" i="30"/>
  <c r="M11" i="27"/>
  <c r="M11" i="37"/>
  <c r="M11" i="33"/>
  <c r="M11" i="23"/>
  <c r="M11" i="31"/>
  <c r="M11" i="42"/>
  <c r="M11" i="39"/>
  <c r="M11" i="40"/>
  <c r="M11" i="32"/>
  <c r="M11" i="28"/>
  <c r="G5" i="11"/>
  <c r="G17" i="11" s="1"/>
  <c r="H17" i="17"/>
  <c r="H12" i="17" s="1"/>
  <c r="H18" i="17" s="1"/>
  <c r="I18" i="39"/>
  <c r="I18" i="30"/>
  <c r="I18" i="38"/>
  <c r="I18" i="27"/>
  <c r="I18" i="36"/>
  <c r="I18" i="28"/>
  <c r="I18" i="32"/>
  <c r="I18" i="24"/>
  <c r="I18" i="42"/>
  <c r="I18" i="40"/>
  <c r="I18" i="23"/>
  <c r="Q16" i="37"/>
  <c r="N2" i="36"/>
  <c r="R2" i="36" s="1"/>
  <c r="B17" i="36"/>
  <c r="B12" i="36" s="1"/>
  <c r="B18" i="36" s="1"/>
  <c r="H17" i="11"/>
  <c r="L3" i="17"/>
  <c r="H17" i="23"/>
  <c r="H12" i="23" s="1"/>
  <c r="H18" i="23" s="1"/>
  <c r="H17" i="21"/>
  <c r="H12" i="21" s="1"/>
  <c r="H18" i="21" s="1"/>
  <c r="G5" i="22"/>
  <c r="L5" i="22" s="1"/>
  <c r="H17" i="36"/>
  <c r="H12" i="36" s="1"/>
  <c r="H18" i="36" s="1"/>
  <c r="H17" i="24"/>
  <c r="H12" i="24" s="1"/>
  <c r="H18" i="24" s="1"/>
  <c r="H17" i="28"/>
  <c r="H12" i="28" s="1"/>
  <c r="H18" i="28" s="1"/>
  <c r="G5" i="16"/>
  <c r="G17" i="16" s="1"/>
  <c r="H17" i="18"/>
  <c r="H12" i="18" s="1"/>
  <c r="H18" i="18" s="1"/>
  <c r="H17" i="32"/>
  <c r="H12" i="32" s="1"/>
  <c r="H18" i="32" s="1"/>
  <c r="H17" i="27"/>
  <c r="H12" i="27" s="1"/>
  <c r="H18" i="27" s="1"/>
  <c r="G5" i="24"/>
  <c r="L5" i="24" s="1"/>
  <c r="G5" i="40"/>
  <c r="L5" i="40" s="1"/>
  <c r="H17" i="40"/>
  <c r="H12" i="40" s="1"/>
  <c r="H18" i="40" s="1"/>
  <c r="H17" i="22"/>
  <c r="H12" i="22" s="1"/>
  <c r="H18" i="22" s="1"/>
  <c r="H17" i="39"/>
  <c r="H12" i="39" s="1"/>
  <c r="H18" i="39" s="1"/>
  <c r="H17" i="31"/>
  <c r="H12" i="31" s="1"/>
  <c r="H18" i="31" s="1"/>
  <c r="H17" i="16"/>
  <c r="H12" i="16" s="1"/>
  <c r="H18" i="16" s="1"/>
  <c r="H17" i="33"/>
  <c r="H12" i="33" s="1"/>
  <c r="H18" i="33" s="1"/>
  <c r="G5" i="30"/>
  <c r="L5" i="30" s="1"/>
  <c r="H17" i="38"/>
  <c r="H12" i="38" s="1"/>
  <c r="H18" i="38" s="1"/>
  <c r="K13" i="30"/>
  <c r="K18" i="30" s="1"/>
  <c r="G5" i="31"/>
  <c r="L5" i="31" s="1"/>
  <c r="L3" i="33"/>
  <c r="H17" i="43"/>
  <c r="H12" i="43" s="1"/>
  <c r="H18" i="43" s="1"/>
  <c r="L3" i="26"/>
  <c r="L3" i="32"/>
  <c r="H17" i="30"/>
  <c r="H12" i="30" s="1"/>
  <c r="H18" i="30" s="1"/>
  <c r="G5" i="28"/>
  <c r="L5" i="28" s="1"/>
  <c r="L3" i="42"/>
  <c r="L3" i="38"/>
  <c r="H17" i="26"/>
  <c r="H12" i="26" s="1"/>
  <c r="H18" i="26" s="1"/>
  <c r="H17" i="42"/>
  <c r="H12" i="42" s="1"/>
  <c r="H18" i="42" s="1"/>
  <c r="L3" i="36"/>
  <c r="L3" i="43"/>
  <c r="K13" i="38"/>
  <c r="K18" i="38" s="1"/>
  <c r="K13" i="36"/>
  <c r="K18" i="36" s="1"/>
  <c r="K13" i="26"/>
  <c r="K18" i="26" s="1"/>
  <c r="K13" i="24"/>
  <c r="K18" i="24" s="1"/>
  <c r="L3" i="39"/>
  <c r="K13" i="39"/>
  <c r="K18" i="39" s="1"/>
  <c r="K13" i="32"/>
  <c r="K18" i="32" s="1"/>
  <c r="K13" i="28"/>
  <c r="K18" i="28" s="1"/>
  <c r="K13" i="33"/>
  <c r="K18" i="33" s="1"/>
  <c r="K13" i="42"/>
  <c r="K18" i="42" s="1"/>
  <c r="F17" i="37"/>
  <c r="F12" i="37" s="1"/>
  <c r="F18" i="37" s="1"/>
  <c r="R16" i="42"/>
  <c r="Q16" i="42"/>
  <c r="K13" i="31"/>
  <c r="K18" i="31" s="1"/>
  <c r="R16" i="33"/>
  <c r="Q16" i="33"/>
  <c r="R16" i="32"/>
  <c r="Q16" i="32"/>
  <c r="N7" i="28"/>
  <c r="R7" i="28" s="1"/>
  <c r="R16" i="38"/>
  <c r="Q16" i="38"/>
  <c r="N7" i="40"/>
  <c r="R7" i="40" s="1"/>
  <c r="N7" i="42"/>
  <c r="R7" i="42" s="1"/>
  <c r="K13" i="40"/>
  <c r="K18" i="40" s="1"/>
  <c r="R16" i="27"/>
  <c r="Q16" i="27"/>
  <c r="Q16" i="43"/>
  <c r="R16" i="43"/>
  <c r="K13" i="27"/>
  <c r="K18" i="27" s="1"/>
  <c r="N7" i="23"/>
  <c r="R7" i="23" s="1"/>
  <c r="K9" i="43"/>
  <c r="Q11" i="43" s="1"/>
  <c r="I18" i="43"/>
  <c r="J18" i="43" s="1"/>
  <c r="J8" i="43" s="1"/>
  <c r="J17" i="43" s="1"/>
  <c r="J13" i="43" s="1"/>
  <c r="R16" i="30"/>
  <c r="Q16" i="30"/>
  <c r="R16" i="24"/>
  <c r="Q16" i="24"/>
  <c r="R16" i="36"/>
  <c r="Q16" i="36"/>
  <c r="Q16" i="40"/>
  <c r="R16" i="40"/>
  <c r="R16" i="26"/>
  <c r="Q16" i="26"/>
  <c r="N7" i="38"/>
  <c r="R7" i="38" s="1"/>
  <c r="N7" i="26"/>
  <c r="R7" i="26" s="1"/>
  <c r="R16" i="31"/>
  <c r="Q16" i="31"/>
  <c r="L7" i="37"/>
  <c r="N7" i="37" s="1"/>
  <c r="R7" i="37" s="1"/>
  <c r="R16" i="28"/>
  <c r="Q16" i="28"/>
  <c r="K13" i="23"/>
  <c r="K18" i="23" s="1"/>
  <c r="K13" i="37"/>
  <c r="K18" i="37" s="1"/>
  <c r="B16" i="23"/>
  <c r="R16" i="21"/>
  <c r="Q16" i="21"/>
  <c r="R16" i="17"/>
  <c r="Q16" i="17"/>
  <c r="R16" i="18"/>
  <c r="Q16" i="18"/>
  <c r="R16" i="11"/>
  <c r="Q16" i="11"/>
  <c r="R16" i="16"/>
  <c r="Q16" i="16"/>
  <c r="R16" i="22"/>
  <c r="Q16" i="22"/>
  <c r="R2" i="16"/>
  <c r="K13" i="11"/>
  <c r="K18" i="11" s="1"/>
  <c r="K13" i="16"/>
  <c r="K18" i="16" s="1"/>
  <c r="M11" i="17"/>
  <c r="M11" i="18"/>
  <c r="M11" i="16"/>
  <c r="M11" i="22"/>
  <c r="M11" i="21"/>
  <c r="N2" i="22"/>
  <c r="R2" i="22" s="1"/>
  <c r="K13" i="21"/>
  <c r="K18" i="21" s="1"/>
  <c r="K13" i="18"/>
  <c r="K18" i="18" s="1"/>
  <c r="K13" i="22"/>
  <c r="K18" i="22" s="1"/>
  <c r="K13" i="17"/>
  <c r="K18" i="17" s="1"/>
  <c r="N7" i="17"/>
  <c r="R7" i="17" s="1"/>
  <c r="R11" i="28" l="1"/>
  <c r="R11" i="30"/>
  <c r="R11" i="32"/>
  <c r="R11" i="26"/>
  <c r="R11" i="17"/>
  <c r="R11" i="40"/>
  <c r="R11" i="11"/>
  <c r="R11" i="39"/>
  <c r="R11" i="38"/>
  <c r="R11" i="21"/>
  <c r="R11" i="22"/>
  <c r="R11" i="42"/>
  <c r="R11" i="24"/>
  <c r="R11" i="36"/>
  <c r="R11" i="16"/>
  <c r="R11" i="31"/>
  <c r="R11" i="18"/>
  <c r="R11" i="23"/>
  <c r="R11" i="33"/>
  <c r="R11" i="37"/>
  <c r="R11" i="27"/>
  <c r="Q5" i="24"/>
  <c r="E17" i="24" s="1"/>
  <c r="E12" i="24" s="1"/>
  <c r="E18" i="24" s="1"/>
  <c r="Q5" i="30"/>
  <c r="E17" i="30" s="1"/>
  <c r="E12" i="30" s="1"/>
  <c r="E18" i="30" s="1"/>
  <c r="Q5" i="28"/>
  <c r="E17" i="28" s="1"/>
  <c r="E12" i="28" s="1"/>
  <c r="E18" i="28" s="1"/>
  <c r="Q5" i="22"/>
  <c r="Q5" i="31"/>
  <c r="Q5" i="40"/>
  <c r="R5" i="23"/>
  <c r="Q5" i="23"/>
  <c r="E17" i="23" s="1"/>
  <c r="E12" i="23" s="1"/>
  <c r="E18" i="23" s="1"/>
  <c r="J18" i="17"/>
  <c r="J8" i="17" s="1"/>
  <c r="L8" i="17" s="1"/>
  <c r="N8" i="17" s="1"/>
  <c r="R8" i="17" s="1"/>
  <c r="I8" i="11"/>
  <c r="I17" i="11" s="1"/>
  <c r="I13" i="11" s="1"/>
  <c r="L13" i="11" s="1"/>
  <c r="J18" i="33"/>
  <c r="J8" i="33" s="1"/>
  <c r="J17" i="33" s="1"/>
  <c r="J13" i="33" s="1"/>
  <c r="G17" i="23"/>
  <c r="G12" i="23" s="1"/>
  <c r="G18" i="23" s="1"/>
  <c r="L3" i="23"/>
  <c r="J18" i="16"/>
  <c r="J8" i="16" s="1"/>
  <c r="J17" i="16" s="1"/>
  <c r="J13" i="16" s="1"/>
  <c r="I8" i="22"/>
  <c r="I17" i="22" s="1"/>
  <c r="I13" i="22" s="1"/>
  <c r="I8" i="18"/>
  <c r="I17" i="18" s="1"/>
  <c r="I13" i="18" s="1"/>
  <c r="I8" i="21"/>
  <c r="I17" i="21" s="1"/>
  <c r="I13" i="21" s="1"/>
  <c r="J18" i="26"/>
  <c r="J8" i="26" s="1"/>
  <c r="J17" i="26" s="1"/>
  <c r="J13" i="26" s="1"/>
  <c r="I8" i="31"/>
  <c r="I17" i="31" s="1"/>
  <c r="I13" i="31" s="1"/>
  <c r="L13" i="31" s="1"/>
  <c r="N3" i="38"/>
  <c r="R3" i="38" s="1"/>
  <c r="N3" i="32"/>
  <c r="R3" i="32" s="1"/>
  <c r="N3" i="26"/>
  <c r="R3" i="26" s="1"/>
  <c r="N3" i="43"/>
  <c r="R3" i="43" s="1"/>
  <c r="N3" i="33"/>
  <c r="R3" i="33" s="1"/>
  <c r="N3" i="39"/>
  <c r="R3" i="39" s="1"/>
  <c r="N3" i="36"/>
  <c r="R3" i="36" s="1"/>
  <c r="N3" i="42"/>
  <c r="R3" i="42" s="1"/>
  <c r="R5" i="31"/>
  <c r="R5" i="40"/>
  <c r="I18" i="37"/>
  <c r="J18" i="39"/>
  <c r="J8" i="39" s="1"/>
  <c r="J17" i="39" s="1"/>
  <c r="J13" i="39" s="1"/>
  <c r="I8" i="39"/>
  <c r="J18" i="42"/>
  <c r="J8" i="42" s="1"/>
  <c r="J17" i="42" s="1"/>
  <c r="J13" i="42" s="1"/>
  <c r="I8" i="42"/>
  <c r="J18" i="24"/>
  <c r="J8" i="24" s="1"/>
  <c r="J17" i="24" s="1"/>
  <c r="J13" i="24" s="1"/>
  <c r="I8" i="24"/>
  <c r="J18" i="32"/>
  <c r="J8" i="32" s="1"/>
  <c r="J17" i="32" s="1"/>
  <c r="J13" i="32" s="1"/>
  <c r="I8" i="32"/>
  <c r="J18" i="28"/>
  <c r="J8" i="28" s="1"/>
  <c r="J17" i="28" s="1"/>
  <c r="J13" i="28" s="1"/>
  <c r="I8" i="28"/>
  <c r="J18" i="36"/>
  <c r="J8" i="36" s="1"/>
  <c r="J17" i="36" s="1"/>
  <c r="J13" i="36" s="1"/>
  <c r="I8" i="36"/>
  <c r="I8" i="27"/>
  <c r="J18" i="27"/>
  <c r="J8" i="27" s="1"/>
  <c r="J17" i="27" s="1"/>
  <c r="J13" i="27" s="1"/>
  <c r="J18" i="23"/>
  <c r="J8" i="23" s="1"/>
  <c r="J17" i="23" s="1"/>
  <c r="J13" i="23" s="1"/>
  <c r="I8" i="23"/>
  <c r="J18" i="38"/>
  <c r="J8" i="38" s="1"/>
  <c r="J17" i="38" s="1"/>
  <c r="J13" i="38" s="1"/>
  <c r="I8" i="38"/>
  <c r="J18" i="40"/>
  <c r="J8" i="40" s="1"/>
  <c r="J17" i="40" s="1"/>
  <c r="J13" i="40" s="1"/>
  <c r="I8" i="40"/>
  <c r="J18" i="30"/>
  <c r="J8" i="30" s="1"/>
  <c r="J17" i="30" s="1"/>
  <c r="J13" i="30" s="1"/>
  <c r="I8" i="30"/>
  <c r="G5" i="17"/>
  <c r="L5" i="17" s="1"/>
  <c r="N2" i="37"/>
  <c r="R2" i="37" s="1"/>
  <c r="R2" i="23"/>
  <c r="L3" i="22"/>
  <c r="R5" i="24"/>
  <c r="R5" i="30"/>
  <c r="L3" i="16"/>
  <c r="R5" i="28"/>
  <c r="H17" i="37"/>
  <c r="H12" i="37" s="1"/>
  <c r="H18" i="37" s="1"/>
  <c r="L3" i="24"/>
  <c r="L3" i="40"/>
  <c r="L3" i="30"/>
  <c r="G17" i="24"/>
  <c r="G12" i="24" s="1"/>
  <c r="G18" i="24" s="1"/>
  <c r="G17" i="40"/>
  <c r="G12" i="40" s="1"/>
  <c r="G18" i="40" s="1"/>
  <c r="G17" i="30"/>
  <c r="G12" i="30" s="1"/>
  <c r="G18" i="30" s="1"/>
  <c r="L3" i="31"/>
  <c r="G17" i="31"/>
  <c r="G12" i="31" s="1"/>
  <c r="G18" i="31" s="1"/>
  <c r="L3" i="28"/>
  <c r="G5" i="26"/>
  <c r="L5" i="26" s="1"/>
  <c r="G5" i="33"/>
  <c r="L5" i="33" s="1"/>
  <c r="G5" i="42"/>
  <c r="L5" i="42" s="1"/>
  <c r="G17" i="28"/>
  <c r="G12" i="28" s="1"/>
  <c r="G18" i="28" s="1"/>
  <c r="G5" i="32"/>
  <c r="L5" i="32" s="1"/>
  <c r="G5" i="27"/>
  <c r="L5" i="27" s="1"/>
  <c r="L3" i="27"/>
  <c r="L3" i="37"/>
  <c r="G5" i="38"/>
  <c r="L5" i="38" s="1"/>
  <c r="G5" i="36"/>
  <c r="L5" i="36" s="1"/>
  <c r="L5" i="39"/>
  <c r="I8" i="43"/>
  <c r="I17" i="43" s="1"/>
  <c r="I13" i="43" s="1"/>
  <c r="G5" i="43"/>
  <c r="L5" i="43" s="1"/>
  <c r="I17" i="26"/>
  <c r="I13" i="26" s="1"/>
  <c r="K17" i="43"/>
  <c r="L9" i="43"/>
  <c r="N9" i="43" s="1"/>
  <c r="R9" i="43" s="1"/>
  <c r="I17" i="33"/>
  <c r="I13" i="33" s="1"/>
  <c r="B17" i="23"/>
  <c r="L16" i="23"/>
  <c r="J17" i="22"/>
  <c r="J13" i="22" s="1"/>
  <c r="J17" i="18"/>
  <c r="J13" i="18" s="1"/>
  <c r="L3" i="21"/>
  <c r="G17" i="22"/>
  <c r="G12" i="22" s="1"/>
  <c r="G18" i="22" s="1"/>
  <c r="G12" i="11"/>
  <c r="G18" i="11" s="1"/>
  <c r="N3" i="17"/>
  <c r="R3" i="17" s="1"/>
  <c r="R5" i="22"/>
  <c r="L5" i="16"/>
  <c r="G12" i="16"/>
  <c r="G18" i="16" s="1"/>
  <c r="G5" i="21"/>
  <c r="L5" i="21" s="1"/>
  <c r="I13" i="17"/>
  <c r="Q5" i="16" l="1"/>
  <c r="Q5" i="27"/>
  <c r="Q5" i="32"/>
  <c r="Q5" i="38"/>
  <c r="Q5" i="17"/>
  <c r="E17" i="17" s="1"/>
  <c r="E12" i="17" s="1"/>
  <c r="E18" i="17" s="1"/>
  <c r="Q5" i="43"/>
  <c r="Q5" i="42"/>
  <c r="Q5" i="39"/>
  <c r="Q5" i="33"/>
  <c r="Q5" i="26"/>
  <c r="Q5" i="21"/>
  <c r="Q5" i="36"/>
  <c r="N3" i="23"/>
  <c r="R3" i="23" s="1"/>
  <c r="J17" i="17"/>
  <c r="J13" i="17" s="1"/>
  <c r="E14" i="17" s="1"/>
  <c r="L8" i="11"/>
  <c r="N8" i="11" s="1"/>
  <c r="R8" i="11" s="1"/>
  <c r="L8" i="33"/>
  <c r="N8" i="33" s="1"/>
  <c r="R8" i="33" s="1"/>
  <c r="L8" i="22"/>
  <c r="N8" i="22" s="1"/>
  <c r="R8" i="22" s="1"/>
  <c r="L13" i="33"/>
  <c r="L8" i="16"/>
  <c r="N8" i="16" s="1"/>
  <c r="R8" i="16" s="1"/>
  <c r="L8" i="18"/>
  <c r="N8" i="18" s="1"/>
  <c r="R8" i="18" s="1"/>
  <c r="L13" i="26"/>
  <c r="L8" i="21"/>
  <c r="N8" i="21" s="1"/>
  <c r="R8" i="21" s="1"/>
  <c r="L8" i="26"/>
  <c r="N8" i="26" s="1"/>
  <c r="R8" i="26" s="1"/>
  <c r="L8" i="31"/>
  <c r="N8" i="31" s="1"/>
  <c r="R8" i="31" s="1"/>
  <c r="N3" i="27"/>
  <c r="R3" i="27" s="1"/>
  <c r="N3" i="28"/>
  <c r="R3" i="28" s="1"/>
  <c r="N3" i="31"/>
  <c r="R3" i="31" s="1"/>
  <c r="N3" i="24"/>
  <c r="R3" i="24" s="1"/>
  <c r="N3" i="16"/>
  <c r="R3" i="16" s="1"/>
  <c r="N3" i="30"/>
  <c r="R3" i="30" s="1"/>
  <c r="N3" i="22"/>
  <c r="R3" i="22" s="1"/>
  <c r="N3" i="21"/>
  <c r="R3" i="21" s="1"/>
  <c r="N3" i="40"/>
  <c r="R3" i="40" s="1"/>
  <c r="N3" i="37"/>
  <c r="R3" i="37" s="1"/>
  <c r="M11" i="43"/>
  <c r="G17" i="17"/>
  <c r="G12" i="17" s="1"/>
  <c r="G18" i="17" s="1"/>
  <c r="L8" i="40"/>
  <c r="N8" i="40" s="1"/>
  <c r="R8" i="40" s="1"/>
  <c r="I17" i="40"/>
  <c r="I13" i="40" s="1"/>
  <c r="I17" i="28"/>
  <c r="I13" i="28" s="1"/>
  <c r="L8" i="28"/>
  <c r="N8" i="28" s="1"/>
  <c r="R8" i="28" s="1"/>
  <c r="I17" i="39"/>
  <c r="I13" i="39" s="1"/>
  <c r="L8" i="39"/>
  <c r="N8" i="39" s="1"/>
  <c r="R8" i="39" s="1"/>
  <c r="L8" i="38"/>
  <c r="N8" i="38" s="1"/>
  <c r="R8" i="38" s="1"/>
  <c r="I17" i="38"/>
  <c r="I13" i="38" s="1"/>
  <c r="I17" i="32"/>
  <c r="I13" i="32" s="1"/>
  <c r="L8" i="32"/>
  <c r="N8" i="32" s="1"/>
  <c r="R8" i="32" s="1"/>
  <c r="J18" i="37"/>
  <c r="J8" i="37" s="1"/>
  <c r="J17" i="37" s="1"/>
  <c r="J13" i="37" s="1"/>
  <c r="I8" i="37"/>
  <c r="E17" i="40"/>
  <c r="E12" i="40" s="1"/>
  <c r="L8" i="23"/>
  <c r="N8" i="23" s="1"/>
  <c r="R8" i="23" s="1"/>
  <c r="I17" i="23"/>
  <c r="I13" i="23" s="1"/>
  <c r="I17" i="24"/>
  <c r="I13" i="24" s="1"/>
  <c r="L8" i="24"/>
  <c r="N8" i="24" s="1"/>
  <c r="R8" i="24" s="1"/>
  <c r="E17" i="31"/>
  <c r="E12" i="31" s="1"/>
  <c r="E18" i="31" s="1"/>
  <c r="I17" i="27"/>
  <c r="I13" i="27" s="1"/>
  <c r="L8" i="27"/>
  <c r="N8" i="27" s="1"/>
  <c r="R8" i="27" s="1"/>
  <c r="L8" i="30"/>
  <c r="N8" i="30" s="1"/>
  <c r="R8" i="30" s="1"/>
  <c r="I17" i="30"/>
  <c r="I13" i="30" s="1"/>
  <c r="I17" i="36"/>
  <c r="I13" i="36" s="1"/>
  <c r="L8" i="36"/>
  <c r="N8" i="36" s="1"/>
  <c r="R8" i="36" s="1"/>
  <c r="I17" i="42"/>
  <c r="I13" i="42" s="1"/>
  <c r="L8" i="42"/>
  <c r="N8" i="42" s="1"/>
  <c r="R8" i="42" s="1"/>
  <c r="R5" i="17"/>
  <c r="G17" i="32"/>
  <c r="G12" i="32" s="1"/>
  <c r="G18" i="32" s="1"/>
  <c r="G17" i="26"/>
  <c r="G12" i="26" s="1"/>
  <c r="G18" i="26" s="1"/>
  <c r="G17" i="27"/>
  <c r="G12" i="27" s="1"/>
  <c r="G18" i="27" s="1"/>
  <c r="G17" i="38"/>
  <c r="G12" i="38" s="1"/>
  <c r="G18" i="38" s="1"/>
  <c r="G17" i="33"/>
  <c r="G12" i="33" s="1"/>
  <c r="G18" i="33" s="1"/>
  <c r="G17" i="42"/>
  <c r="G12" i="42" s="1"/>
  <c r="G18" i="42" s="1"/>
  <c r="G17" i="43"/>
  <c r="G12" i="43" s="1"/>
  <c r="G18" i="43" s="1"/>
  <c r="R5" i="33"/>
  <c r="R5" i="26"/>
  <c r="G17" i="36"/>
  <c r="G12" i="36" s="1"/>
  <c r="G18" i="36" s="1"/>
  <c r="R5" i="42"/>
  <c r="E14" i="33"/>
  <c r="R5" i="32"/>
  <c r="R5" i="38"/>
  <c r="L8" i="43"/>
  <c r="N8" i="43" s="1"/>
  <c r="R8" i="43" s="1"/>
  <c r="G17" i="39"/>
  <c r="G12" i="39" s="1"/>
  <c r="G18" i="39" s="1"/>
  <c r="G5" i="37"/>
  <c r="L5" i="37" s="1"/>
  <c r="R5" i="36"/>
  <c r="E14" i="26"/>
  <c r="R5" i="27"/>
  <c r="R5" i="43"/>
  <c r="R5" i="39"/>
  <c r="E14" i="31"/>
  <c r="L12" i="28"/>
  <c r="L12" i="24"/>
  <c r="K13" i="43"/>
  <c r="K18" i="43" s="1"/>
  <c r="L12" i="30"/>
  <c r="R16" i="23"/>
  <c r="Q16" i="23"/>
  <c r="B12" i="23"/>
  <c r="B18" i="23" s="1"/>
  <c r="E14" i="16"/>
  <c r="L13" i="16"/>
  <c r="L13" i="21"/>
  <c r="E14" i="21"/>
  <c r="G17" i="21"/>
  <c r="G12" i="21" s="1"/>
  <c r="G18" i="21" s="1"/>
  <c r="E14" i="11"/>
  <c r="E17" i="22"/>
  <c r="L17" i="22" s="1"/>
  <c r="R5" i="16"/>
  <c r="E14" i="22"/>
  <c r="L13" i="22"/>
  <c r="L13" i="18"/>
  <c r="E14" i="18"/>
  <c r="R5" i="21"/>
  <c r="L4" i="18" l="1"/>
  <c r="N4" i="18" s="1"/>
  <c r="R4" i="18" s="1"/>
  <c r="R11" i="43"/>
  <c r="Q5" i="37"/>
  <c r="L12" i="40"/>
  <c r="Q12" i="40" s="1"/>
  <c r="E18" i="40"/>
  <c r="L13" i="17"/>
  <c r="L14" i="11"/>
  <c r="Q14" i="11" s="1"/>
  <c r="L14" i="33"/>
  <c r="R14" i="33" s="1"/>
  <c r="L14" i="21"/>
  <c r="R14" i="21" s="1"/>
  <c r="L14" i="26"/>
  <c r="R14" i="26" s="1"/>
  <c r="L14" i="16"/>
  <c r="Q14" i="16" s="1"/>
  <c r="L14" i="31"/>
  <c r="R14" i="31" s="1"/>
  <c r="L17" i="28"/>
  <c r="Q17" i="28" s="1"/>
  <c r="L12" i="31"/>
  <c r="Q12" i="31" s="1"/>
  <c r="L17" i="31"/>
  <c r="R17" i="31" s="1"/>
  <c r="L12" i="17"/>
  <c r="Q12" i="17" s="1"/>
  <c r="L17" i="23"/>
  <c r="R17" i="23" s="1"/>
  <c r="L17" i="17"/>
  <c r="R17" i="17" s="1"/>
  <c r="L17" i="24"/>
  <c r="R17" i="24" s="1"/>
  <c r="L17" i="40"/>
  <c r="R17" i="40" s="1"/>
  <c r="E17" i="39"/>
  <c r="L17" i="39" s="1"/>
  <c r="E17" i="36"/>
  <c r="E12" i="36" s="1"/>
  <c r="E18" i="36" s="1"/>
  <c r="L17" i="30"/>
  <c r="Q17" i="30" s="1"/>
  <c r="E14" i="42"/>
  <c r="L13" i="42"/>
  <c r="E14" i="23"/>
  <c r="L13" i="23"/>
  <c r="E14" i="39"/>
  <c r="L13" i="39"/>
  <c r="E17" i="32"/>
  <c r="E12" i="32" s="1"/>
  <c r="E18" i="32" s="1"/>
  <c r="E17" i="26"/>
  <c r="E12" i="26" s="1"/>
  <c r="E18" i="26" s="1"/>
  <c r="E14" i="36"/>
  <c r="L13" i="36"/>
  <c r="E14" i="28"/>
  <c r="L13" i="28"/>
  <c r="E17" i="43"/>
  <c r="E12" i="43" s="1"/>
  <c r="E18" i="43" s="1"/>
  <c r="L13" i="30"/>
  <c r="E14" i="30"/>
  <c r="L8" i="37"/>
  <c r="N8" i="37" s="1"/>
  <c r="R8" i="37" s="1"/>
  <c r="I17" i="37"/>
  <c r="I13" i="37" s="1"/>
  <c r="L13" i="40"/>
  <c r="E14" i="40"/>
  <c r="E17" i="33"/>
  <c r="E12" i="33" s="1"/>
  <c r="E18" i="33" s="1"/>
  <c r="E17" i="27"/>
  <c r="L13" i="27"/>
  <c r="E14" i="27"/>
  <c r="L13" i="32"/>
  <c r="E14" i="32"/>
  <c r="E17" i="38"/>
  <c r="E12" i="38" s="1"/>
  <c r="E18" i="38" s="1"/>
  <c r="E17" i="42"/>
  <c r="E12" i="42" s="1"/>
  <c r="E18" i="42" s="1"/>
  <c r="L13" i="38"/>
  <c r="E14" i="38"/>
  <c r="L13" i="24"/>
  <c r="E14" i="24"/>
  <c r="G17" i="37"/>
  <c r="G12" i="37" s="1"/>
  <c r="G18" i="37" s="1"/>
  <c r="E15" i="31"/>
  <c r="R5" i="37"/>
  <c r="E14" i="43"/>
  <c r="R12" i="30"/>
  <c r="Q12" i="30"/>
  <c r="R12" i="28"/>
  <c r="Q12" i="28"/>
  <c r="L13" i="43"/>
  <c r="R12" i="24"/>
  <c r="Q12" i="24"/>
  <c r="L12" i="23"/>
  <c r="R17" i="22"/>
  <c r="Q17" i="22"/>
  <c r="E12" i="22"/>
  <c r="E18" i="22" s="1"/>
  <c r="E17" i="21"/>
  <c r="L17" i="21" s="1"/>
  <c r="E17" i="16"/>
  <c r="L17" i="16" s="1"/>
  <c r="L14" i="18"/>
  <c r="L14" i="22"/>
  <c r="E15" i="22"/>
  <c r="L14" i="17"/>
  <c r="E15" i="17"/>
  <c r="L5" i="18" l="1"/>
  <c r="N5" i="18" s="1"/>
  <c r="L3" i="18"/>
  <c r="G17" i="18"/>
  <c r="G12" i="18" s="1"/>
  <c r="G18" i="18" s="1"/>
  <c r="R12" i="40"/>
  <c r="R14" i="11"/>
  <c r="Q14" i="31"/>
  <c r="R14" i="16"/>
  <c r="Q14" i="21"/>
  <c r="Q14" i="33"/>
  <c r="M13" i="31"/>
  <c r="R17" i="28"/>
  <c r="L14" i="39"/>
  <c r="Q14" i="39" s="1"/>
  <c r="L14" i="32"/>
  <c r="R14" i="32" s="1"/>
  <c r="L14" i="27"/>
  <c r="Q14" i="27" s="1"/>
  <c r="L14" i="42"/>
  <c r="Q14" i="42" s="1"/>
  <c r="L14" i="38"/>
  <c r="R14" i="38" s="1"/>
  <c r="Q14" i="26"/>
  <c r="L14" i="40"/>
  <c r="Q14" i="40" s="1"/>
  <c r="L14" i="36"/>
  <c r="R14" i="36" s="1"/>
  <c r="Q17" i="31"/>
  <c r="Q17" i="23"/>
  <c r="R12" i="17"/>
  <c r="Q17" i="17"/>
  <c r="R12" i="31"/>
  <c r="L12" i="26"/>
  <c r="Q12" i="26" s="1"/>
  <c r="R17" i="30"/>
  <c r="E15" i="43"/>
  <c r="Q17" i="24"/>
  <c r="E15" i="26"/>
  <c r="L17" i="43"/>
  <c r="R17" i="43" s="1"/>
  <c r="L17" i="32"/>
  <c r="R17" i="32" s="1"/>
  <c r="E15" i="27"/>
  <c r="L12" i="43"/>
  <c r="R12" i="43" s="1"/>
  <c r="E15" i="39"/>
  <c r="E15" i="36"/>
  <c r="L17" i="36"/>
  <c r="Q17" i="36" s="1"/>
  <c r="L17" i="38"/>
  <c r="R17" i="38" s="1"/>
  <c r="L17" i="33"/>
  <c r="Q17" i="33" s="1"/>
  <c r="Q17" i="40"/>
  <c r="E15" i="42"/>
  <c r="E12" i="39"/>
  <c r="L17" i="27"/>
  <c r="R17" i="27" s="1"/>
  <c r="E12" i="27"/>
  <c r="L12" i="33"/>
  <c r="Q12" i="33" s="1"/>
  <c r="E15" i="32"/>
  <c r="E15" i="33"/>
  <c r="E17" i="37"/>
  <c r="E12" i="37" s="1"/>
  <c r="E18" i="37" s="1"/>
  <c r="L14" i="28"/>
  <c r="E15" i="28"/>
  <c r="E15" i="38"/>
  <c r="L13" i="37"/>
  <c r="E14" i="37"/>
  <c r="L14" i="30"/>
  <c r="E15" i="30"/>
  <c r="L17" i="42"/>
  <c r="Q17" i="42" s="1"/>
  <c r="L17" i="26"/>
  <c r="Q17" i="26" s="1"/>
  <c r="L14" i="24"/>
  <c r="E15" i="24"/>
  <c r="E15" i="40"/>
  <c r="L14" i="23"/>
  <c r="E15" i="23"/>
  <c r="L15" i="31"/>
  <c r="R15" i="31" s="1"/>
  <c r="L14" i="43"/>
  <c r="Q14" i="43" s="1"/>
  <c r="L12" i="42"/>
  <c r="L12" i="32"/>
  <c r="L12" i="36"/>
  <c r="L12" i="38"/>
  <c r="R17" i="39"/>
  <c r="Q17" i="39"/>
  <c r="R12" i="23"/>
  <c r="Q12" i="23"/>
  <c r="R17" i="16"/>
  <c r="Q17" i="16"/>
  <c r="R17" i="21"/>
  <c r="Q17" i="21"/>
  <c r="R14" i="17"/>
  <c r="Q14" i="17"/>
  <c r="R14" i="22"/>
  <c r="Q14" i="22"/>
  <c r="R14" i="18"/>
  <c r="Q14" i="18"/>
  <c r="E15" i="16"/>
  <c r="E12" i="21"/>
  <c r="E18" i="21" s="1"/>
  <c r="L12" i="22"/>
  <c r="E15" i="21"/>
  <c r="E12" i="16"/>
  <c r="E18" i="16" s="1"/>
  <c r="M13" i="22"/>
  <c r="L15" i="22"/>
  <c r="M13" i="17"/>
  <c r="L15" i="17"/>
  <c r="Q13" i="31" l="1"/>
  <c r="N3" i="18"/>
  <c r="R3" i="18" s="1"/>
  <c r="Q5" i="18"/>
  <c r="E17" i="18" s="1"/>
  <c r="E15" i="18" s="1"/>
  <c r="R5" i="18"/>
  <c r="L12" i="27"/>
  <c r="Q12" i="27" s="1"/>
  <c r="E18" i="27"/>
  <c r="L12" i="39"/>
  <c r="R12" i="39" s="1"/>
  <c r="E18" i="39"/>
  <c r="R14" i="39"/>
  <c r="R14" i="40"/>
  <c r="R13" i="31"/>
  <c r="Q14" i="32"/>
  <c r="R14" i="27"/>
  <c r="R14" i="42"/>
  <c r="Q14" i="38"/>
  <c r="M13" i="27"/>
  <c r="L15" i="33"/>
  <c r="Q15" i="33" s="1"/>
  <c r="Q14" i="36"/>
  <c r="M13" i="32"/>
  <c r="L15" i="21"/>
  <c r="Q15" i="21" s="1"/>
  <c r="M13" i="26"/>
  <c r="L15" i="36"/>
  <c r="R15" i="36" s="1"/>
  <c r="M13" i="43"/>
  <c r="L15" i="16"/>
  <c r="R15" i="16" s="1"/>
  <c r="L14" i="37"/>
  <c r="Q14" i="37" s="1"/>
  <c r="L15" i="43"/>
  <c r="Q15" i="43" s="1"/>
  <c r="L15" i="26"/>
  <c r="R15" i="26" s="1"/>
  <c r="R17" i="36"/>
  <c r="Q17" i="32"/>
  <c r="M13" i="36"/>
  <c r="R17" i="33"/>
  <c r="R12" i="26"/>
  <c r="L15" i="27"/>
  <c r="Q15" i="27" s="1"/>
  <c r="L15" i="32"/>
  <c r="Q15" i="32" s="1"/>
  <c r="Q17" i="38"/>
  <c r="Q17" i="43"/>
  <c r="Q12" i="43"/>
  <c r="R12" i="33"/>
  <c r="Q17" i="27"/>
  <c r="L17" i="37"/>
  <c r="Q17" i="37" s="1"/>
  <c r="E15" i="37"/>
  <c r="R17" i="42"/>
  <c r="M13" i="39"/>
  <c r="L15" i="39"/>
  <c r="M13" i="33"/>
  <c r="L15" i="42"/>
  <c r="M13" i="42"/>
  <c r="L15" i="28"/>
  <c r="M13" i="28"/>
  <c r="Q14" i="28"/>
  <c r="R14" i="28"/>
  <c r="L15" i="38"/>
  <c r="M13" i="38"/>
  <c r="L15" i="23"/>
  <c r="M13" i="23"/>
  <c r="R14" i="23"/>
  <c r="Q14" i="23"/>
  <c r="R17" i="26"/>
  <c r="M13" i="40"/>
  <c r="L15" i="40"/>
  <c r="M13" i="30"/>
  <c r="L15" i="30"/>
  <c r="M13" i="24"/>
  <c r="L15" i="24"/>
  <c r="Q14" i="30"/>
  <c r="R14" i="30"/>
  <c r="R14" i="24"/>
  <c r="Q14" i="24"/>
  <c r="Q15" i="31"/>
  <c r="R14" i="43"/>
  <c r="R12" i="32"/>
  <c r="Q12" i="32"/>
  <c r="R12" i="42"/>
  <c r="Q12" i="42"/>
  <c r="L12" i="37"/>
  <c r="Q12" i="36"/>
  <c r="R12" i="36"/>
  <c r="R12" i="38"/>
  <c r="Q12" i="38"/>
  <c r="R15" i="17"/>
  <c r="Q15" i="17"/>
  <c r="R15" i="22"/>
  <c r="Q15" i="22"/>
  <c r="R13" i="17"/>
  <c r="Q13" i="17"/>
  <c r="R13" i="22"/>
  <c r="Q13" i="22"/>
  <c r="R12" i="22"/>
  <c r="Q12" i="22"/>
  <c r="L12" i="21"/>
  <c r="M13" i="16"/>
  <c r="L12" i="16"/>
  <c r="M13" i="21"/>
  <c r="Q13" i="27" l="1"/>
  <c r="R13" i="33"/>
  <c r="R13" i="43"/>
  <c r="Q13" i="21"/>
  <c r="Q13" i="26"/>
  <c r="R13" i="36"/>
  <c r="Q13" i="16"/>
  <c r="R13" i="32"/>
  <c r="L17" i="18"/>
  <c r="R17" i="18" s="1"/>
  <c r="E12" i="18"/>
  <c r="L12" i="18" s="1"/>
  <c r="M13" i="18"/>
  <c r="L15" i="18"/>
  <c r="R12" i="27"/>
  <c r="Q12" i="39"/>
  <c r="Q13" i="32"/>
  <c r="R15" i="21"/>
  <c r="R15" i="33"/>
  <c r="R13" i="26"/>
  <c r="Q15" i="36"/>
  <c r="R14" i="37"/>
  <c r="Q13" i="43"/>
  <c r="R13" i="27"/>
  <c r="Q15" i="16"/>
  <c r="M13" i="37"/>
  <c r="Q15" i="26"/>
  <c r="R15" i="43"/>
  <c r="R15" i="32"/>
  <c r="Q13" i="36"/>
  <c r="R15" i="27"/>
  <c r="R17" i="37"/>
  <c r="L15" i="37"/>
  <c r="R15" i="37" s="1"/>
  <c r="Q15" i="39"/>
  <c r="R15" i="39"/>
  <c r="R13" i="39"/>
  <c r="Q13" i="39"/>
  <c r="Q13" i="33"/>
  <c r="Q13" i="42"/>
  <c r="R13" i="42"/>
  <c r="R15" i="42"/>
  <c r="Q15" i="42"/>
  <c r="R13" i="23"/>
  <c r="Q13" i="23"/>
  <c r="R15" i="24"/>
  <c r="Q15" i="24"/>
  <c r="R15" i="23"/>
  <c r="Q15" i="23"/>
  <c r="R13" i="40"/>
  <c r="Q13" i="40"/>
  <c r="Q13" i="38"/>
  <c r="R13" i="38"/>
  <c r="Q13" i="24"/>
  <c r="R13" i="24"/>
  <c r="Q15" i="30"/>
  <c r="R15" i="30"/>
  <c r="Q15" i="38"/>
  <c r="R15" i="38"/>
  <c r="Q13" i="30"/>
  <c r="R13" i="30"/>
  <c r="Q15" i="40"/>
  <c r="R15" i="40"/>
  <c r="R13" i="28"/>
  <c r="Q13" i="28"/>
  <c r="R15" i="28"/>
  <c r="Q15" i="28"/>
  <c r="R12" i="37"/>
  <c r="Q12" i="37"/>
  <c r="R12" i="21"/>
  <c r="Q12" i="21"/>
  <c r="R12" i="16"/>
  <c r="Q12" i="16"/>
  <c r="R13" i="21"/>
  <c r="R13" i="16"/>
  <c r="Q13" i="37" l="1"/>
  <c r="E18" i="18"/>
  <c r="Q17" i="18"/>
  <c r="R15" i="18"/>
  <c r="Q15" i="18"/>
  <c r="Q13" i="18"/>
  <c r="R13" i="18"/>
  <c r="R12" i="18"/>
  <c r="Q12" i="18"/>
  <c r="R13" i="37"/>
  <c r="Q15" i="37"/>
  <c r="L3" i="11" l="1"/>
  <c r="C12" i="11"/>
  <c r="C18" i="11" s="1"/>
  <c r="N3" i="11" l="1"/>
  <c r="R3" i="11" s="1"/>
  <c r="H12" i="11" l="1"/>
  <c r="H18" i="11" s="1"/>
  <c r="L5" i="11"/>
  <c r="Q5" i="11" l="1"/>
  <c r="R5" i="11"/>
  <c r="E17" i="11" l="1"/>
  <c r="L17" i="11" s="1"/>
  <c r="R17" i="11" l="1"/>
  <c r="Q17" i="11"/>
  <c r="E15" i="11"/>
  <c r="E12" i="11"/>
  <c r="E18" i="11" s="1"/>
  <c r="M13" i="11" l="1"/>
  <c r="L12" i="11"/>
  <c r="L15" i="11"/>
  <c r="Q13" i="11" l="1"/>
  <c r="R13" i="11"/>
  <c r="R15" i="11"/>
  <c r="Q15" i="11"/>
  <c r="R12" i="11"/>
  <c r="Q12" i="11"/>
  <c r="L5" i="29" l="1"/>
  <c r="L3" i="29"/>
  <c r="N3" i="29" l="1"/>
  <c r="R3" i="29" s="1"/>
  <c r="Q5" i="29"/>
  <c r="E17" i="29" s="1"/>
  <c r="R5" i="29"/>
  <c r="E15" i="29" l="1"/>
  <c r="E12" i="29"/>
  <c r="E18" i="29" s="1"/>
  <c r="L17" i="29"/>
  <c r="R17" i="29" s="1"/>
  <c r="L12" i="29" l="1"/>
  <c r="Q12" i="29" s="1"/>
  <c r="L15" i="29"/>
  <c r="R15" i="29" s="1"/>
  <c r="M13" i="29"/>
  <c r="Q17" i="29"/>
  <c r="R12" i="29" l="1"/>
  <c r="R13" i="29"/>
  <c r="Q15" i="29"/>
  <c r="Q13" i="2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<sst xmlns="http://schemas.openxmlformats.org/spreadsheetml/2006/main" count="1164" uniqueCount="109">
  <si>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</si>
  <si>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</si>
  <si>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</si>
  <si>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</si>
  <si>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</si>
  <si>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</si>
  <si>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</si>
  <si>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</si>
  <si>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</si>
  <si>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</si>
  <si>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</si>
  <si>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</si>
  <si>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</si>
  <si>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</si>
  <si>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</si>
  <si>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</si>
  <si>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</si>
  <si>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</si>
  <si>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</si>
  <si>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</si>
  <si>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</si>
  <si>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</si>
  <si>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</si>
  <si>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</si>
  <si>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</si>
  <si>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</si>
  <si>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</si>
  <si>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</si>
  <si>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</si>
  <si>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</si>
  <si>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</si>
  <si>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</si>
  <si>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</si>
  <si>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</si>
  <si>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</si>
  <si>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</si>
  <si>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</si>
  <si>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</si>
  <si>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</si>
  <si>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</si>
  <si>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</si>
  <si>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</si>
  <si>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</si>
  <si>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</si>
  <si>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</si>
  <si>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</si>
  <si>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</si>
  <si>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</si>
  <si>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</si>
  <si>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</si>
  <si>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</si>
  <si>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</si>
  <si>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</si>
  <si>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</si>
  <si>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</si>
  <si>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</si>
  <si>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</si>
  <si>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</si>
  <si>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</si>
  <si>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</si>
  <si>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</si>
  <si>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</si>
  <si>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</si>
  <si>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</si>
  <si>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</si>
  <si>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</si>
  <si>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</si>
  <si>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</si>
  <si>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</si>
  <si>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</si>
  <si>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</si>
  <si>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</si>
  <si>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</si>
  <si>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</si>
  <si>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</si>
  <si>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</si>
  <si>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</si>
  <si>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</si>
  <si>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</si>
  <si>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</si>
  <si>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</si>
  <si>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</si>
  <si>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</si>
  <si>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</si>
  <si>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</si>
  <si>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</si>
  <si>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</si>
  <si>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</si>
  <si>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</si>
  <si>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</si>
  <si>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</si>
  <si>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</si>
  <si>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</si>
  <si>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</si>
  <si>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</si>
  <si>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</si>
  <si>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</si>
  <si>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</si>
  <si>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</si>
  <si>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</si>
  <si>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</si>
  <si>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</si>
  <si>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</si>
  <si>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</si>
  <si>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</si>
  <si>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</si>
  <si>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</si>
  <si>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steel</t>
  </si>
  <si>
    <t>Scrap collection and processing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</si>
</sst>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41" fontId="0" fillId="2" borderId="7" xfId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</sheetData>
      <sheetData sheetId="11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</sheetData>
      <sheetData sheetId="12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 t="str">
            <v>...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>
      <selection activeCell="B7" sqref="B7"/>
    </sheetView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108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5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6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3" sqref="J3"/>
    </sheetView>
  </sheetViews>
  <sheetFormatPr baseColWidth="10" defaultRowHeight="16"/>
  <cols>
    <col min="2" max="2" width="13.5703125" bestFit="1" customWidth="1"/>
  </cols>
  <sheetData>
    <row r="1" spans="1:27">
      <c r="A1">
        <v>16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426975.54560568702</v>
      </c>
      <c r="D3" s="1">
        <f>VLOOKUP($B3, '[1]Pro of iron ore'!$B$2:$X$31, $A$1, FALSE)*(1-VLOOKUP($B3, '[1]Foundry share'!$B$2:$X$31, $A$1, FALSE))</f>
        <v>266433.0907090457</v>
      </c>
      <c r="E3" s="47">
        <f>VLOOKUP($B3, '[1]Iron content'!$B$2:$X$31, $A$1, FALSE)</f>
        <v>0.62400082030715942</v>
      </c>
      <c r="F3" s="1">
        <f>VLOOKUP($B3, '[1]Exp of usable iron ore'!$B$2:$X$31, $A$1, FALSE)*parameters!$B$12</f>
        <v>85.8</v>
      </c>
      <c r="G3" s="1">
        <f>VLOOKUP($B3, '[1]Pro of pig iron'!$B$2:$X$31, $A$1, FALSE)*(1-VLOOKUP($B3, '[1]Foundry share'!$B$2:$X$31, $A$1, FALSE))</f>
        <v>694419.49989738851</v>
      </c>
      <c r="H3" s="1">
        <f>VLOOKUP($B3, '[1]Exp of pig iron'!$B$2:$X$31, $A$1, FALSE)</f>
        <v>242</v>
      </c>
      <c r="I3" s="1">
        <f>VLOOKUP($B3, '[1]Imp of pig iron'!$B$2:$X$31, $A$1, FALSE)</f>
        <v>193</v>
      </c>
      <c r="J3" s="1">
        <f>VLOOKUP($B3, '[1]Pro of DRI'!$B$2:$X$31, $A$1, FALSE)*(1-VLOOKUP($B3, '[1]Foundry share'!$B$2:$X$31, $A$1, FALSE))</f>
        <v>972.91971381690519</v>
      </c>
      <c r="K3" s="1">
        <f>VLOOKUP($B3, '[1]Exp of DRI'!$B$2:$X$31, $A$1, FALSE)</f>
        <v>60</v>
      </c>
      <c r="L3" s="1">
        <f>VLOOKUP($B3, '[1]Imp of DRI'!$B$2:$X$31, $A$1, FALSE)</f>
        <v>405</v>
      </c>
      <c r="M3" s="1">
        <f>VLOOKUP($B3, '[1]Exp of scrap'!$B$2:$X$31, $A$1, FALSE)</f>
        <v>1</v>
      </c>
      <c r="N3" s="1">
        <f>VLOOKUP($B3, '[1]Imp of scrap'!$B$2:$X$31, $A$1, FALSE)</f>
        <v>2564</v>
      </c>
      <c r="O3" s="1">
        <f>VLOOKUP($B3, '[1]Pro of BOF steel'!$B$2:$X$31, $A$1, FALSE)</f>
        <v>767900</v>
      </c>
      <c r="P3" s="1">
        <f>VLOOKUP($B3, '[1]Pro of OHF steel'!$B$2:$X$31, $A$1, FALSE)</f>
        <v>0</v>
      </c>
      <c r="Q3" s="1">
        <f>VLOOKUP($B3, '[1]Pro of EAF steel'!$B$2:$X$31, $A$1, FALSE)</f>
        <v>54337</v>
      </c>
      <c r="R3" s="1">
        <f>VLOOKUP($B3, '[1]Exp of ingots and semis'!$B$2:$X$31, $A$1, FALSE)</f>
        <v>7</v>
      </c>
      <c r="S3" s="1">
        <f>VLOOKUP($B3, '[1]Imp of ingots and semis'!$B$2:$X$31, $A$1, FALSE)</f>
        <v>347</v>
      </c>
      <c r="T3" s="1">
        <f>VLOOKUP($B3, '[1]Pro of hr long'!$B$2:$X$31, $A$1, FALSE)+VLOOKUP($B3, '[1]Pro of seamless tubes'!$B$2:$X$31, $A$1, FALSE)</f>
        <v>555250</v>
      </c>
      <c r="U3" s="1">
        <f>VLOOKUP($B3, '[1]Exp of long'!$B$2:$X$31, $A$1, FALSE)</f>
        <v>38327</v>
      </c>
      <c r="V3" s="1">
        <f>VLOOKUP($B3, '[1]Imp of long'!$B$2:$X$31, $A$1, FALSE)</f>
        <v>1835</v>
      </c>
      <c r="W3" s="1">
        <f>VLOOKUP($B3, '[1]Pro of hr flat'!$B$2:$X$31, $A$1, FALSE)*parameters!$B$8</f>
        <v>308357.49786628736</v>
      </c>
      <c r="X3" s="1">
        <f>VLOOKUP($B3, '[1]Exp of flat'!$B$2:$X$31, $A$1, FALSE)</f>
        <v>43671</v>
      </c>
      <c r="Y3" s="1">
        <f>VLOOKUP($B3, '[1]Imp of flat'!$B$2:$X$31, $A$1, FALSE)</f>
        <v>12082</v>
      </c>
      <c r="Z3" s="1">
        <f>VLOOKUP($B3, '[1]Indirect exp'!$B$2:$X$31, $A$1, FALSE)</f>
        <v>67458</v>
      </c>
      <c r="AA3" s="1">
        <f>VLOOKUP($B3, '[1]Indirect imp'!$B$2:$X$31, $A$1, FALSE)</f>
        <v>12329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119747.52957597384</v>
      </c>
      <c r="D4" s="1">
        <f>VLOOKUP($B4, '[1]Pro of iron ore'!$B$2:$X$31, $A$1, FALSE)*(1-VLOOKUP($B4, '[1]Foundry share'!$B$2:$X$31, $A$1, FALSE))</f>
        <v>74243.468337103768</v>
      </c>
      <c r="E4" s="47">
        <f>VLOOKUP($B4, '[1]Iron content'!$B$2:$X$31, $A$1, FALSE)</f>
        <v>0.62</v>
      </c>
      <c r="F4" s="1">
        <f>VLOOKUP($B4, '[1]Exp of usable iron ore'!$B$2:$X$31, $A$1, FALSE)*parameters!$B$12</f>
        <v>6398.6</v>
      </c>
      <c r="G4" s="1">
        <f>VLOOKUP($B4, '[1]Pro of pig iron'!$B$2:$X$31, $A$1, FALSE)*(1-VLOOKUP($B4, '[1]Foundry share'!$B$2:$X$31, $A$1, FALSE))</f>
        <v>47869.508815856323</v>
      </c>
      <c r="H4" s="1">
        <f>VLOOKUP($B4, '[1]Exp of pig iron'!$B$2:$X$31, $A$1, FALSE)</f>
        <v>835</v>
      </c>
      <c r="I4" s="1">
        <f>VLOOKUP($B4, '[1]Imp of pig iron'!$B$2:$X$31, $A$1, FALSE)</f>
        <v>27</v>
      </c>
      <c r="J4" s="1">
        <f>VLOOKUP($B4, '[1]Pro of DRI'!$B$2:$X$31, $A$1, FALSE)*(1-VLOOKUP($B4, '[1]Foundry share'!$B$2:$X$31, $A$1, FALSE))</f>
        <v>21295.970078648912</v>
      </c>
      <c r="K4" s="1">
        <f>VLOOKUP($B4, '[1]Exp of DRI'!$B$2:$X$31, $A$1, FALSE)</f>
        <v>167</v>
      </c>
      <c r="L4" s="1">
        <f>VLOOKUP($B4, '[1]Imp of DRI'!$B$2:$X$31, $A$1, FALSE)</f>
        <v>178</v>
      </c>
      <c r="M4" s="1">
        <f>VLOOKUP($B4, '[1]Exp of scrap'!$B$2:$X$31, $A$1, FALSE)</f>
        <v>0</v>
      </c>
      <c r="N4" s="1">
        <f>VLOOKUP($B4, '[1]Imp of scrap'!$B$2:$X$31, $A$1, FALSE)</f>
        <v>5699</v>
      </c>
      <c r="O4" s="1">
        <f>VLOOKUP($B4, '[1]Pro of BOF steel'!$B$2:$X$31, $A$1, FALSE)</f>
        <v>37045</v>
      </c>
      <c r="P4" s="1">
        <f>VLOOKUP($B4, '[1]Pro of OHF steel'!$B$2:$X$31, $A$1, FALSE)</f>
        <v>35</v>
      </c>
      <c r="Q4" s="1">
        <f>VLOOKUP($B4, '[1]Pro of EAF steel'!$B$2:$X$31, $A$1, FALSE)</f>
        <v>50211</v>
      </c>
      <c r="R4" s="1">
        <f>VLOOKUP($B4, '[1]Exp of ingots and semis'!$B$2:$X$31, $A$1, FALSE)</f>
        <v>1601</v>
      </c>
      <c r="S4" s="1">
        <f>VLOOKUP($B4, '[1]Imp of ingots and semis'!$B$2:$X$31, $A$1, FALSE)</f>
        <v>413</v>
      </c>
      <c r="T4" s="1">
        <f>VLOOKUP($B4, '[1]Pro of hr long'!$B$2:$X$31, $A$1, FALSE)+VLOOKUP($B4, '[1]Pro of seamless tubes'!$B$2:$X$31, $A$1, FALSE)</f>
        <v>43581</v>
      </c>
      <c r="U4" s="1">
        <f>VLOOKUP($B4, '[1]Exp of long'!$B$2:$X$31, $A$1, FALSE)</f>
        <v>908</v>
      </c>
      <c r="V4" s="1">
        <f>VLOOKUP($B4, '[1]Imp of long'!$B$2:$X$31, $A$1, FALSE)</f>
        <v>1626</v>
      </c>
      <c r="W4" s="1">
        <f>VLOOKUP($B4, '[1]Pro of hr flat'!$B$2:$X$31, $A$1, FALSE)*parameters!$B$8</f>
        <v>47498.13229018492</v>
      </c>
      <c r="X4" s="1">
        <f>VLOOKUP($B4, '[1]Exp of flat'!$B$2:$X$31, $A$1, FALSE)</f>
        <v>5899</v>
      </c>
      <c r="Y4" s="1">
        <f>VLOOKUP($B4, '[1]Imp of flat'!$B$2:$X$31, $A$1, FALSE)</f>
        <v>6744</v>
      </c>
      <c r="Z4" s="1">
        <f>VLOOKUP($B4, '[1]Indirect exp'!$B$2:$X$31, $A$1, FALSE)</f>
        <v>5296</v>
      </c>
      <c r="AA4" s="1">
        <f>VLOOKUP($B4, '[1]Indirect imp'!$B$2:$X$31, $A$1, FALSE)</f>
        <v>4423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0</v>
      </c>
      <c r="D5" s="1">
        <f>VLOOKUP($B5, '[1]Pro of iron ore'!$B$2:$X$31, $A$1, FALSE)*(1-VLOOKUP($B5, '[1]Foundry share'!$B$2:$X$31, $A$1, FALSE))</f>
        <v>0</v>
      </c>
      <c r="E5" s="47">
        <f>VLOOKUP($B5, '[1]Iron content'!$B$2:$X$31, $A$1, FALSE)</f>
        <v>0</v>
      </c>
      <c r="F5" s="1">
        <f>VLOOKUP($B5, '[1]Exp of usable iron ore'!$B$2:$X$31, $A$1, FALSE)*parameters!$B$12</f>
        <v>0</v>
      </c>
      <c r="G5" s="1">
        <f>VLOOKUP($B5, '[1]Pro of pig iron'!$B$2:$X$31, $A$1, FALSE)*(1-VLOOKUP($B5, '[1]Foundry share'!$B$2:$X$31, $A$1, FALSE))</f>
        <v>83872</v>
      </c>
      <c r="H5" s="1">
        <f>VLOOKUP($B5, '[1]Exp of pig iron'!$B$2:$X$31, $A$1, FALSE)</f>
        <v>47</v>
      </c>
      <c r="I5" s="1">
        <f>VLOOKUP($B5, '[1]Imp of pig iron'!$B$2:$X$31, $A$1, FALSE)</f>
        <v>167</v>
      </c>
      <c r="J5" s="1">
        <f>VLOOKUP($B5, '[1]Pro of DRI'!$B$2:$X$31, $A$1, FALSE)*(1-VLOOKUP($B5, '[1]Foundry share'!$B$2:$X$31, $A$1, FALSE))</f>
        <v>0</v>
      </c>
      <c r="K5" s="1">
        <f>VLOOKUP($B5, '[1]Exp of DRI'!$B$2:$X$31, $A$1, FALSE)</f>
        <v>1</v>
      </c>
      <c r="L5" s="1">
        <f>VLOOKUP($B5, '[1]Imp of DRI'!$B$2:$X$31, $A$1, FALSE)</f>
        <v>124</v>
      </c>
      <c r="M5" s="1">
        <f>VLOOKUP($B5, '[1]Exp of scrap'!$B$2:$X$31, $A$1, FALSE)</f>
        <v>7351</v>
      </c>
      <c r="N5" s="1">
        <f>VLOOKUP($B5, '[1]Imp of scrap'!$B$2:$X$31, $A$1, FALSE)</f>
        <v>370</v>
      </c>
      <c r="O5" s="1">
        <f>VLOOKUP($B5, '[1]Pro of BOF steel'!$B$2:$X$31, $A$1, FALSE)</f>
        <v>84987</v>
      </c>
      <c r="P5" s="1">
        <f>VLOOKUP($B5, '[1]Pro of OHF steel'!$B$2:$X$31, $A$1, FALSE)</f>
        <v>0</v>
      </c>
      <c r="Q5" s="1">
        <f>VLOOKUP($B5, '[1]Pro of EAF steel'!$B$2:$X$31, $A$1, FALSE)</f>
        <v>25679</v>
      </c>
      <c r="R5" s="1">
        <f>VLOOKUP($B5, '[1]Exp of ingots and semis'!$B$2:$X$31, $A$1, FALSE)</f>
        <v>5330</v>
      </c>
      <c r="S5" s="1">
        <f>VLOOKUP($B5, '[1]Imp of ingots and semis'!$B$2:$X$31, $A$1, FALSE)</f>
        <v>259</v>
      </c>
      <c r="T5" s="1">
        <f>VLOOKUP($B5, '[1]Pro of hr long'!$B$2:$X$31, $A$1, FALSE)+VLOOKUP($B5, '[1]Pro of seamless tubes'!$B$2:$X$31, $A$1, FALSE)</f>
        <v>32643</v>
      </c>
      <c r="U5" s="1">
        <f>VLOOKUP($B5, '[1]Exp of long'!$B$2:$X$31, $A$1, FALSE)</f>
        <v>5243</v>
      </c>
      <c r="V5" s="1">
        <f>VLOOKUP($B5, '[1]Imp of long'!$B$2:$X$31, $A$1, FALSE)</f>
        <v>1154</v>
      </c>
      <c r="W5" s="1">
        <f>VLOOKUP($B5, '[1]Pro of hr flat'!$B$2:$X$31, $A$1, FALSE)*parameters!$B$8</f>
        <v>63534.54480796586</v>
      </c>
      <c r="X5" s="1">
        <f>VLOOKUP($B5, '[1]Exp of flat'!$B$2:$X$31, $A$1, FALSE)</f>
        <v>27783</v>
      </c>
      <c r="Y5" s="1">
        <f>VLOOKUP($B5, '[1]Imp of flat'!$B$2:$X$31, $A$1, FALSE)</f>
        <v>4884</v>
      </c>
      <c r="Z5" s="1">
        <f>VLOOKUP($B5, '[1]Indirect exp'!$B$2:$X$31, $A$1, FALSE)</f>
        <v>22959</v>
      </c>
      <c r="AA5" s="1">
        <f>VLOOKUP($B5, '[1]Indirect imp'!$B$2:$X$31, $A$1, FALSE)</f>
        <v>7386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56100</v>
      </c>
      <c r="D6" s="1">
        <f>VLOOKUP($B6, '[1]Pro of iron ore'!$B$2:$X$31, $A$1, FALSE)*(1-VLOOKUP($B6, '[1]Foundry share'!$B$2:$X$31, $A$1, FALSE))</f>
        <v>35400</v>
      </c>
      <c r="E6" s="47">
        <f>VLOOKUP($B6, '[1]Iron content'!$B$2:$X$31, $A$1, FALSE)</f>
        <v>0.63101604278074863</v>
      </c>
      <c r="F6" s="1">
        <f>VLOOKUP($B6, '[1]Exp of usable iron ore'!$B$2:$X$31, $A$1, FALSE)*parameters!$B$12</f>
        <v>8050.25</v>
      </c>
      <c r="G6" s="1">
        <f>VLOOKUP($B6, '[1]Pro of pig iron'!$B$2:$X$31, $A$1, FALSE)*(1-VLOOKUP($B6, '[1]Foundry share'!$B$2:$X$31, $A$1, FALSE))</f>
        <v>29374</v>
      </c>
      <c r="H6" s="1">
        <f>VLOOKUP($B6, '[1]Exp of pig iron'!$B$2:$X$31, $A$1, FALSE)</f>
        <v>52</v>
      </c>
      <c r="I6" s="1">
        <f>VLOOKUP($B6, '[1]Imp of pig iron'!$B$2:$X$31, $A$1, FALSE)</f>
        <v>4603</v>
      </c>
      <c r="J6" s="1">
        <f>VLOOKUP($B6, '[1]Pro of DRI'!$B$2:$X$31, $A$1, FALSE)*(1-VLOOKUP($B6, '[1]Foundry share'!$B$2:$X$31, $A$1, FALSE))</f>
        <v>1300</v>
      </c>
      <c r="K6" s="1">
        <f>VLOOKUP($B6, '[1]Exp of DRI'!$B$2:$X$31, $A$1, FALSE)</f>
        <v>4</v>
      </c>
      <c r="L6" s="1">
        <f>VLOOKUP($B6, '[1]Imp of DRI'!$B$2:$X$31, $A$1, FALSE)</f>
        <v>2392</v>
      </c>
      <c r="M6" s="1">
        <f>VLOOKUP($B6, '[1]Exp of scrap'!$B$2:$X$31, $A$1, FALSE)</f>
        <v>15340</v>
      </c>
      <c r="N6" s="1">
        <f>VLOOKUP($B6, '[1]Imp of scrap'!$B$2:$X$31, $A$1, FALSE)</f>
        <v>4215</v>
      </c>
      <c r="O6" s="1">
        <f>VLOOKUP($B6, '[1]Pro of BOF steel'!$B$2:$X$31, $A$1, FALSE)</f>
        <v>33000</v>
      </c>
      <c r="P6" s="1">
        <f>VLOOKUP($B6, '[1]Pro of OHF steel'!$B$2:$X$31, $A$1, FALSE)</f>
        <v>0</v>
      </c>
      <c r="Q6" s="1">
        <f>VLOOKUP($B6, '[1]Pro of EAF steel'!$B$2:$X$31, $A$1, FALSE)</f>
        <v>55174</v>
      </c>
      <c r="R6" s="1">
        <f>VLOOKUP($B6, '[1]Exp of ingots and semis'!$B$2:$X$31, $A$1, FALSE)</f>
        <v>295</v>
      </c>
      <c r="S6" s="1">
        <f>VLOOKUP($B6, '[1]Imp of ingots and semis'!$B$2:$X$31, $A$1, FALSE)</f>
        <v>9562</v>
      </c>
      <c r="T6" s="1">
        <f>VLOOKUP($B6, '[1]Pro of hr long'!$B$2:$X$31, $A$1, FALSE)+VLOOKUP($B6, '[1]Pro of seamless tubes'!$B$2:$X$31, $A$1, FALSE)</f>
        <v>26569</v>
      </c>
      <c r="U6" s="1">
        <f>VLOOKUP($B6, '[1]Exp of long'!$B$2:$X$31, $A$1, FALSE)</f>
        <v>2846</v>
      </c>
      <c r="V6" s="1">
        <f>VLOOKUP($B6, '[1]Imp of long'!$B$2:$X$31, $A$1, FALSE)</f>
        <v>7147</v>
      </c>
      <c r="W6" s="1">
        <f>VLOOKUP($B6, '[1]Pro of hr flat'!$B$2:$X$31, $A$1, FALSE)*parameters!$B$8</f>
        <v>62049.044096728307</v>
      </c>
      <c r="X6" s="1">
        <f>VLOOKUP($B6, '[1]Exp of flat'!$B$2:$X$31, $A$1, FALSE)</f>
        <v>6545</v>
      </c>
      <c r="Y6" s="1">
        <f>VLOOKUP($B6, '[1]Imp of flat'!$B$2:$X$31, $A$1, FALSE)</f>
        <v>15640</v>
      </c>
      <c r="Z6" s="1">
        <f>VLOOKUP($B6, '[1]Indirect exp'!$B$2:$X$31, $A$1, FALSE)</f>
        <v>22398</v>
      </c>
      <c r="AA6" s="1">
        <f>VLOOKUP($B6, '[1]Indirect imp'!$B$2:$X$31, $A$1, FALSE)</f>
        <v>39132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102019</v>
      </c>
      <c r="D7" s="1">
        <f>VLOOKUP($B7, '[1]Pro of iron ore'!$B$2:$X$31, $A$1, FALSE)*(1-VLOOKUP($B7, '[1]Foundry share'!$B$2:$X$31, $A$1, FALSE))</f>
        <v>60200</v>
      </c>
      <c r="E7" s="47">
        <f>VLOOKUP($B7, '[1]Iron content'!$B$2:$X$31, $A$1, FALSE)</f>
        <v>0.59008616042109807</v>
      </c>
      <c r="F7" s="1">
        <f>VLOOKUP($B7, '[1]Exp of usable iron ore'!$B$2:$X$31, $A$1, FALSE)*parameters!$B$12</f>
        <v>14948.050000000001</v>
      </c>
      <c r="G7" s="1">
        <f>VLOOKUP($B7, '[1]Pro of pig iron'!$B$2:$X$31, $A$1, FALSE)*(1-VLOOKUP($B7, '[1]Foundry share'!$B$2:$X$31, $A$1, FALSE))</f>
        <v>51479</v>
      </c>
      <c r="H7" s="1">
        <f>VLOOKUP($B7, '[1]Exp of pig iron'!$B$2:$X$31, $A$1, FALSE)</f>
        <v>4359</v>
      </c>
      <c r="I7" s="1">
        <f>VLOOKUP($B7, '[1]Imp of pig iron'!$B$2:$X$31, $A$1, FALSE)</f>
        <v>0</v>
      </c>
      <c r="J7" s="1">
        <f>VLOOKUP($B7, '[1]Pro of DRI'!$B$2:$X$31, $A$1, FALSE)*(1-VLOOKUP($B7, '[1]Foundry share'!$B$2:$X$31, $A$1, FALSE))</f>
        <v>5350</v>
      </c>
      <c r="K7" s="1">
        <f>VLOOKUP($B7, '[1]Exp of DRI'!$B$2:$X$31, $A$1, FALSE)</f>
        <v>2192</v>
      </c>
      <c r="L7" s="1">
        <f>VLOOKUP($B7, '[1]Imp of DRI'!$B$2:$X$31, $A$1, FALSE)</f>
        <v>0</v>
      </c>
      <c r="M7" s="1">
        <f>VLOOKUP($B7, '[1]Exp of scrap'!$B$2:$X$31, $A$1, FALSE)</f>
        <v>5765</v>
      </c>
      <c r="N7" s="1">
        <f>VLOOKUP($B7, '[1]Imp of scrap'!$B$2:$X$31, $A$1, FALSE)</f>
        <v>264</v>
      </c>
      <c r="O7" s="1">
        <f>VLOOKUP($B7, '[1]Pro of BOF steel'!$B$2:$X$31, $A$1, FALSE)</f>
        <v>47567</v>
      </c>
      <c r="P7" s="1">
        <f>VLOOKUP($B7, '[1]Pro of OHF steel'!$B$2:$X$31, $A$1, FALSE)</f>
        <v>1981</v>
      </c>
      <c r="Q7" s="1">
        <f>VLOOKUP($B7, '[1]Pro of EAF steel'!$B$2:$X$31, $A$1, FALSE)</f>
        <v>21852</v>
      </c>
      <c r="R7" s="1">
        <f>VLOOKUP($B7, '[1]Exp of ingots and semis'!$B$2:$X$31, $A$1, FALSE)</f>
        <v>14156</v>
      </c>
      <c r="S7" s="1">
        <f>VLOOKUP($B7, '[1]Imp of ingots and semis'!$B$2:$X$31, $A$1, FALSE)</f>
        <v>10</v>
      </c>
      <c r="T7" s="1">
        <f>VLOOKUP($B7, '[1]Pro of hr long'!$B$2:$X$31, $A$1, FALSE)+VLOOKUP($B7, '[1]Pro of seamless tubes'!$B$2:$X$31, $A$1, FALSE)</f>
        <v>21756</v>
      </c>
      <c r="U7" s="1">
        <f>VLOOKUP($B7, '[1]Exp of long'!$B$2:$X$31, $A$1, FALSE)</f>
        <v>3921</v>
      </c>
      <c r="V7" s="1">
        <f>VLOOKUP($B7, '[1]Imp of long'!$B$2:$X$31, $A$1, FALSE)</f>
        <v>2270</v>
      </c>
      <c r="W7" s="1">
        <f>VLOOKUP($B7, '[1]Pro of hr flat'!$B$2:$X$31, $A$1, FALSE)*parameters!$B$8</f>
        <v>26132.765291607397</v>
      </c>
      <c r="X7" s="1">
        <f>VLOOKUP($B7, '[1]Exp of flat'!$B$2:$X$31, $A$1, FALSE)</f>
        <v>8341</v>
      </c>
      <c r="Y7" s="1">
        <f>VLOOKUP($B7, '[1]Imp of flat'!$B$2:$X$31, $A$1, FALSE)</f>
        <v>3391</v>
      </c>
      <c r="Z7" s="1">
        <f>VLOOKUP($B7, '[1]Indirect exp'!$B$2:$X$31, $A$1, FALSE)</f>
        <v>1929</v>
      </c>
      <c r="AA7" s="1">
        <f>VLOOKUP($B7, '[1]Indirect imp'!$B$2:$X$31, $A$1, FALSE)</f>
        <v>9390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7">
        <f>VLOOKUP($B8, '[1]Iron content'!$B$2:$X$31, $A$1, FALSE)</f>
        <v>0</v>
      </c>
      <c r="F8" s="1">
        <f>VLOOKUP($B8, '[1]Exp of usable iron ore'!$B$2:$X$31, $A$1, FALSE)*parameters!$B$12</f>
        <v>0</v>
      </c>
      <c r="G8" s="1">
        <f>VLOOKUP($B8, '[1]Pro of pig iron'!$B$2:$X$31, $A$1, FALSE)*(1-VLOOKUP($B8, '[1]Foundry share'!$B$2:$X$31, $A$1, FALSE))</f>
        <v>46909</v>
      </c>
      <c r="H8" s="1">
        <f>VLOOKUP($B8, '[1]Exp of pig iron'!$B$2:$X$31, $A$1, FALSE)</f>
        <v>3</v>
      </c>
      <c r="I8" s="1">
        <f>VLOOKUP($B8, '[1]Imp of pig iron'!$B$2:$X$31, $A$1, FALSE)</f>
        <v>898</v>
      </c>
      <c r="J8" s="1">
        <f>VLOOKUP($B8, '[1]Pro of DRI'!$B$2:$X$31, $A$1, FALSE)*(1-VLOOKUP($B8, '[1]Foundry share'!$B$2:$X$31, $A$1, FALSE))</f>
        <v>0</v>
      </c>
      <c r="K8" s="1">
        <f>VLOOKUP($B8, '[1]Exp of DRI'!$B$2:$X$31, $A$1, FALSE)</f>
        <v>79</v>
      </c>
      <c r="L8" s="1">
        <f>VLOOKUP($B8, '[1]Imp of DRI'!$B$2:$X$31, $A$1, FALSE)</f>
        <v>636</v>
      </c>
      <c r="M8" s="1">
        <f>VLOOKUP($B8, '[1]Exp of scrap'!$B$2:$X$31, $A$1, FALSE)</f>
        <v>298</v>
      </c>
      <c r="N8" s="1">
        <f>VLOOKUP($B8, '[1]Imp of scrap'!$B$2:$X$31, $A$1, FALSE)</f>
        <v>8002</v>
      </c>
      <c r="O8" s="1">
        <f>VLOOKUP($B8, '[1]Pro of BOF steel'!$B$2:$X$31, $A$1, FALSE)</f>
        <v>47345</v>
      </c>
      <c r="P8" s="1">
        <f>VLOOKUP($B8, '[1]Pro of OHF steel'!$B$2:$X$31, $A$1, FALSE)</f>
        <v>0</v>
      </c>
      <c r="Q8" s="1">
        <f>VLOOKUP($B8, '[1]Pro of EAF steel'!$B$2:$X$31, $A$1, FALSE)</f>
        <v>24197</v>
      </c>
      <c r="R8" s="1">
        <f>VLOOKUP($B8, '[1]Exp of ingots and semis'!$B$2:$X$31, $A$1, FALSE)</f>
        <v>870</v>
      </c>
      <c r="S8" s="1">
        <f>VLOOKUP($B8, '[1]Imp of ingots and semis'!$B$2:$X$31, $A$1, FALSE)</f>
        <v>3075</v>
      </c>
      <c r="T8" s="1">
        <f>VLOOKUP($B8, '[1]Pro of hr long'!$B$2:$X$31, $A$1, FALSE)+VLOOKUP($B8, '[1]Pro of seamless tubes'!$B$2:$X$31, $A$1, FALSE)</f>
        <v>20338</v>
      </c>
      <c r="U8" s="1">
        <f>VLOOKUP($B8, '[1]Exp of long'!$B$2:$X$31, $A$1, FALSE)</f>
        <v>3836</v>
      </c>
      <c r="V8" s="1">
        <f>VLOOKUP($B8, '[1]Imp of long'!$B$2:$X$31, $A$1, FALSE)</f>
        <v>5489</v>
      </c>
      <c r="W8" s="1">
        <f>VLOOKUP($B8, '[1]Pro of hr flat'!$B$2:$X$31, $A$1, FALSE)*parameters!$B$8</f>
        <v>47204.7240398293</v>
      </c>
      <c r="X8" s="1">
        <f>VLOOKUP($B8, '[1]Exp of flat'!$B$2:$X$31, $A$1, FALSE)</f>
        <v>23132</v>
      </c>
      <c r="Y8" s="1">
        <f>VLOOKUP($B8, '[1]Imp of flat'!$B$2:$X$31, $A$1, FALSE)</f>
        <v>12861</v>
      </c>
      <c r="Z8" s="1">
        <f>VLOOKUP($B8, '[1]Indirect exp'!$B$2:$X$31, $A$1, FALSE)</f>
        <v>22293</v>
      </c>
      <c r="AA8" s="1">
        <f>VLOOKUP($B8, '[1]Indirect imp'!$B$2:$X$31, $A$1, FALSE)</f>
        <v>6087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456</v>
      </c>
      <c r="D9" s="1">
        <f>VLOOKUP($B9, '[1]Pro of iron ore'!$B$2:$X$31, $A$1, FALSE)*(1-VLOOKUP($B9, '[1]Foundry share'!$B$2:$X$31, $A$1, FALSE))</f>
        <v>73</v>
      </c>
      <c r="E9" s="47">
        <f>VLOOKUP($B9, '[1]Iron content'!$B$2:$X$31, $A$1, FALSE)</f>
        <v>0.16008771929824561</v>
      </c>
      <c r="F9" s="1">
        <f>VLOOKUP($B9, '[1]Exp of usable iron ore'!$B$2:$X$31, $A$1, FALSE)*parameters!$B$12</f>
        <v>42.9</v>
      </c>
      <c r="G9" s="1">
        <f>VLOOKUP($B9, '[1]Pro of pig iron'!$B$2:$X$31, $A$1, FALSE)*(1-VLOOKUP($B9, '[1]Foundry share'!$B$2:$X$31, $A$1, FALSE))</f>
        <v>27379</v>
      </c>
      <c r="H9" s="1">
        <f>VLOOKUP($B9, '[1]Exp of pig iron'!$B$2:$X$31, $A$1, FALSE)</f>
        <v>116</v>
      </c>
      <c r="I9" s="1">
        <f>VLOOKUP($B9, '[1]Imp of pig iron'!$B$2:$X$31, $A$1, FALSE)</f>
        <v>460</v>
      </c>
      <c r="J9" s="1">
        <f>VLOOKUP($B9, '[1]Pro of DRI'!$B$2:$X$31, $A$1, FALSE)*(1-VLOOKUP($B9, '[1]Foundry share'!$B$2:$X$31, $A$1, FALSE))</f>
        <v>566</v>
      </c>
      <c r="K9" s="1">
        <f>VLOOKUP($B9, '[1]Exp of DRI'!$B$2:$X$31, $A$1, FALSE)</f>
        <v>0</v>
      </c>
      <c r="L9" s="1">
        <f>VLOOKUP($B9, '[1]Imp of DRI'!$B$2:$X$31, $A$1, FALSE)</f>
        <v>537</v>
      </c>
      <c r="M9" s="1">
        <f>VLOOKUP($B9, '[1]Exp of scrap'!$B$2:$X$31, $A$1, FALSE)</f>
        <v>8433</v>
      </c>
      <c r="N9" s="1">
        <f>VLOOKUP($B9, '[1]Imp of scrap'!$B$2:$X$31, $A$1, FALSE)</f>
        <v>5045</v>
      </c>
      <c r="O9" s="1">
        <f>VLOOKUP($B9, '[1]Pro of BOF steel'!$B$2:$X$31, $A$1, FALSE)</f>
        <v>29881</v>
      </c>
      <c r="P9" s="1">
        <f>VLOOKUP($B9, '[1]Pro of OHF steel'!$B$2:$X$31, $A$1, FALSE)</f>
        <v>0</v>
      </c>
      <c r="Q9" s="1">
        <f>VLOOKUP($B9, '[1]Pro of EAF steel'!$B$2:$X$31, $A$1, FALSE)</f>
        <v>13062</v>
      </c>
      <c r="R9" s="1">
        <f>VLOOKUP($B9, '[1]Exp of ingots and semis'!$B$2:$X$31, $A$1, FALSE)</f>
        <v>1939</v>
      </c>
      <c r="S9" s="1">
        <f>VLOOKUP($B9, '[1]Imp of ingots and semis'!$B$2:$X$31, $A$1, FALSE)</f>
        <v>2066</v>
      </c>
      <c r="T9" s="1">
        <f>VLOOKUP($B9, '[1]Pro of hr long'!$B$2:$X$31, $A$1, FALSE)+VLOOKUP($B9, '[1]Pro of seamless tubes'!$B$2:$X$31, $A$1, FALSE)</f>
        <v>13678</v>
      </c>
      <c r="U9" s="1">
        <f>VLOOKUP($B9, '[1]Exp of long'!$B$2:$X$31, $A$1, FALSE)</f>
        <v>7094</v>
      </c>
      <c r="V9" s="1">
        <f>VLOOKUP($B9, '[1]Imp of long'!$B$2:$X$31, $A$1, FALSE)</f>
        <v>6896</v>
      </c>
      <c r="W9" s="1">
        <f>VLOOKUP($B9, '[1]Pro of hr flat'!$B$2:$X$31, $A$1, FALSE)*parameters!$B$8</f>
        <v>23351.216216216217</v>
      </c>
      <c r="X9" s="1">
        <f>VLOOKUP($B9, '[1]Exp of flat'!$B$2:$X$31, $A$1, FALSE)</f>
        <v>12993</v>
      </c>
      <c r="Y9" s="1">
        <f>VLOOKUP($B9, '[1]Imp of flat'!$B$2:$X$31, $A$1, FALSE)</f>
        <v>13009</v>
      </c>
      <c r="Z9" s="1">
        <f>VLOOKUP($B9, '[1]Indirect exp'!$B$2:$X$31, $A$1, FALSE)</f>
        <v>32061</v>
      </c>
      <c r="AA9" s="1">
        <f>VLOOKUP($B9, '[1]Indirect imp'!$B$2:$X$31, $A$1, FALSE)</f>
        <v>21791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11887</v>
      </c>
      <c r="D10" s="1">
        <f>VLOOKUP($B10, '[1]Pro of iron ore'!$B$2:$X$31, $A$1, FALSE)*(1-VLOOKUP($B10, '[1]Foundry share'!$B$2:$X$31, $A$1, FALSE))</f>
        <v>7190</v>
      </c>
      <c r="E10" s="47">
        <f>VLOOKUP($B10, '[1]Iron content'!$B$2:$X$31, $A$1, FALSE)</f>
        <v>0.60486245478253553</v>
      </c>
      <c r="F10" s="1">
        <f>VLOOKUP($B10, '[1]Exp of usable iron ore'!$B$2:$X$31, $A$1, FALSE)*parameters!$B$12</f>
        <v>0</v>
      </c>
      <c r="G10" s="1">
        <f>VLOOKUP($B10, '[1]Pro of pig iron'!$B$2:$X$31, $A$1, FALSE)*(1-VLOOKUP($B10, '[1]Foundry share'!$B$2:$X$31, $A$1, FALSE))</f>
        <v>9364</v>
      </c>
      <c r="H10" s="1">
        <f>VLOOKUP($B10, '[1]Exp of pig iron'!$B$2:$X$31, $A$1, FALSE)</f>
        <v>5</v>
      </c>
      <c r="I10" s="1">
        <f>VLOOKUP($B10, '[1]Imp of pig iron'!$B$2:$X$31, $A$1, FALSE)</f>
        <v>913</v>
      </c>
      <c r="J10" s="1">
        <f>VLOOKUP($B10, '[1]Pro of DRI'!$B$2:$X$31, $A$1, FALSE)*(1-VLOOKUP($B10, '[1]Foundry share'!$B$2:$X$31, $A$1, FALSE))</f>
        <v>0</v>
      </c>
      <c r="K10" s="1">
        <f>VLOOKUP($B10, '[1]Exp of DRI'!$B$2:$X$31, $A$1, FALSE)</f>
        <v>0</v>
      </c>
      <c r="L10" s="1">
        <f>VLOOKUP($B10, '[1]Imp of DRI'!$B$2:$X$31, $A$1, FALSE)</f>
        <v>46</v>
      </c>
      <c r="M10" s="1">
        <f>VLOOKUP($B10, '[1]Exp of scrap'!$B$2:$X$31, $A$1, FALSE)</f>
        <v>168</v>
      </c>
      <c r="N10" s="1">
        <f>VLOOKUP($B10, '[1]Imp of scrap'!$B$2:$X$31, $A$1, FALSE)</f>
        <v>19068</v>
      </c>
      <c r="O10" s="1">
        <f>VLOOKUP($B10, '[1]Pro of BOF steel'!$B$2:$X$31, $A$1, FALSE)</f>
        <v>10283</v>
      </c>
      <c r="P10" s="1">
        <f>VLOOKUP($B10, '[1]Pro of OHF steel'!$B$2:$X$31, $A$1, FALSE)</f>
        <v>0</v>
      </c>
      <c r="Q10" s="1">
        <f>VLOOKUP($B10, '[1]Pro of EAF steel'!$B$2:$X$31, $A$1, FALSE)</f>
        <v>23752</v>
      </c>
      <c r="R10" s="1">
        <f>VLOOKUP($B10, '[1]Exp of ingots and semis'!$B$2:$X$31, $A$1, FALSE)</f>
        <v>603</v>
      </c>
      <c r="S10" s="1">
        <f>VLOOKUP($B10, '[1]Imp of ingots and semis'!$B$2:$X$31, $A$1, FALSE)</f>
        <v>4777</v>
      </c>
      <c r="T10" s="1">
        <f>VLOOKUP($B10, '[1]Pro of hr long'!$B$2:$X$31, $A$1, FALSE)+VLOOKUP($B10, '[1]Pro of seamless tubes'!$B$2:$X$31, $A$1, FALSE)</f>
        <v>25717</v>
      </c>
      <c r="U10" s="1">
        <f>VLOOKUP($B10, '[1]Exp of long'!$B$2:$X$31, $A$1, FALSE)</f>
        <v>10993</v>
      </c>
      <c r="V10" s="1">
        <f>VLOOKUP($B10, '[1]Imp of long'!$B$2:$X$31, $A$1, FALSE)</f>
        <v>1443</v>
      </c>
      <c r="W10" s="1">
        <f>VLOOKUP($B10, '[1]Pro of hr flat'!$B$2:$X$31, $A$1, FALSE)*parameters!$B$8</f>
        <v>10080.807965860597</v>
      </c>
      <c r="X10" s="1">
        <f>VLOOKUP($B10, '[1]Exp of flat'!$B$2:$X$31, $A$1, FALSE)</f>
        <v>2501</v>
      </c>
      <c r="Y10" s="1">
        <f>VLOOKUP($B10, '[1]Imp of flat'!$B$2:$X$31, $A$1, FALSE)</f>
        <v>6730</v>
      </c>
      <c r="Z10" s="1">
        <f>VLOOKUP($B10, '[1]Indirect exp'!$B$2:$X$31, $A$1, FALSE)</f>
        <v>6238</v>
      </c>
      <c r="AA10" s="1">
        <f>VLOOKUP($B10, '[1]Indirect imp'!$B$2:$X$31, $A$1, FALSE)</f>
        <v>3912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411183</v>
      </c>
      <c r="D11" s="1">
        <f>VLOOKUP($B11, '[1]Pro of iron ore'!$B$2:$X$31, $A$1, FALSE)*(1-VLOOKUP($B11, '[1]Foundry share'!$B$2:$X$31, $A$1, FALSE))</f>
        <v>261500</v>
      </c>
      <c r="E11" s="47">
        <f>VLOOKUP($B11, '[1]Iron content'!$B$2:$X$31, $A$1, FALSE)</f>
        <v>0.635969872295304</v>
      </c>
      <c r="F11" s="1">
        <f>VLOOKUP($B11, '[1]Exp of usable iron ore'!$B$2:$X$31, $A$1, FALSE)*parameters!$B$12</f>
        <v>223850.25</v>
      </c>
      <c r="G11" s="1">
        <f>VLOOKUP($B11, '[1]Pro of pig iron'!$B$2:$X$31, $A$1, FALSE)*(1-VLOOKUP($B11, '[1]Foundry share'!$B$2:$X$31, $A$1, FALSE))</f>
        <v>27016</v>
      </c>
      <c r="H11" s="1">
        <f>VLOOKUP($B11, '[1]Exp of pig iron'!$B$2:$X$31, $A$1, FALSE)</f>
        <v>2588</v>
      </c>
      <c r="I11" s="1">
        <f>VLOOKUP($B11, '[1]Imp of pig iron'!$B$2:$X$31, $A$1, FALSE)</f>
        <v>0</v>
      </c>
      <c r="J11" s="1">
        <f>VLOOKUP($B11, '[1]Pro of DRI'!$B$2:$X$31, $A$1, FALSE)*(1-VLOOKUP($B11, '[1]Foundry share'!$B$2:$X$31, $A$1, FALSE))</f>
        <v>0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648</v>
      </c>
      <c r="N11" s="1">
        <f>VLOOKUP($B11, '[1]Imp of scrap'!$B$2:$X$31, $A$1, FALSE)</f>
        <v>23</v>
      </c>
      <c r="O11" s="1">
        <f>VLOOKUP($B11, '[1]Pro of BOF steel'!$B$2:$X$31, $A$1, FALSE)</f>
        <v>25507</v>
      </c>
      <c r="P11" s="1">
        <f>VLOOKUP($B11, '[1]Pro of OHF steel'!$B$2:$X$31, $A$1, FALSE)</f>
        <v>513</v>
      </c>
      <c r="Q11" s="1">
        <f>VLOOKUP($B11, '[1]Pro of EAF steel'!$B$2:$X$31, $A$1, FALSE)</f>
        <v>7877</v>
      </c>
      <c r="R11" s="1">
        <f>VLOOKUP($B11, '[1]Exp of ingots and semis'!$B$2:$X$31, $A$1, FALSE)</f>
        <v>6295</v>
      </c>
      <c r="S11" s="1">
        <f>VLOOKUP($B11, '[1]Imp of ingots and semis'!$B$2:$X$31, $A$1, FALSE)</f>
        <v>14</v>
      </c>
      <c r="T11" s="1">
        <f>VLOOKUP($B11, '[1]Pro of hr long'!$B$2:$X$31, $A$1, FALSE)+VLOOKUP($B11, '[1]Pro of seamless tubes'!$B$2:$X$31, $A$1, FALSE)</f>
        <v>10687</v>
      </c>
      <c r="U11" s="1">
        <f>VLOOKUP($B11, '[1]Exp of long'!$B$2:$X$31, $A$1, FALSE)</f>
        <v>898</v>
      </c>
      <c r="V11" s="1">
        <f>VLOOKUP($B11, '[1]Imp of long'!$B$2:$X$31, $A$1, FALSE)</f>
        <v>1358</v>
      </c>
      <c r="W11" s="1">
        <f>VLOOKUP($B11, '[1]Pro of hr flat'!$B$2:$X$31, $A$1, FALSE)*parameters!$B$8</f>
        <v>13824.192034139402</v>
      </c>
      <c r="X11" s="1">
        <f>VLOOKUP($B11, '[1]Exp of flat'!$B$2:$X$31, $A$1, FALSE)</f>
        <v>2146</v>
      </c>
      <c r="Y11" s="1">
        <f>VLOOKUP($B11, '[1]Imp of flat'!$B$2:$X$31, $A$1, FALSE)</f>
        <v>2315</v>
      </c>
      <c r="Z11" s="1">
        <f>VLOOKUP($B11, '[1]Indirect exp'!$B$2:$X$31, $A$1, FALSE)</f>
        <v>2363</v>
      </c>
      <c r="AA11" s="1">
        <f>VLOOKUP($B11, '[1]Indirect imp'!$B$2:$X$31, $A$1, FALSE)</f>
        <v>4694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45478.668253474694</v>
      </c>
      <c r="D12" s="1">
        <f>VLOOKUP($B12, '[1]Pro of iron ore'!$B$2:$X$31, $A$1, FALSE)*(1-VLOOKUP($B12, '[1]Foundry share'!$B$2:$X$31, $A$1, FALSE))</f>
        <v>29822.656118412324</v>
      </c>
      <c r="E12" s="47">
        <f>VLOOKUP($B12, '[1]Iron content'!$B$2:$X$31, $A$1, FALSE)</f>
        <v>0.65575042681980444</v>
      </c>
      <c r="F12" s="1">
        <f>VLOOKUP($B12, '[1]Exp of usable iron ore'!$B$2:$X$31, $A$1, FALSE)*parameters!$B$12</f>
        <v>14167.4</v>
      </c>
      <c r="G12" s="1">
        <f>VLOOKUP($B12, '[1]Pro of pig iron'!$B$2:$X$31, $A$1, FALSE)*(1-VLOOKUP($B12, '[1]Foundry share'!$B$2:$X$31, $A$1, FALSE))</f>
        <v>2454.634003592399</v>
      </c>
      <c r="H12" s="1">
        <f>VLOOKUP($B12, '[1]Exp of pig iron'!$B$2:$X$31, $A$1, FALSE)</f>
        <v>0</v>
      </c>
      <c r="I12" s="1">
        <f>VLOOKUP($B12, '[1]Imp of pig iron'!$B$2:$X$31, $A$1, FALSE)</f>
        <v>0</v>
      </c>
      <c r="J12" s="1">
        <f>VLOOKUP($B12, '[1]Pro of DRI'!$B$2:$X$31, $A$1, FALSE)*(1-VLOOKUP($B12, '[1]Foundry share'!$B$2:$X$31, $A$1, FALSE))</f>
        <v>12838.741691686913</v>
      </c>
      <c r="K12" s="1">
        <f>VLOOKUP($B12, '[1]Exp of DRI'!$B$2:$X$31, $A$1, FALSE)</f>
        <v>0</v>
      </c>
      <c r="L12" s="1">
        <f>VLOOKUP($B12, '[1]Imp of DRI'!$B$2:$X$31, $A$1, FALSE)</f>
        <v>0</v>
      </c>
      <c r="M12" s="1">
        <f>VLOOKUP($B12, '[1]Exp of scrap'!$B$2:$X$31, $A$1, FALSE)</f>
        <v>0</v>
      </c>
      <c r="N12" s="1">
        <f>VLOOKUP($B12, '[1]Imp of scrap'!$B$2:$X$31, $A$1, FALSE)</f>
        <v>2</v>
      </c>
      <c r="O12" s="1">
        <f>VLOOKUP($B12, '[1]Pro of BOF steel'!$B$2:$X$31, $A$1, FALSE)</f>
        <v>2724</v>
      </c>
      <c r="P12" s="1">
        <f>VLOOKUP($B12, '[1]Pro of OHF steel'!$B$2:$X$31, $A$1, FALSE)</f>
        <v>0</v>
      </c>
      <c r="Q12" s="1">
        <f>VLOOKUP($B12, '[1]Pro of EAF steel'!$B$2:$X$31, $A$1, FALSE)</f>
        <v>13607</v>
      </c>
      <c r="R12" s="1">
        <f>VLOOKUP($B12, '[1]Exp of ingots and semis'!$B$2:$X$31, $A$1, FALSE)</f>
        <v>746</v>
      </c>
      <c r="S12" s="1">
        <f>VLOOKUP($B12, '[1]Imp of ingots and semis'!$B$2:$X$31, $A$1, FALSE)</f>
        <v>346</v>
      </c>
      <c r="T12" s="1">
        <f>VLOOKUP($B12, '[1]Pro of hr long'!$B$2:$X$31, $A$1, FALSE)+VLOOKUP($B12, '[1]Pro of seamless tubes'!$B$2:$X$31, $A$1, FALSE)</f>
        <v>8206</v>
      </c>
      <c r="U12" s="1">
        <f>VLOOKUP($B12, '[1]Exp of long'!$B$2:$X$31, $A$1, FALSE)</f>
        <v>17</v>
      </c>
      <c r="V12" s="1">
        <f>VLOOKUP($B12, '[1]Imp of long'!$B$2:$X$31, $A$1, FALSE)</f>
        <v>829</v>
      </c>
      <c r="W12" s="1">
        <f>VLOOKUP($B12, '[1]Pro of hr flat'!$B$2:$X$31, $A$1, FALSE)*parameters!$B$8</f>
        <v>8040.5519203413942</v>
      </c>
      <c r="X12" s="1">
        <f>VLOOKUP($B12, '[1]Exp of flat'!$B$2:$X$31, $A$1, FALSE)</f>
        <v>695</v>
      </c>
      <c r="Y12" s="1">
        <f>VLOOKUP($B12, '[1]Imp of flat'!$B$2:$X$31, $A$1, FALSE)</f>
        <v>3024</v>
      </c>
      <c r="Z12" s="1">
        <f>VLOOKUP($B12, '[1]Indirect exp'!$B$2:$X$31, $A$1, FALSE)</f>
        <v>57</v>
      </c>
      <c r="AA12" s="1">
        <f>VLOOKUP($B12, '[1]Indirect imp'!$B$2:$X$31, $A$1, FALSE)</f>
        <v>2058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7">
        <f>VLOOKUP($B13, '[1]Iron content'!$B$2:$X$31, $A$1, FALSE)</f>
        <v>0</v>
      </c>
      <c r="F13" s="1">
        <f>VLOOKUP($B13, '[1]Exp of usable iron ore'!$B$2:$X$31, $A$1, FALSE)*parameters!$B$12</f>
        <v>0</v>
      </c>
      <c r="G13" s="1">
        <f>VLOOKUP($B13, '[1]Pro of pig iron'!$B$2:$X$31, $A$1, FALSE)*(1-VLOOKUP($B13, '[1]Foundry share'!$B$2:$X$31, $A$1, FALSE))</f>
        <v>6371</v>
      </c>
      <c r="H13" s="1">
        <f>VLOOKUP($B13, '[1]Exp of pig iron'!$B$2:$X$31, $A$1, FALSE)</f>
        <v>49</v>
      </c>
      <c r="I13" s="1">
        <f>VLOOKUP($B13, '[1]Imp of pig iron'!$B$2:$X$31, $A$1, FALSE)</f>
        <v>1690</v>
      </c>
      <c r="J13" s="1">
        <f>VLOOKUP($B13, '[1]Pro of DRI'!$B$2:$X$31, $A$1, FALSE)*(1-VLOOKUP($B13, '[1]Foundry share'!$B$2:$X$31, $A$1, FALSE))</f>
        <v>0</v>
      </c>
      <c r="K13" s="1">
        <f>VLOOKUP($B13, '[1]Exp of DRI'!$B$2:$X$31, $A$1, FALSE)</f>
        <v>0</v>
      </c>
      <c r="L13" s="1">
        <f>VLOOKUP($B13, '[1]Imp of DRI'!$B$2:$X$31, $A$1, FALSE)</f>
        <v>663</v>
      </c>
      <c r="M13" s="1">
        <f>VLOOKUP($B13, '[1]Exp of scrap'!$B$2:$X$31, $A$1, FALSE)</f>
        <v>269</v>
      </c>
      <c r="N13" s="1">
        <f>VLOOKUP($B13, '[1]Imp of scrap'!$B$2:$X$31, $A$1, FALSE)</f>
        <v>5145</v>
      </c>
      <c r="O13" s="1">
        <f>VLOOKUP($B13, '[1]Pro of BOF steel'!$B$2:$X$31, $A$1, FALSE)</f>
        <v>6514</v>
      </c>
      <c r="P13" s="1">
        <f>VLOOKUP($B13, '[1]Pro of OHF steel'!$B$2:$X$31, $A$1, FALSE)</f>
        <v>0</v>
      </c>
      <c r="Q13" s="1">
        <f>VLOOKUP($B13, '[1]Pro of EAF steel'!$B$2:$X$31, $A$1, FALSE)</f>
        <v>17200</v>
      </c>
      <c r="R13" s="1">
        <f>VLOOKUP($B13, '[1]Exp of ingots and semis'!$B$2:$X$31, $A$1, FALSE)</f>
        <v>654</v>
      </c>
      <c r="S13" s="1">
        <f>VLOOKUP($B13, '[1]Imp of ingots and semis'!$B$2:$X$31, $A$1, FALSE)</f>
        <v>3127</v>
      </c>
      <c r="T13" s="1">
        <f>VLOOKUP($B13, '[1]Pro of hr long'!$B$2:$X$31, $A$1, FALSE)+VLOOKUP($B13, '[1]Pro of seamless tubes'!$B$2:$X$31, $A$1, FALSE)</f>
        <v>11884</v>
      </c>
      <c r="U13" s="1">
        <f>VLOOKUP($B13, '[1]Exp of long'!$B$2:$X$31, $A$1, FALSE)</f>
        <v>5642</v>
      </c>
      <c r="V13" s="1">
        <f>VLOOKUP($B13, '[1]Imp of long'!$B$2:$X$31, $A$1, FALSE)</f>
        <v>2381</v>
      </c>
      <c r="W13" s="1">
        <f>VLOOKUP($B13, '[1]Pro of hr flat'!$B$2:$X$31, $A$1, FALSE)*parameters!$B$8</f>
        <v>11502.186344238975</v>
      </c>
      <c r="X13" s="1">
        <f>VLOOKUP($B13, '[1]Exp of flat'!$B$2:$X$31, $A$1, FALSE)</f>
        <v>7142</v>
      </c>
      <c r="Y13" s="1">
        <f>VLOOKUP($B13, '[1]Imp of flat'!$B$2:$X$31, $A$1, FALSE)</f>
        <v>10165</v>
      </c>
      <c r="Z13" s="1">
        <f>VLOOKUP($B13, '[1]Indirect exp'!$B$2:$X$31, $A$1, FALSE)</f>
        <v>12980</v>
      </c>
      <c r="AA13" s="1">
        <f>VLOOKUP($B13, '[1]Indirect imp'!$B$2:$X$31, $A$1, FALSE)</f>
        <v>6747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68300</v>
      </c>
      <c r="D14" s="1">
        <f>VLOOKUP($B14, '[1]Pro of iron ore'!$B$2:$X$31, $A$1, FALSE)*(1-VLOOKUP($B14, '[1]Foundry share'!$B$2:$X$31, $A$1, FALSE))</f>
        <v>42700</v>
      </c>
      <c r="E14" s="47">
        <f>VLOOKUP($B14, '[1]Iron content'!$B$2:$X$31, $A$1, FALSE)</f>
        <v>0.62518301610541727</v>
      </c>
      <c r="F14" s="1">
        <f>VLOOKUP($B14, '[1]Exp of usable iron ore'!$B$2:$X$31, $A$1, FALSE)*parameters!$B$12</f>
        <v>26543.4</v>
      </c>
      <c r="G14" s="1">
        <f>VLOOKUP($B14, '[1]Pro of pig iron'!$B$2:$X$31, $A$1, FALSE)*(1-VLOOKUP($B14, '[1]Foundry share'!$B$2:$X$31, $A$1, FALSE))</f>
        <v>24788</v>
      </c>
      <c r="H14" s="1">
        <f>VLOOKUP($B14, '[1]Exp of pig iron'!$B$2:$X$31, $A$1, FALSE)</f>
        <v>2212</v>
      </c>
      <c r="I14" s="1">
        <f>VLOOKUP($B14, '[1]Imp of pig iron'!$B$2:$X$31, $A$1, FALSE)</f>
        <v>7</v>
      </c>
      <c r="J14" s="1">
        <f>VLOOKUP($B14, '[1]Pro of DRI'!$B$2:$X$31, $A$1, FALSE)*(1-VLOOKUP($B14, '[1]Foundry share'!$B$2:$X$31, $A$1, FALSE))</f>
        <v>0</v>
      </c>
      <c r="K14" s="1">
        <f>VLOOKUP($B14, '[1]Exp of DRI'!$B$2:$X$31, $A$1, FALSE)</f>
        <v>0</v>
      </c>
      <c r="L14" s="1">
        <f>VLOOKUP($B14, '[1]Imp of DRI'!$B$2:$X$31, $A$1, FALSE)</f>
        <v>39</v>
      </c>
      <c r="M14" s="1">
        <f>VLOOKUP($B14, '[1]Exp of scrap'!$B$2:$X$31, $A$1, FALSE)</f>
        <v>928</v>
      </c>
      <c r="N14" s="1">
        <f>VLOOKUP($B14, '[1]Imp of scrap'!$B$2:$X$31, $A$1, FALSE)</f>
        <v>28</v>
      </c>
      <c r="O14" s="1">
        <f>VLOOKUP($B14, '[1]Pro of BOF steel'!$B$2:$X$31, $A$1, FALSE)</f>
        <v>19930</v>
      </c>
      <c r="P14" s="1">
        <f>VLOOKUP($B14, '[1]Pro of OHF steel'!$B$2:$X$31, $A$1, FALSE)</f>
        <v>5563</v>
      </c>
      <c r="Q14" s="1">
        <f>VLOOKUP($B14, '[1]Pro of EAF steel'!$B$2:$X$31, $A$1, FALSE)</f>
        <v>1678</v>
      </c>
      <c r="R14" s="1">
        <f>VLOOKUP($B14, '[1]Exp of ingots and semis'!$B$2:$X$31, $A$1, FALSE)</f>
        <v>9290</v>
      </c>
      <c r="S14" s="1">
        <f>VLOOKUP($B14, '[1]Imp of ingots and semis'!$B$2:$X$31, $A$1, FALSE)</f>
        <v>71</v>
      </c>
      <c r="T14" s="1">
        <f>VLOOKUP($B14, '[1]Pro of hr long'!$B$2:$X$31, $A$1, FALSE)+VLOOKUP($B14, '[1]Pro of seamless tubes'!$B$2:$X$31, $A$1, FALSE)</f>
        <v>7074</v>
      </c>
      <c r="U14" s="1">
        <f>VLOOKUP($B14, '[1]Exp of long'!$B$2:$X$31, $A$1, FALSE)</f>
        <v>4956</v>
      </c>
      <c r="V14" s="1">
        <f>VLOOKUP($B14, '[1]Imp of long'!$B$2:$X$31, $A$1, FALSE)</f>
        <v>284</v>
      </c>
      <c r="W14" s="1">
        <f>VLOOKUP($B14, '[1]Pro of hr flat'!$B$2:$X$31, $A$1, FALSE)*parameters!$B$8</f>
        <v>7644.1593172119483</v>
      </c>
      <c r="X14" s="1">
        <f>VLOOKUP($B14, '[1]Exp of flat'!$B$2:$X$31, $A$1, FALSE)</f>
        <v>6275</v>
      </c>
      <c r="Y14" s="1">
        <f>VLOOKUP($B14, '[1]Imp of flat'!$B$2:$X$31, $A$1, FALSE)</f>
        <v>785</v>
      </c>
      <c r="Z14" s="1">
        <f>VLOOKUP($B14, '[1]Indirect exp'!$B$2:$X$31, $A$1, FALSE)</f>
        <v>1018</v>
      </c>
      <c r="AA14" s="1">
        <f>VLOOKUP($B14, '[1]Indirect imp'!$B$2:$X$31, $A$1, FALSE)</f>
        <v>1127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16500</v>
      </c>
      <c r="D15" s="1">
        <f>VLOOKUP($B15, '[1]Pro of iron ore'!$B$2:$X$31, $A$1, FALSE)*(1-VLOOKUP($B15, '[1]Foundry share'!$B$2:$X$31, $A$1, FALSE))</f>
        <v>10400</v>
      </c>
      <c r="E15" s="47">
        <f>VLOOKUP($B15, '[1]Iron content'!$B$2:$X$31, $A$1, FALSE)</f>
        <v>0.63030303030303025</v>
      </c>
      <c r="F15" s="1">
        <f>VLOOKUP($B15, '[1]Exp of usable iron ore'!$B$2:$X$31, $A$1, FALSE)*parameters!$B$12</f>
        <v>1489.15</v>
      </c>
      <c r="G15" s="1">
        <f>VLOOKUP($B15, '[1]Pro of pig iron'!$B$2:$X$31, $A$1, FALSE)*(1-VLOOKUP($B15, '[1]Foundry share'!$B$2:$X$31, $A$1, FALSE))</f>
        <v>5115</v>
      </c>
      <c r="H15" s="1">
        <f>VLOOKUP($B15, '[1]Exp of pig iron'!$B$2:$X$31, $A$1, FALSE)</f>
        <v>0</v>
      </c>
      <c r="I15" s="1">
        <f>VLOOKUP($B15, '[1]Imp of pig iron'!$B$2:$X$31, $A$1, FALSE)</f>
        <v>323</v>
      </c>
      <c r="J15" s="1">
        <f>VLOOKUP($B15, '[1]Pro of DRI'!$B$2:$X$31, $A$1, FALSE)*(1-VLOOKUP($B15, '[1]Foundry share'!$B$2:$X$31, $A$1, FALSE))</f>
        <v>5979</v>
      </c>
      <c r="K15" s="1">
        <f>VLOOKUP($B15, '[1]Exp of DRI'!$B$2:$X$31, $A$1, FALSE)</f>
        <v>0</v>
      </c>
      <c r="L15" s="1">
        <f>VLOOKUP($B15, '[1]Imp of DRI'!$B$2:$X$31, $A$1, FALSE)</f>
        <v>159</v>
      </c>
      <c r="M15" s="1">
        <f>VLOOKUP($B15, '[1]Exp of scrap'!$B$2:$X$31, $A$1, FALSE)</f>
        <v>701</v>
      </c>
      <c r="N15" s="1">
        <f>VLOOKUP($B15, '[1]Imp of scrap'!$B$2:$X$31, $A$1, FALSE)</f>
        <v>915</v>
      </c>
      <c r="O15" s="1">
        <f>VLOOKUP($B15, '[1]Pro of BOF steel'!$B$2:$X$31, $A$1, FALSE)</f>
        <v>5679</v>
      </c>
      <c r="P15" s="1">
        <f>VLOOKUP($B15, '[1]Pro of OHF steel'!$B$2:$X$31, $A$1, FALSE)</f>
        <v>0</v>
      </c>
      <c r="Q15" s="1">
        <f>VLOOKUP($B15, '[1]Pro of EAF steel'!$B$2:$X$31, $A$1, FALSE)</f>
        <v>13251</v>
      </c>
      <c r="R15" s="1">
        <f>VLOOKUP($B15, '[1]Exp of ingots and semis'!$B$2:$X$31, $A$1, FALSE)</f>
        <v>1291</v>
      </c>
      <c r="S15" s="1">
        <f>VLOOKUP($B15, '[1]Imp of ingots and semis'!$B$2:$X$31, $A$1, FALSE)</f>
        <v>520</v>
      </c>
      <c r="T15" s="1">
        <f>VLOOKUP($B15, '[1]Pro of hr long'!$B$2:$X$31, $A$1, FALSE)+VLOOKUP($B15, '[1]Pro of seamless tubes'!$B$2:$X$31, $A$1, FALSE)</f>
        <v>9148</v>
      </c>
      <c r="U15" s="1">
        <f>VLOOKUP($B15, '[1]Exp of long'!$B$2:$X$31, $A$1, FALSE)</f>
        <v>1534</v>
      </c>
      <c r="V15" s="1">
        <f>VLOOKUP($B15, '[1]Imp of long'!$B$2:$X$31, $A$1, FALSE)</f>
        <v>1572</v>
      </c>
      <c r="W15" s="1">
        <f>VLOOKUP($B15, '[1]Pro of hr flat'!$B$2:$X$31, $A$1, FALSE)*parameters!$B$8</f>
        <v>8349.5049786628733</v>
      </c>
      <c r="X15" s="1">
        <f>VLOOKUP($B15, '[1]Exp of flat'!$B$2:$X$31, $A$1, FALSE)</f>
        <v>1255</v>
      </c>
      <c r="Y15" s="1">
        <f>VLOOKUP($B15, '[1]Imp of flat'!$B$2:$X$31, $A$1, FALSE)</f>
        <v>6118</v>
      </c>
      <c r="Z15" s="1">
        <f>VLOOKUP($B15, '[1]Indirect exp'!$B$2:$X$31, $A$1, FALSE)</f>
        <v>13851</v>
      </c>
      <c r="AA15" s="1">
        <f>VLOOKUP($B15, '[1]Indirect imp'!$B$2:$X$31, $A$1, FALSE)</f>
        <v>10325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5130</v>
      </c>
      <c r="D16" s="1">
        <f>VLOOKUP($B16, '[1]Pro of iron ore'!$B$2:$X$31, $A$1, FALSE)*(1-VLOOKUP($B16, '[1]Foundry share'!$B$2:$X$31, $A$1, FALSE))</f>
        <v>2719</v>
      </c>
      <c r="E16" s="47">
        <f>VLOOKUP($B16, '[1]Iron content'!$B$2:$X$31, $A$1, FALSE)</f>
        <v>0.53001949317738795</v>
      </c>
      <c r="F16" s="1">
        <f>VLOOKUP($B16, '[1]Exp of usable iron ore'!$B$2:$X$31, $A$1, FALSE)*parameters!$B$12</f>
        <v>986.7</v>
      </c>
      <c r="G16" s="1">
        <f>VLOOKUP($B16, '[1]Pro of pig iron'!$B$2:$X$31, $A$1, FALSE)*(1-VLOOKUP($B16, '[1]Foundry share'!$B$2:$X$31, $A$1, FALSE))</f>
        <v>1393</v>
      </c>
      <c r="H16" s="1">
        <f>VLOOKUP($B16, '[1]Exp of pig iron'!$B$2:$X$31, $A$1, FALSE)</f>
        <v>74</v>
      </c>
      <c r="I16" s="1">
        <f>VLOOKUP($B16, '[1]Imp of pig iron'!$B$2:$X$31, $A$1, FALSE)</f>
        <v>17</v>
      </c>
      <c r="J16" s="1">
        <f>VLOOKUP($B16, '[1]Pro of DRI'!$B$2:$X$31, $A$1, FALSE)*(1-VLOOKUP($B16, '[1]Foundry share'!$B$2:$X$31, $A$1, FALSE))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2277</v>
      </c>
      <c r="O16" s="1">
        <f>VLOOKUP($B16, '[1]Pro of BOF steel'!$B$2:$X$31, $A$1, FALSE)</f>
        <v>877</v>
      </c>
      <c r="P16" s="1">
        <f>VLOOKUP($B16, '[1]Pro of OHF steel'!$B$2:$X$31, $A$1, FALSE)</f>
        <v>0</v>
      </c>
      <c r="Q16" s="1">
        <f>VLOOKUP($B16, '[1]Pro of EAF steel'!$B$2:$X$31, $A$1, FALSE)</f>
        <v>4970</v>
      </c>
      <c r="R16" s="1">
        <f>VLOOKUP($B16, '[1]Exp of ingots and semis'!$B$2:$X$31, $A$1, FALSE)</f>
        <v>126</v>
      </c>
      <c r="S16" s="1">
        <f>VLOOKUP($B16, '[1]Imp of ingots and semis'!$B$2:$X$31, $A$1, FALSE)</f>
        <v>336</v>
      </c>
      <c r="T16" s="1">
        <f>VLOOKUP($B16, '[1]Pro of hr long'!$B$2:$X$31, $A$1, FALSE)+VLOOKUP($B16, '[1]Pro of seamless tubes'!$B$2:$X$31, $A$1, FALSE)</f>
        <v>5657</v>
      </c>
      <c r="U16" s="1">
        <f>VLOOKUP($B16, '[1]Exp of long'!$B$2:$X$31, $A$1, FALSE)</f>
        <v>74</v>
      </c>
      <c r="V16" s="1">
        <f>VLOOKUP($B16, '[1]Imp of long'!$B$2:$X$31, $A$1, FALSE)</f>
        <v>2485</v>
      </c>
      <c r="W16" s="1">
        <f>VLOOKUP($B16, '[1]Pro of hr flat'!$B$2:$X$31, $A$1, FALSE)*parameters!$B$8</f>
        <v>0</v>
      </c>
      <c r="X16" s="1">
        <f>VLOOKUP($B16, '[1]Exp of flat'!$B$2:$X$31, $A$1, FALSE)</f>
        <v>1097</v>
      </c>
      <c r="Y16" s="1">
        <f>VLOOKUP($B16, '[1]Imp of flat'!$B$2:$X$31, $A$1, FALSE)</f>
        <v>9090</v>
      </c>
      <c r="Z16" s="1">
        <f>VLOOKUP($B16, '[1]Indirect exp'!$B$2:$X$31, $A$1, FALSE)</f>
        <v>870</v>
      </c>
      <c r="AA16" s="1">
        <f>VLOOKUP($B16, '[1]Indirect imp'!$B$2:$X$31, $A$1, FALSE)</f>
        <v>1640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7">
        <f>VLOOKUP($B17, '[1]Iron content'!$B$2:$X$31, $A$1, FALSE)</f>
        <v>0</v>
      </c>
      <c r="F17" s="1">
        <f>VLOOKUP($B17, '[1]Exp of usable iron ore'!$B$2:$X$31, $A$1, FALSE)*parameters!$B$12</f>
        <v>58.5</v>
      </c>
      <c r="G17" s="1">
        <f>VLOOKUP($B17, '[1]Pro of pig iron'!$B$2:$X$31, $A$1, FALSE)*(1-VLOOKUP($B17, '[1]Foundry share'!$B$2:$X$31, $A$1, FALSE))</f>
        <v>10866</v>
      </c>
      <c r="H17" s="1">
        <f>VLOOKUP($B17, '[1]Exp of pig iron'!$B$2:$X$31, $A$1, FALSE)</f>
        <v>35</v>
      </c>
      <c r="I17" s="1">
        <f>VLOOKUP($B17, '[1]Imp of pig iron'!$B$2:$X$31, $A$1, FALSE)</f>
        <v>149</v>
      </c>
      <c r="J17" s="1">
        <f>VLOOKUP($B17, '[1]Pro of DRI'!$B$2:$X$31, $A$1, FALSE)*(1-VLOOKUP($B17, '[1]Foundry share'!$B$2:$X$31, $A$1, FALSE))</f>
        <v>0</v>
      </c>
      <c r="K17" s="1">
        <f>VLOOKUP($B17, '[1]Exp of DRI'!$B$2:$X$31, $A$1, FALSE)</f>
        <v>13</v>
      </c>
      <c r="L17" s="1">
        <f>VLOOKUP($B17, '[1]Imp of DRI'!$B$2:$X$31, $A$1, FALSE)</f>
        <v>33</v>
      </c>
      <c r="M17" s="1">
        <f>VLOOKUP($B17, '[1]Exp of scrap'!$B$2:$X$31, $A$1, FALSE)</f>
        <v>6177</v>
      </c>
      <c r="N17" s="1">
        <f>VLOOKUP($B17, '[1]Imp of scrap'!$B$2:$X$31, $A$1, FALSE)</f>
        <v>2473</v>
      </c>
      <c r="O17" s="1">
        <f>VLOOKUP($B17, '[1]Pro of BOF steel'!$B$2:$X$31, $A$1, FALSE)</f>
        <v>10645</v>
      </c>
      <c r="P17" s="1">
        <f>VLOOKUP($B17, '[1]Pro of OHF steel'!$B$2:$X$31, $A$1, FALSE)</f>
        <v>0</v>
      </c>
      <c r="Q17" s="1">
        <f>VLOOKUP($B17, '[1]Pro of EAF steel'!$B$2:$X$31, $A$1, FALSE)</f>
        <v>5498</v>
      </c>
      <c r="R17" s="1">
        <f>VLOOKUP($B17, '[1]Exp of ingots and semis'!$B$2:$X$31, $A$1, FALSE)</f>
        <v>1236</v>
      </c>
      <c r="S17" s="1">
        <f>VLOOKUP($B17, '[1]Imp of ingots and semis'!$B$2:$X$31, $A$1, FALSE)</f>
        <v>1800</v>
      </c>
      <c r="T17" s="1">
        <f>VLOOKUP($B17, '[1]Pro of hr long'!$B$2:$X$31, $A$1, FALSE)+VLOOKUP($B17, '[1]Pro of seamless tubes'!$B$2:$X$31, $A$1, FALSE)</f>
        <v>5116</v>
      </c>
      <c r="U17" s="1">
        <f>VLOOKUP($B17, '[1]Exp of long'!$B$2:$X$31, $A$1, FALSE)</f>
        <v>2482</v>
      </c>
      <c r="V17" s="1">
        <f>VLOOKUP($B17, '[1]Imp of long'!$B$2:$X$31, $A$1, FALSE)</f>
        <v>2973</v>
      </c>
      <c r="W17" s="1">
        <f>VLOOKUP($B17, '[1]Pro of hr flat'!$B$2:$X$31, $A$1, FALSE)*parameters!$B$8</f>
        <v>10539.379800853485</v>
      </c>
      <c r="X17" s="1">
        <f>VLOOKUP($B17, '[1]Exp of flat'!$B$2:$X$31, $A$1, FALSE)</f>
        <v>10395</v>
      </c>
      <c r="Y17" s="1">
        <f>VLOOKUP($B17, '[1]Imp of flat'!$B$2:$X$31, $A$1, FALSE)</f>
        <v>7350</v>
      </c>
      <c r="Z17" s="1">
        <f>VLOOKUP($B17, '[1]Indirect exp'!$B$2:$X$31, $A$1, FALSE)</f>
        <v>7889</v>
      </c>
      <c r="AA17" s="1">
        <f>VLOOKUP($B17, '[1]Indirect imp'!$B$2:$X$31, $A$1, FALSE)</f>
        <v>11165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7">
        <f>VLOOKUP($B18, '[1]Iron content'!$B$2:$X$31, $A$1, FALSE)</f>
        <v>0</v>
      </c>
      <c r="F18" s="1">
        <f>VLOOKUP($B18, '[1]Exp of usable iron ore'!$B$2:$X$31, $A$1, FALSE)*parameters!$B$12</f>
        <v>0</v>
      </c>
      <c r="G18" s="1">
        <f>VLOOKUP($B18, '[1]Pro of pig iron'!$B$2:$X$31, $A$1, FALSE)*(1-VLOOKUP($B18, '[1]Foundry share'!$B$2:$X$31, $A$1, FALSE))</f>
        <v>3958</v>
      </c>
      <c r="H18" s="1">
        <f>VLOOKUP($B18, '[1]Exp of pig iron'!$B$2:$X$31, $A$1, FALSE)</f>
        <v>9</v>
      </c>
      <c r="I18" s="1">
        <f>VLOOKUP($B18, '[1]Imp of pig iron'!$B$2:$X$31, $A$1, FALSE)</f>
        <v>276</v>
      </c>
      <c r="J18" s="1">
        <f>VLOOKUP($B18, '[1]Pro of DRI'!$B$2:$X$31, $A$1, FALSE)*(1-VLOOKUP($B18, '[1]Foundry share'!$B$2:$X$31, $A$1, FALSE))</f>
        <v>0</v>
      </c>
      <c r="K18" s="1">
        <f>VLOOKUP($B18, '[1]Exp of DRI'!$B$2:$X$31, $A$1, FALSE)</f>
        <v>4</v>
      </c>
      <c r="L18" s="1">
        <f>VLOOKUP($B18, '[1]Imp of DRI'!$B$2:$X$31, $A$1, FALSE)</f>
        <v>596</v>
      </c>
      <c r="M18" s="1">
        <f>VLOOKUP($B18, '[1]Exp of scrap'!$B$2:$X$31, $A$1, FALSE)</f>
        <v>600</v>
      </c>
      <c r="N18" s="1">
        <f>VLOOKUP($B18, '[1]Imp of scrap'!$B$2:$X$31, $A$1, FALSE)</f>
        <v>4827</v>
      </c>
      <c r="O18" s="1">
        <f>VLOOKUP($B18, '[1]Pro of BOF steel'!$B$2:$X$31, $A$1, FALSE)</f>
        <v>4206</v>
      </c>
      <c r="P18" s="1">
        <f>VLOOKUP($B18, '[1]Pro of OHF steel'!$B$2:$X$31, $A$1, FALSE)</f>
        <v>0</v>
      </c>
      <c r="Q18" s="1">
        <f>VLOOKUP($B18, '[1]Pro of EAF steel'!$B$2:$X$31, $A$1, FALSE)</f>
        <v>10042</v>
      </c>
      <c r="R18" s="1">
        <f>VLOOKUP($B18, '[1]Exp of ingots and semis'!$B$2:$X$31, $A$1, FALSE)</f>
        <v>112</v>
      </c>
      <c r="S18" s="1">
        <f>VLOOKUP($B18, '[1]Imp of ingots and semis'!$B$2:$X$31, $A$1, FALSE)</f>
        <v>953</v>
      </c>
      <c r="T18" s="1">
        <f>VLOOKUP($B18, '[1]Pro of hr long'!$B$2:$X$31, $A$1, FALSE)+VLOOKUP($B18, '[1]Pro of seamless tubes'!$B$2:$X$31, $A$1, FALSE)</f>
        <v>9194</v>
      </c>
      <c r="U18" s="1">
        <f>VLOOKUP($B18, '[1]Exp of long'!$B$2:$X$31, $A$1, FALSE)</f>
        <v>6387</v>
      </c>
      <c r="V18" s="1">
        <f>VLOOKUP($B18, '[1]Imp of long'!$B$2:$X$31, $A$1, FALSE)</f>
        <v>1055</v>
      </c>
      <c r="W18" s="1">
        <f>VLOOKUP($B18, '[1]Pro of hr flat'!$B$2:$X$31, $A$1, FALSE)*parameters!$B$8</f>
        <v>4473.9900426742533</v>
      </c>
      <c r="X18" s="1">
        <f>VLOOKUP($B18, '[1]Exp of flat'!$B$2:$X$31, $A$1, FALSE)</f>
        <v>2268</v>
      </c>
      <c r="Y18" s="1">
        <f>VLOOKUP($B18, '[1]Imp of flat'!$B$2:$X$31, $A$1, FALSE)</f>
        <v>5598</v>
      </c>
      <c r="Z18" s="1">
        <f>VLOOKUP($B18, '[1]Indirect exp'!$B$2:$X$31, $A$1, FALSE)</f>
        <v>8942</v>
      </c>
      <c r="AA18" s="1">
        <f>VLOOKUP($B18, '[1]Indirect imp'!$B$2:$X$31, $A$1, FALSE)</f>
        <v>6641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43173</v>
      </c>
      <c r="D19" s="1">
        <f>VLOOKUP($B19, '[1]Pro of iron ore'!$B$2:$X$31, $A$1, FALSE)*(1-VLOOKUP($B19, '[1]Foundry share'!$B$2:$X$31, $A$1, FALSE))</f>
        <v>25900</v>
      </c>
      <c r="E19" s="47">
        <f>VLOOKUP($B19, '[1]Iron content'!$B$2:$X$31, $A$1, FALSE)</f>
        <v>0.5999119820258032</v>
      </c>
      <c r="F19" s="1">
        <f>VLOOKUP($B19, '[1]Exp of usable iron ore'!$B$2:$X$31, $A$1, FALSE)*parameters!$B$12</f>
        <v>26195.65</v>
      </c>
      <c r="G19" s="1">
        <f>VLOOKUP($B19, '[1]Pro of pig iron'!$B$2:$X$31, $A$1, FALSE)*(1-VLOOKUP($B19, '[1]Foundry share'!$B$2:$X$31, $A$1, FALSE))</f>
        <v>6728</v>
      </c>
      <c r="H19" s="1">
        <f>VLOOKUP($B19, '[1]Exp of pig iron'!$B$2:$X$31, $A$1, FALSE)</f>
        <v>21</v>
      </c>
      <c r="I19" s="1">
        <f>VLOOKUP($B19, '[1]Imp of pig iron'!$B$2:$X$31, $A$1, FALSE)</f>
        <v>56</v>
      </c>
      <c r="J19" s="1">
        <f>VLOOKUP($B19, '[1]Pro of DRI'!$B$2:$X$31, $A$1, FALSE)*(1-VLOOKUP($B19, '[1]Foundry share'!$B$2:$X$31, $A$1, FALSE))</f>
        <v>1550</v>
      </c>
      <c r="K19" s="1">
        <f>VLOOKUP($B19, '[1]Exp of DRI'!$B$2:$X$31, $A$1, FALSE)</f>
        <v>85</v>
      </c>
      <c r="L19" s="1">
        <f>VLOOKUP($B19, '[1]Imp of DRI'!$B$2:$X$31, $A$1, FALSE)</f>
        <v>40</v>
      </c>
      <c r="M19" s="1">
        <f>VLOOKUP($B19, '[1]Exp of scrap'!$B$2:$X$31, $A$1, FALSE)</f>
        <v>4510</v>
      </c>
      <c r="N19" s="1">
        <f>VLOOKUP($B19, '[1]Imp of scrap'!$B$2:$X$31, $A$1, FALSE)</f>
        <v>1520</v>
      </c>
      <c r="O19" s="1">
        <f>VLOOKUP($B19, '[1]Pro of BOF steel'!$B$2:$X$31, $A$1, FALSE)</f>
        <v>7723</v>
      </c>
      <c r="P19" s="1">
        <f>VLOOKUP($B19, '[1]Pro of OHF steel'!$B$2:$X$31, $A$1, FALSE)</f>
        <v>0</v>
      </c>
      <c r="Q19" s="1">
        <f>VLOOKUP($B19, '[1]Pro of EAF steel'!$B$2:$X$31, $A$1, FALSE)</f>
        <v>5007</v>
      </c>
      <c r="R19" s="1">
        <f>VLOOKUP($B19, '[1]Exp of ingots and semis'!$B$2:$X$31, $A$1, FALSE)</f>
        <v>386</v>
      </c>
      <c r="S19" s="1">
        <f>VLOOKUP($B19, '[1]Imp of ingots and semis'!$B$2:$X$31, $A$1, FALSE)</f>
        <v>557</v>
      </c>
      <c r="T19" s="1">
        <f>VLOOKUP($B19, '[1]Pro of hr long'!$B$2:$X$31, $A$1, FALSE)+VLOOKUP($B19, '[1]Pro of seamless tubes'!$B$2:$X$31, $A$1, FALSE)</f>
        <v>1962</v>
      </c>
      <c r="U19" s="1">
        <f>VLOOKUP($B19, '[1]Exp of long'!$B$2:$X$31, $A$1, FALSE)</f>
        <v>1521</v>
      </c>
      <c r="V19" s="1">
        <f>VLOOKUP($B19, '[1]Imp of long'!$B$2:$X$31, $A$1, FALSE)</f>
        <v>3021</v>
      </c>
      <c r="W19" s="1">
        <f>VLOOKUP($B19, '[1]Pro of hr flat'!$B$2:$X$31, $A$1, FALSE)*parameters!$B$8</f>
        <v>9600.8620199146517</v>
      </c>
      <c r="X19" s="1">
        <f>VLOOKUP($B19, '[1]Exp of flat'!$B$2:$X$31, $A$1, FALSE)</f>
        <v>3256</v>
      </c>
      <c r="Y19" s="1">
        <f>VLOOKUP($B19, '[1]Imp of flat'!$B$2:$X$31, $A$1, FALSE)</f>
        <v>4546</v>
      </c>
      <c r="Z19" s="1">
        <f>VLOOKUP($B19, '[1]Indirect exp'!$B$2:$X$31, $A$1, FALSE)</f>
        <v>5823</v>
      </c>
      <c r="AA19" s="1">
        <f>VLOOKUP($B19, '[1]Indirect imp'!$B$2:$X$31, $A$1, FALSE)</f>
        <v>12246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3162</v>
      </c>
      <c r="D20" s="1">
        <f>VLOOKUP($B20, '[1]Pro of iron ore'!$B$2:$X$31, $A$1, FALSE)*(1-VLOOKUP($B20, '[1]Foundry share'!$B$2:$X$31, $A$1, FALSE))</f>
        <v>1770</v>
      </c>
      <c r="E20" s="47">
        <f>VLOOKUP($B20, '[1]Iron content'!$B$2:$X$31, $A$1, FALSE)</f>
        <v>0.5597722960151803</v>
      </c>
      <c r="F20" s="1">
        <f>VLOOKUP($B20, '[1]Exp of usable iron ore'!$B$2:$X$31, $A$1, FALSE)*parameters!$B$12</f>
        <v>2055.3000000000002</v>
      </c>
      <c r="G20" s="1">
        <f>VLOOKUP($B20, '[1]Pro of pig iron'!$B$2:$X$31, $A$1, FALSE)*(1-VLOOKUP($B20, '[1]Foundry share'!$B$2:$X$31, $A$1, FALSE))</f>
        <v>1730</v>
      </c>
      <c r="H20" s="1">
        <f>VLOOKUP($B20, '[1]Exp of pig iron'!$B$2:$X$31, $A$1, FALSE)</f>
        <v>286</v>
      </c>
      <c r="I20" s="1">
        <f>VLOOKUP($B20, '[1]Imp of pig iron'!$B$2:$X$31, $A$1, FALSE)</f>
        <v>23</v>
      </c>
      <c r="J20" s="1">
        <f>VLOOKUP($B20, '[1]Pro of DRI'!$B$2:$X$31, $A$1, FALSE)*(1-VLOOKUP($B20, '[1]Foundry share'!$B$2:$X$31, $A$1, FALSE))</f>
        <v>155</v>
      </c>
      <c r="K20" s="1">
        <f>VLOOKUP($B20, '[1]Exp of DRI'!$B$2:$X$31, $A$1, FALSE)</f>
        <v>21</v>
      </c>
      <c r="L20" s="1">
        <f>VLOOKUP($B20, '[1]Imp of DRI'!$B$2:$X$31, $A$1, FALSE)</f>
        <v>37</v>
      </c>
      <c r="M20" s="1">
        <f>VLOOKUP($B20, '[1]Exp of scrap'!$B$2:$X$31, $A$1, FALSE)</f>
        <v>42</v>
      </c>
      <c r="N20" s="1">
        <f>VLOOKUP($B20, '[1]Imp of scrap'!$B$2:$X$31, $A$1, FALSE)</f>
        <v>2137</v>
      </c>
      <c r="O20" s="1">
        <f>VLOOKUP($B20, '[1]Pro of BOF steel'!$B$2:$X$31, $A$1, FALSE)</f>
        <v>1903</v>
      </c>
      <c r="P20" s="1">
        <f>VLOOKUP($B20, '[1]Pro of OHF steel'!$B$2:$X$31, $A$1, FALSE)</f>
        <v>0</v>
      </c>
      <c r="Q20" s="1">
        <f>VLOOKUP($B20, '[1]Pro of EAF steel'!$B$2:$X$31, $A$1, FALSE)</f>
        <v>2448</v>
      </c>
      <c r="R20" s="1">
        <f>VLOOKUP($B20, '[1]Exp of ingots and semis'!$B$2:$X$31, $A$1, FALSE)</f>
        <v>313</v>
      </c>
      <c r="S20" s="1">
        <f>VLOOKUP($B20, '[1]Imp of ingots and semis'!$B$2:$X$31, $A$1, FALSE)</f>
        <v>3697</v>
      </c>
      <c r="T20" s="1">
        <f>VLOOKUP($B20, '[1]Pro of hr long'!$B$2:$X$31, $A$1, FALSE)+VLOOKUP($B20, '[1]Pro of seamless tubes'!$B$2:$X$31, $A$1, FALSE)</f>
        <v>2885</v>
      </c>
      <c r="U20" s="1">
        <f>VLOOKUP($B20, '[1]Exp of long'!$B$2:$X$31, $A$1, FALSE)</f>
        <v>115</v>
      </c>
      <c r="V20" s="1">
        <f>VLOOKUP($B20, '[1]Imp of long'!$B$2:$X$31, $A$1, FALSE)</f>
        <v>1907</v>
      </c>
      <c r="W20" s="1">
        <f>VLOOKUP($B20, '[1]Pro of hr flat'!$B$2:$X$31, $A$1, FALSE)*parameters!$B$8</f>
        <v>3487.8662873399717</v>
      </c>
      <c r="X20" s="1">
        <f>VLOOKUP($B20, '[1]Exp of flat'!$B$2:$X$31, $A$1, FALSE)</f>
        <v>448</v>
      </c>
      <c r="Y20" s="1">
        <f>VLOOKUP($B20, '[1]Imp of flat'!$B$2:$X$31, $A$1, FALSE)</f>
        <v>4556</v>
      </c>
      <c r="Z20" s="1">
        <f>VLOOKUP($B20, '[1]Indirect exp'!$B$2:$X$31, $A$1, FALSE)</f>
        <v>1710</v>
      </c>
      <c r="AA20" s="1">
        <f>VLOOKUP($B20, '[1]Indirect imp'!$B$2:$X$31, $A$1, FALSE)</f>
        <v>4627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7">
        <f>VLOOKUP($B21, '[1]Iron content'!$B$2:$X$31, $A$1, FALSE)</f>
        <v>0</v>
      </c>
      <c r="F21" s="1">
        <f>VLOOKUP($B21, '[1]Exp of usable iron ore'!$B$2:$X$31, $A$1, FALSE)*parameters!$B$12</f>
        <v>0</v>
      </c>
      <c r="G21" s="1">
        <f>VLOOKUP($B21, '[1]Pro of pig iron'!$B$2:$X$31, $A$1, FALSE)*(1-VLOOKUP($B21, '[1]Foundry share'!$B$2:$X$31, $A$1, FALSE))</f>
        <v>4637</v>
      </c>
      <c r="H21" s="1">
        <f>VLOOKUP($B21, '[1]Exp of pig iron'!$B$2:$X$31, $A$1, FALSE)</f>
        <v>0</v>
      </c>
      <c r="I21" s="1">
        <f>VLOOKUP($B21, '[1]Imp of pig iron'!$B$2:$X$31, $A$1, FALSE)</f>
        <v>173</v>
      </c>
      <c r="J21" s="1">
        <f>VLOOKUP($B21, '[1]Pro of DRI'!$B$2:$X$31, $A$1, FALSE)*(1-VLOOKUP($B21, '[1]Foundry share'!$B$2:$X$31, $A$1, FALSE))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2005</v>
      </c>
      <c r="N21" s="1">
        <f>VLOOKUP($B21, '[1]Imp of scrap'!$B$2:$X$31, $A$1, FALSE)</f>
        <v>481</v>
      </c>
      <c r="O21" s="1">
        <f>VLOOKUP($B21, '[1]Pro of BOF steel'!$B$2:$X$31, $A$1, FALSE)</f>
        <v>5067</v>
      </c>
      <c r="P21" s="1">
        <f>VLOOKUP($B21, '[1]Pro of OHF steel'!$B$2:$X$31, $A$1, FALSE)</f>
        <v>0</v>
      </c>
      <c r="Q21" s="1">
        <f>VLOOKUP($B21, '[1]Pro of EAF steel'!$B$2:$X$31, $A$1, FALSE)</f>
        <v>3492</v>
      </c>
      <c r="R21" s="1">
        <f>VLOOKUP($B21, '[1]Exp of ingots and semis'!$B$2:$X$31, $A$1, FALSE)</f>
        <v>720</v>
      </c>
      <c r="S21" s="1">
        <f>VLOOKUP($B21, '[1]Imp of ingots and semis'!$B$2:$X$31, $A$1, FALSE)</f>
        <v>401</v>
      </c>
      <c r="T21" s="1">
        <f>VLOOKUP($B21, '[1]Pro of hr long'!$B$2:$X$31, $A$1, FALSE)+VLOOKUP($B21, '[1]Pro of seamless tubes'!$B$2:$X$31, $A$1, FALSE)</f>
        <v>4845</v>
      </c>
      <c r="U21" s="1">
        <f>VLOOKUP($B21, '[1]Exp of long'!$B$2:$X$31, $A$1, FALSE)</f>
        <v>2488</v>
      </c>
      <c r="V21" s="1">
        <f>VLOOKUP($B21, '[1]Imp of long'!$B$2:$X$31, $A$1, FALSE)</f>
        <v>2183</v>
      </c>
      <c r="W21" s="1">
        <f>VLOOKUP($B21, '[1]Pro of hr flat'!$B$2:$X$31, $A$1, FALSE)*parameters!$B$8</f>
        <v>2725.1991465149358</v>
      </c>
      <c r="X21" s="1">
        <f>VLOOKUP($B21, '[1]Exp of flat'!$B$2:$X$31, $A$1, FALSE)</f>
        <v>1307</v>
      </c>
      <c r="Y21" s="1">
        <f>VLOOKUP($B21, '[1]Imp of flat'!$B$2:$X$31, $A$1, FALSE)</f>
        <v>5855</v>
      </c>
      <c r="Z21" s="1">
        <f>VLOOKUP($B21, '[1]Indirect exp'!$B$2:$X$31, $A$1, FALSE)</f>
        <v>9103</v>
      </c>
      <c r="AA21" s="1">
        <f>VLOOKUP($B21, '[1]Indirect imp'!$B$2:$X$31, $A$1, FALSE)</f>
        <v>6854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1697</v>
      </c>
      <c r="D22" s="1">
        <f>VLOOKUP($B22, '[1]Pro of iron ore'!$B$2:$X$31, $A$1, FALSE)*(1-VLOOKUP($B22, '[1]Foundry share'!$B$2:$X$31, $A$1, FALSE))</f>
        <v>1050</v>
      </c>
      <c r="E22" s="47">
        <f>VLOOKUP($B22, '[1]Iron content'!$B$2:$X$31, $A$1, FALSE)</f>
        <v>0.61873895109015908</v>
      </c>
      <c r="F22" s="1">
        <f>VLOOKUP($B22, '[1]Exp of usable iron ore'!$B$2:$X$31, $A$1, FALSE)*parameters!$B$12</f>
        <v>170.95000000000002</v>
      </c>
      <c r="G22" s="1">
        <f>VLOOKUP($B22, '[1]Pro of pig iron'!$B$2:$X$31, $A$1, FALSE)*(1-VLOOKUP($B22, '[1]Foundry share'!$B$2:$X$31, $A$1, FALSE))</f>
        <v>550</v>
      </c>
      <c r="H22" s="1">
        <f>VLOOKUP($B22, '[1]Exp of pig iron'!$B$2:$X$31, $A$1, FALSE)</f>
        <v>0</v>
      </c>
      <c r="I22" s="1">
        <f>VLOOKUP($B22, '[1]Imp of pig iron'!$B$2:$X$31, $A$1, FALSE)</f>
        <v>113</v>
      </c>
      <c r="J22" s="1">
        <f>VLOOKUP($B22, '[1]Pro of DRI'!$B$2:$X$31, $A$1, FALSE)*(1-VLOOKUP($B22, '[1]Foundry share'!$B$2:$X$31, $A$1, FALSE))</f>
        <v>2882</v>
      </c>
      <c r="K22" s="1">
        <f>VLOOKUP($B22, '[1]Exp of DRI'!$B$2:$X$31, $A$1, FALSE)</f>
        <v>0</v>
      </c>
      <c r="L22" s="1">
        <f>VLOOKUP($B22, '[1]Imp of DRI'!$B$2:$X$31, $A$1, FALSE)</f>
        <v>67</v>
      </c>
      <c r="M22" s="1">
        <f>VLOOKUP($B22, '[1]Exp of scrap'!$B$2:$X$31, $A$1, FALSE)</f>
        <v>23</v>
      </c>
      <c r="N22" s="1">
        <f>VLOOKUP($B22, '[1]Imp of scrap'!$B$2:$X$31, $A$1, FALSE)</f>
        <v>2971</v>
      </c>
      <c r="O22" s="1">
        <f>VLOOKUP($B22, '[1]Pro of BOF steel'!$B$2:$X$31, $A$1, FALSE)</f>
        <v>515</v>
      </c>
      <c r="P22" s="1">
        <f>VLOOKUP($B22, '[1]Pro of OHF steel'!$B$2:$X$31, $A$1, FALSE)</f>
        <v>0</v>
      </c>
      <c r="Q22" s="1">
        <f>VLOOKUP($B22, '[1]Pro of EAF steel'!$B$2:$X$31, $A$1, FALSE)</f>
        <v>5970</v>
      </c>
      <c r="R22" s="1">
        <f>VLOOKUP($B22, '[1]Exp of ingots and semis'!$B$2:$X$31, $A$1, FALSE)</f>
        <v>110</v>
      </c>
      <c r="S22" s="1">
        <f>VLOOKUP($B22, '[1]Imp of ingots and semis'!$B$2:$X$31, $A$1, FALSE)</f>
        <v>3085</v>
      </c>
      <c r="T22" s="1">
        <f>VLOOKUP($B22, '[1]Pro of hr long'!$B$2:$X$31, $A$1, FALSE)+VLOOKUP($B22, '[1]Pro of seamless tubes'!$B$2:$X$31, $A$1, FALSE)</f>
        <v>7288</v>
      </c>
      <c r="U22" s="1">
        <f>VLOOKUP($B22, '[1]Exp of long'!$B$2:$X$31, $A$1, FALSE)</f>
        <v>269</v>
      </c>
      <c r="V22" s="1">
        <f>VLOOKUP($B22, '[1]Imp of long'!$B$2:$X$31, $A$1, FALSE)</f>
        <v>1533</v>
      </c>
      <c r="W22" s="1">
        <f>VLOOKUP($B22, '[1]Pro of hr flat'!$B$2:$X$31, $A$1, FALSE)*parameters!$B$8</f>
        <v>824.84637268847791</v>
      </c>
      <c r="X22" s="1">
        <f>VLOOKUP($B22, '[1]Exp of flat'!$B$2:$X$31, $A$1, FALSE)</f>
        <v>770</v>
      </c>
      <c r="Y22" s="1">
        <f>VLOOKUP($B22, '[1]Imp of flat'!$B$2:$X$31, $A$1, FALSE)</f>
        <v>1212</v>
      </c>
      <c r="Z22" s="1">
        <f>VLOOKUP($B22, '[1]Indirect exp'!$B$2:$X$31, $A$1, FALSE)</f>
        <v>241</v>
      </c>
      <c r="AA22" s="1">
        <f>VLOOKUP($B22, '[1]Indirect imp'!$B$2:$X$31, $A$1, FALSE)</f>
        <v>1341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7">
        <f>VLOOKUP($B23, '[1]Iron content'!$B$2:$X$31, $A$1, FALSE)</f>
        <v>0</v>
      </c>
      <c r="F23" s="1">
        <f>VLOOKUP($B23, '[1]Exp of usable iron ore'!$B$2:$X$31, $A$1, FALSE)*parameters!$B$12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128</v>
      </c>
      <c r="J23" s="1">
        <f>VLOOKUP($B23, '[1]Pro of DRI'!$B$2:$X$31, $A$1, FALSE)*(1-VLOOKUP($B23, '[1]Foundry share'!$B$2:$X$31, $A$1, FALSE))</f>
        <v>4334.4078599020286</v>
      </c>
      <c r="K23" s="1">
        <f>VLOOKUP($B23, '[1]Exp of DRI'!$B$2:$X$31, $A$1, FALSE)</f>
        <v>66</v>
      </c>
      <c r="L23" s="1">
        <f>VLOOKUP($B23, '[1]Imp of DRI'!$B$2:$X$31, $A$1, FALSE)</f>
        <v>126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6291</v>
      </c>
      <c r="R23" s="1">
        <f>VLOOKUP($B23, '[1]Exp of ingots and semis'!$B$2:$X$31, $A$1, FALSE)</f>
        <v>29</v>
      </c>
      <c r="S23" s="1">
        <f>VLOOKUP($B23, '[1]Imp of ingots and semis'!$B$2:$X$31, $A$1, FALSE)</f>
        <v>1196</v>
      </c>
      <c r="T23" s="1">
        <f>VLOOKUP($B23, '[1]Pro of hr long'!$B$2:$X$31, $A$1, FALSE)+VLOOKUP($B23, '[1]Pro of seamless tubes'!$B$2:$X$31, $A$1, FALSE)</f>
        <v>3000</v>
      </c>
      <c r="U23" s="1">
        <f>VLOOKUP($B23, '[1]Exp of long'!$B$2:$X$31, $A$1, FALSE)</f>
        <v>1</v>
      </c>
      <c r="V23" s="1">
        <f>VLOOKUP($B23, '[1]Imp of long'!$B$2:$X$31, $A$1, FALSE)</f>
        <v>1531</v>
      </c>
      <c r="W23" s="1">
        <f>VLOOKUP($B23, '[1]Pro of hr flat'!$B$2:$X$31, $A$1, FALSE)*parameters!$B$8</f>
        <v>1943.1009957325746</v>
      </c>
      <c r="X23" s="1">
        <f>VLOOKUP($B23, '[1]Exp of flat'!$B$2:$X$31, $A$1, FALSE)</f>
        <v>80</v>
      </c>
      <c r="Y23" s="1">
        <f>VLOOKUP($B23, '[1]Imp of flat'!$B$2:$X$31, $A$1, FALSE)</f>
        <v>2736</v>
      </c>
      <c r="Z23" s="1">
        <f>VLOOKUP($B23, '[1]Indirect exp'!$B$2:$X$31, $A$1, FALSE)</f>
        <v>767</v>
      </c>
      <c r="AA23" s="1">
        <f>VLOOKUP($B23, '[1]Indirect imp'!$B$2:$X$31, $A$1, FALSE)</f>
        <v>5708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2437</v>
      </c>
      <c r="D24" s="1">
        <f>VLOOKUP($B24, '[1]Pro of iron ore'!$B$2:$X$31, $A$1, FALSE)*(1-VLOOKUP($B24, '[1]Foundry share'!$B$2:$X$31, $A$1, FALSE))</f>
        <v>780</v>
      </c>
      <c r="E24" s="47">
        <f>VLOOKUP($B24, '[1]Iron content'!$B$2:$X$31, $A$1, FALSE)</f>
        <v>0.32006565449322938</v>
      </c>
      <c r="F24" s="1">
        <f>VLOOKUP($B24, '[1]Exp of usable iron ore'!$B$2:$X$31, $A$1, FALSE)*parameters!$B$12</f>
        <v>0</v>
      </c>
      <c r="G24" s="1">
        <f>VLOOKUP($B24, '[1]Pro of pig iron'!$B$2:$X$31, $A$1, FALSE)*(1-VLOOKUP($B24, '[1]Foundry share'!$B$2:$X$31, $A$1, FALSE))</f>
        <v>6029</v>
      </c>
      <c r="H24" s="1">
        <f>VLOOKUP($B24, '[1]Exp of pig iron'!$B$2:$X$31, $A$1, FALSE)</f>
        <v>2</v>
      </c>
      <c r="I24" s="1">
        <f>VLOOKUP($B24, '[1]Imp of pig iron'!$B$2:$X$31, $A$1, FALSE)</f>
        <v>18</v>
      </c>
      <c r="J24" s="1">
        <f>VLOOKUP($B24, '[1]Pro of DRI'!$B$2:$X$31, $A$1, FALSE)*(1-VLOOKUP($B24, '[1]Foundry share'!$B$2:$X$31, $A$1, FALSE))</f>
        <v>0</v>
      </c>
      <c r="K24" s="1">
        <f>VLOOKUP($B24, '[1]Exp of DRI'!$B$2:$X$31, $A$1, FALSE)</f>
        <v>0</v>
      </c>
      <c r="L24" s="1">
        <f>VLOOKUP($B24, '[1]Imp of DRI'!$B$2:$X$31, $A$1, FALSE)</f>
        <v>42</v>
      </c>
      <c r="M24" s="1">
        <f>VLOOKUP($B24, '[1]Exp of scrap'!$B$2:$X$31, $A$1, FALSE)</f>
        <v>1077</v>
      </c>
      <c r="N24" s="1">
        <f>VLOOKUP($B24, '[1]Imp of scrap'!$B$2:$X$31, $A$1, FALSE)</f>
        <v>1188</v>
      </c>
      <c r="O24" s="1">
        <f>VLOOKUP($B24, '[1]Pro of BOF steel'!$B$2:$X$31, $A$1, FALSE)</f>
        <v>7185</v>
      </c>
      <c r="P24" s="1">
        <f>VLOOKUP($B24, '[1]Pro of OHF steel'!$B$2:$X$31, $A$1, FALSE)</f>
        <v>0</v>
      </c>
      <c r="Q24" s="1">
        <f>VLOOKUP($B24, '[1]Pro of EAF steel'!$B$2:$X$31, $A$1, FALSE)</f>
        <v>691</v>
      </c>
      <c r="R24" s="1">
        <f>VLOOKUP($B24, '[1]Exp of ingots and semis'!$B$2:$X$31, $A$1, FALSE)</f>
        <v>247</v>
      </c>
      <c r="S24" s="1">
        <f>VLOOKUP($B24, '[1]Imp of ingots and semis'!$B$2:$X$31, $A$1, FALSE)</f>
        <v>289</v>
      </c>
      <c r="T24" s="1">
        <f>VLOOKUP($B24, '[1]Pro of hr long'!$B$2:$X$31, $A$1, FALSE)+VLOOKUP($B24, '[1]Pro of seamless tubes'!$B$2:$X$31, $A$1, FALSE)</f>
        <v>1878</v>
      </c>
      <c r="U24" s="1">
        <f>VLOOKUP($B24, '[1]Exp of long'!$B$2:$X$31, $A$1, FALSE)</f>
        <v>1456</v>
      </c>
      <c r="V24" s="1">
        <f>VLOOKUP($B24, '[1]Imp of long'!$B$2:$X$31, $A$1, FALSE)</f>
        <v>1243</v>
      </c>
      <c r="W24" s="1">
        <f>VLOOKUP($B24, '[1]Pro of hr flat'!$B$2:$X$31, $A$1, FALSE)*parameters!$B$8</f>
        <v>5120.0711237553342</v>
      </c>
      <c r="X24" s="1">
        <f>VLOOKUP($B24, '[1]Exp of flat'!$B$2:$X$31, $A$1, FALSE)</f>
        <v>4732</v>
      </c>
      <c r="Y24" s="1">
        <f>VLOOKUP($B24, '[1]Imp of flat'!$B$2:$X$31, $A$1, FALSE)</f>
        <v>1806</v>
      </c>
      <c r="Z24" s="1">
        <f>VLOOKUP($B24, '[1]Indirect exp'!$B$2:$X$31, $A$1, FALSE)</f>
        <v>3661</v>
      </c>
      <c r="AA24" s="1">
        <f>VLOOKUP($B24, '[1]Indirect imp'!$B$2:$X$31, $A$1, FALSE)</f>
        <v>3650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7">
        <f>VLOOKUP($B25, '[1]Iron content'!$B$2:$X$31, $A$1, FALSE)</f>
        <v>0</v>
      </c>
      <c r="F25" s="1">
        <f>VLOOKUP($B25, '[1]Exp of usable iron ore'!$B$2:$X$31, $A$1, FALSE)*parameters!$B$12</f>
        <v>1.3</v>
      </c>
      <c r="G25" s="1">
        <f>VLOOKUP($B25, '[1]Pro of pig iron'!$B$2:$X$31, $A$1, FALSE)*(1-VLOOKUP($B25, '[1]Foundry share'!$B$2:$X$31, $A$1, FALSE))</f>
        <v>4388</v>
      </c>
      <c r="H25" s="1">
        <f>VLOOKUP($B25, '[1]Exp of pig iron'!$B$2:$X$31, $A$1, FALSE)</f>
        <v>173</v>
      </c>
      <c r="I25" s="1">
        <f>VLOOKUP($B25, '[1]Imp of pig iron'!$B$2:$X$31, $A$1, FALSE)</f>
        <v>232</v>
      </c>
      <c r="J25" s="1">
        <f>VLOOKUP($B25, '[1]Pro of DRI'!$B$2:$X$31, $A$1, FALSE)*(1-VLOOKUP($B25, '[1]Foundry share'!$B$2:$X$31, $A$1, FALSE))</f>
        <v>0</v>
      </c>
      <c r="K25" s="1">
        <f>VLOOKUP($B25, '[1]Exp of DRI'!$B$2:$X$31, $A$1, FALSE)</f>
        <v>0</v>
      </c>
      <c r="L25" s="1">
        <f>VLOOKUP($B25, '[1]Imp of DRI'!$B$2:$X$31, $A$1, FALSE)</f>
        <v>12</v>
      </c>
      <c r="M25" s="1">
        <f>VLOOKUP($B25, '[1]Exp of scrap'!$B$2:$X$31, $A$1, FALSE)</f>
        <v>3931</v>
      </c>
      <c r="N25" s="1">
        <f>VLOOKUP($B25, '[1]Imp of scrap'!$B$2:$X$31, $A$1, FALSE)</f>
        <v>4760</v>
      </c>
      <c r="O25" s="1">
        <f>VLOOKUP($B25, '[1]Pro of BOF steel'!$B$2:$X$31, $A$1, FALSE)</f>
        <v>4952</v>
      </c>
      <c r="P25" s="1">
        <f>VLOOKUP($B25, '[1]Pro of OHF steel'!$B$2:$X$31, $A$1, FALSE)</f>
        <v>0</v>
      </c>
      <c r="Q25" s="1">
        <f>VLOOKUP($B25, '[1]Pro of EAF steel'!$B$2:$X$31, $A$1, FALSE)</f>
        <v>2379</v>
      </c>
      <c r="R25" s="1">
        <f>VLOOKUP($B25, '[1]Exp of ingots and semis'!$B$2:$X$31, $A$1, FALSE)</f>
        <v>195</v>
      </c>
      <c r="S25" s="1">
        <f>VLOOKUP($B25, '[1]Imp of ingots and semis'!$B$2:$X$31, $A$1, FALSE)</f>
        <v>1813</v>
      </c>
      <c r="T25" s="1">
        <f>VLOOKUP($B25, '[1]Pro of hr long'!$B$2:$X$31, $A$1, FALSE)+VLOOKUP($B25, '[1]Pro of seamless tubes'!$B$2:$X$31, $A$1, FALSE)</f>
        <v>792</v>
      </c>
      <c r="U25" s="1">
        <f>VLOOKUP($B25, '[1]Exp of long'!$B$2:$X$31, $A$1, FALSE)</f>
        <v>1390</v>
      </c>
      <c r="V25" s="1">
        <f>VLOOKUP($B25, '[1]Imp of long'!$B$2:$X$31, $A$1, FALSE)</f>
        <v>1576</v>
      </c>
      <c r="W25" s="1">
        <f>VLOOKUP($B25, '[1]Pro of hr flat'!$B$2:$X$31, $A$1, FALSE)*parameters!$B$8</f>
        <v>7383.7837837837833</v>
      </c>
      <c r="X25" s="1">
        <f>VLOOKUP($B25, '[1]Exp of flat'!$B$2:$X$31, $A$1, FALSE)</f>
        <v>12234</v>
      </c>
      <c r="Y25" s="1">
        <f>VLOOKUP($B25, '[1]Imp of flat'!$B$2:$X$31, $A$1, FALSE)</f>
        <v>6805</v>
      </c>
      <c r="Z25" s="1">
        <f>VLOOKUP($B25, '[1]Indirect exp'!$B$2:$X$31, $A$1, FALSE)</f>
        <v>7566</v>
      </c>
      <c r="AA25" s="1">
        <f>VLOOKUP($B25, '[1]Indirect imp'!$B$2:$X$31, $A$1, FALSE)</f>
        <v>7766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0</v>
      </c>
      <c r="D26" s="1">
        <f>VLOOKUP($B26, '[1]Pro of iron ore'!$B$2:$X$31, $A$1, FALSE)*(1-VLOOKUP($B26, '[1]Foundry share'!$B$2:$X$31, $A$1, FALSE))</f>
        <v>0</v>
      </c>
      <c r="E26" s="47">
        <f>VLOOKUP($B26, '[1]Iron content'!$B$2:$X$31, $A$1, FALSE)</f>
        <v>0</v>
      </c>
      <c r="F26" s="1">
        <f>VLOOKUP($B26, '[1]Exp of usable iron ore'!$B$2:$X$31, $A$1, FALSE)*parameters!$B$12</f>
        <v>0</v>
      </c>
      <c r="G26" s="1">
        <f>VLOOKUP($B26, '[1]Pro of pig iron'!$B$2:$X$31, $A$1, FALSE)*(1-VLOOKUP($B26, '[1]Foundry share'!$B$2:$X$31, $A$1, FALSE))</f>
        <v>9705</v>
      </c>
      <c r="H26" s="1">
        <f>VLOOKUP($B26, '[1]Exp of pig iron'!$B$2:$X$31, $A$1, FALSE)</f>
        <v>2</v>
      </c>
      <c r="I26" s="1">
        <f>VLOOKUP($B26, '[1]Imp of pig iron'!$B$2:$X$31, $A$1, FALSE)</f>
        <v>53</v>
      </c>
      <c r="J26" s="1">
        <f>VLOOKUP($B26, '[1]Pro of DRI'!$B$2:$X$31, $A$1, FALSE)*(1-VLOOKUP($B26, '[1]Foundry share'!$B$2:$X$31, $A$1, FALSE))</f>
        <v>0</v>
      </c>
      <c r="K26" s="1">
        <f>VLOOKUP($B26, '[1]Exp of DRI'!$B$2:$X$31, $A$1, FALSE)</f>
        <v>0</v>
      </c>
      <c r="L26" s="1">
        <f>VLOOKUP($B26, '[1]Imp of DRI'!$B$2:$X$31, $A$1, FALSE)</f>
        <v>0</v>
      </c>
      <c r="M26" s="1">
        <f>VLOOKUP($B26, '[1]Exp of scrap'!$B$2:$X$31, $A$1, FALSE)</f>
        <v>6987</v>
      </c>
      <c r="N26" s="1">
        <f>VLOOKUP($B26, '[1]Imp of scrap'!$B$2:$X$31, $A$1, FALSE)</f>
        <v>351</v>
      </c>
      <c r="O26" s="1">
        <f>VLOOKUP($B26, '[1]Pro of BOF steel'!$B$2:$X$31, $A$1, FALSE)</f>
        <v>10079</v>
      </c>
      <c r="P26" s="1">
        <f>VLOOKUP($B26, '[1]Pro of OHF steel'!$B$2:$X$31, $A$1, FALSE)</f>
        <v>0</v>
      </c>
      <c r="Q26" s="1">
        <f>VLOOKUP($B26, '[1]Pro of EAF steel'!$B$2:$X$31, $A$1, FALSE)</f>
        <v>1955</v>
      </c>
      <c r="R26" s="1">
        <f>VLOOKUP($B26, '[1]Exp of ingots and semis'!$B$2:$X$31, $A$1, FALSE)</f>
        <v>3534</v>
      </c>
      <c r="S26" s="1">
        <f>VLOOKUP($B26, '[1]Imp of ingots and semis'!$B$2:$X$31, $A$1, FALSE)</f>
        <v>342</v>
      </c>
      <c r="T26" s="1">
        <f>VLOOKUP($B26, '[1]Pro of hr long'!$B$2:$X$31, $A$1, FALSE)+VLOOKUP($B26, '[1]Pro of seamless tubes'!$B$2:$X$31, $A$1, FALSE)</f>
        <v>3096</v>
      </c>
      <c r="U26" s="1">
        <f>VLOOKUP($B26, '[1]Exp of long'!$B$2:$X$31, $A$1, FALSE)</f>
        <v>1989</v>
      </c>
      <c r="V26" s="1">
        <f>VLOOKUP($B26, '[1]Imp of long'!$B$2:$X$31, $A$1, FALSE)</f>
        <v>2313</v>
      </c>
      <c r="W26" s="1">
        <f>VLOOKUP($B26, '[1]Pro of hr flat'!$B$2:$X$31, $A$1, FALSE)*parameters!$B$8</f>
        <v>4908.2731152204833</v>
      </c>
      <c r="X26" s="1">
        <f>VLOOKUP($B26, '[1]Exp of flat'!$B$2:$X$31, $A$1, FALSE)</f>
        <v>2426</v>
      </c>
      <c r="Y26" s="1">
        <f>VLOOKUP($B26, '[1]Imp of flat'!$B$2:$X$31, $A$1, FALSE)</f>
        <v>3680</v>
      </c>
      <c r="Z26" s="1">
        <f>VLOOKUP($B26, '[1]Indirect exp'!$B$2:$X$31, $A$1, FALSE)</f>
        <v>5848</v>
      </c>
      <c r="AA26" s="1">
        <f>VLOOKUP($B26, '[1]Indirect imp'!$B$2:$X$31, $A$1, FALSE)</f>
        <v>11369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7">
        <f>VLOOKUP($B27, '[1]Iron content'!$B$2:$X$31, $A$1, FALSE)</f>
        <v>0</v>
      </c>
      <c r="F27" s="1">
        <f>VLOOKUP($B27, '[1]Exp of usable iron ore'!$B$2:$X$31, $A$1, FALSE)*parameters!$B$12</f>
        <v>14170</v>
      </c>
      <c r="G27" s="1">
        <f>VLOOKUP($B27, '[1]Pro of pig iron'!$B$2:$X$31, $A$1, FALSE)*(1-VLOOKUP($B27, '[1]Foundry share'!$B$2:$X$31, $A$1, FALSE))</f>
        <v>5403.2441731521585</v>
      </c>
      <c r="H27" s="1">
        <f>VLOOKUP($B27, '[1]Exp of pig iron'!$B$2:$X$31, $A$1, FALSE)</f>
        <v>172</v>
      </c>
      <c r="I27" s="1">
        <f>VLOOKUP($B27, '[1]Imp of pig iron'!$B$2:$X$31, $A$1, FALSE)</f>
        <v>424</v>
      </c>
      <c r="J27" s="1">
        <f>VLOOKUP($B27, '[1]Pro of DRI'!$B$2:$X$31, $A$1, FALSE)*(1-VLOOKUP($B27, '[1]Foundry share'!$B$2:$X$31, $A$1, FALSE))</f>
        <v>0</v>
      </c>
      <c r="K27" s="1">
        <f>VLOOKUP($B27, '[1]Exp of DRI'!$B$2:$X$31, $A$1, FALSE)</f>
        <v>8</v>
      </c>
      <c r="L27" s="1">
        <f>VLOOKUP($B27, '[1]Imp of DRI'!$B$2:$X$31, $A$1, FALSE)</f>
        <v>189</v>
      </c>
      <c r="M27" s="1">
        <f>VLOOKUP($B27, '[1]Exp of scrap'!$B$2:$X$31, $A$1, FALSE)</f>
        <v>3994</v>
      </c>
      <c r="N27" s="1">
        <f>VLOOKUP($B27, '[1]Imp of scrap'!$B$2:$X$31, $A$1, FALSE)</f>
        <v>1885</v>
      </c>
      <c r="O27" s="1">
        <f>VLOOKUP($B27, '[1]Pro of BOF steel'!$B$2:$X$31, $A$1, FALSE)</f>
        <v>6839</v>
      </c>
      <c r="P27" s="1">
        <f>VLOOKUP($B27, '[1]Pro of OHF steel'!$B$2:$X$31, $A$1, FALSE)</f>
        <v>0</v>
      </c>
      <c r="Q27" s="1">
        <f>VLOOKUP($B27, '[1]Pro of EAF steel'!$B$2:$X$31, $A$1, FALSE)</f>
        <v>125</v>
      </c>
      <c r="R27" s="1">
        <f>VLOOKUP($B27, '[1]Exp of ingots and semis'!$B$2:$X$31, $A$1, FALSE)</f>
        <v>635</v>
      </c>
      <c r="S27" s="1">
        <f>VLOOKUP($B27, '[1]Imp of ingots and semis'!$B$2:$X$31, $A$1, FALSE)</f>
        <v>738</v>
      </c>
      <c r="T27" s="1">
        <f>VLOOKUP($B27, '[1]Pro of hr long'!$B$2:$X$31, $A$1, FALSE)+VLOOKUP($B27, '[1]Pro of seamless tubes'!$B$2:$X$31, $A$1, FALSE)</f>
        <v>189</v>
      </c>
      <c r="U27" s="1">
        <f>VLOOKUP($B27, '[1]Exp of long'!$B$2:$X$31, $A$1, FALSE)</f>
        <v>697</v>
      </c>
      <c r="V27" s="1">
        <f>VLOOKUP($B27, '[1]Imp of long'!$B$2:$X$31, $A$1, FALSE)</f>
        <v>2271</v>
      </c>
      <c r="W27" s="1">
        <f>VLOOKUP($B27, '[1]Pro of hr flat'!$B$2:$X$31, $A$1, FALSE)*parameters!$B$8</f>
        <v>6293.7041251778091</v>
      </c>
      <c r="X27" s="1">
        <f>VLOOKUP($B27, '[1]Exp of flat'!$B$2:$X$31, $A$1, FALSE)</f>
        <v>7817</v>
      </c>
      <c r="Y27" s="1">
        <f>VLOOKUP($B27, '[1]Imp of flat'!$B$2:$X$31, $A$1, FALSE)</f>
        <v>3247</v>
      </c>
      <c r="Z27" s="1">
        <f>VLOOKUP($B27, '[1]Indirect exp'!$B$2:$X$31, $A$1, FALSE)</f>
        <v>6864</v>
      </c>
      <c r="AA27" s="1">
        <f>VLOOKUP($B27, '[1]Indirect imp'!$B$2:$X$31, $A$1, FALSE)</f>
        <v>6828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739682</v>
      </c>
      <c r="D28" s="1">
        <f>VLOOKUP($B28, '[1]Pro of iron ore'!$B$2:$X$31, $A$1, FALSE)*(1-VLOOKUP($B28, '[1]Foundry share'!$B$2:$X$31, $A$1, FALSE))</f>
        <v>457409</v>
      </c>
      <c r="E28" s="47">
        <f>VLOOKUP($B28, '[1]Iron content'!$B$2:$X$31, $A$1, FALSE)</f>
        <v>0.61838600912283925</v>
      </c>
      <c r="F28" s="1">
        <f>VLOOKUP($B28, '[1]Exp of usable iron ore'!$B$2:$X$31, $A$1, FALSE)*parameters!$B$12</f>
        <v>490296.3</v>
      </c>
      <c r="G28" s="1">
        <f>VLOOKUP($B28, '[1]Pro of pig iron'!$B$2:$X$31, $A$1, FALSE)*(1-VLOOKUP($B28, '[1]Foundry share'!$B$2:$X$31, $A$1, FALSE))</f>
        <v>3282</v>
      </c>
      <c r="H28" s="1">
        <f>VLOOKUP($B28, '[1]Exp of pig iron'!$B$2:$X$31, $A$1, FALSE)</f>
        <v>0</v>
      </c>
      <c r="I28" s="1">
        <f>VLOOKUP($B28, '[1]Imp of pig iron'!$B$2:$X$31, $A$1, FALSE)</f>
        <v>13</v>
      </c>
      <c r="J28" s="1">
        <f>VLOOKUP($B28, '[1]Pro of DRI'!$B$2:$X$31, $A$1, FALSE)*(1-VLOOKUP($B28, '[1]Foundry share'!$B$2:$X$31, $A$1, FALSE))</f>
        <v>0</v>
      </c>
      <c r="K28" s="1">
        <f>VLOOKUP($B28, '[1]Exp of DRI'!$B$2:$X$31, $A$1, FALSE)</f>
        <v>0</v>
      </c>
      <c r="L28" s="1">
        <f>VLOOKUP($B28, '[1]Imp of DRI'!$B$2:$X$31, $A$1, FALSE)</f>
        <v>0</v>
      </c>
      <c r="M28" s="1">
        <f>VLOOKUP($B28, '[1]Exp of scrap'!$B$2:$X$31, $A$1, FALSE)</f>
        <v>2362</v>
      </c>
      <c r="N28" s="1">
        <f>VLOOKUP($B28, '[1]Imp of scrap'!$B$2:$X$31, $A$1, FALSE)</f>
        <v>23</v>
      </c>
      <c r="O28" s="1">
        <f>VLOOKUP($B28, '[1]Pro of BOF steel'!$B$2:$X$31, $A$1, FALSE)</f>
        <v>3573</v>
      </c>
      <c r="P28" s="1">
        <f>VLOOKUP($B28, '[1]Pro of OHF steel'!$B$2:$X$31, $A$1, FALSE)</f>
        <v>0</v>
      </c>
      <c r="Q28" s="1">
        <f>VLOOKUP($B28, '[1]Pro of EAF steel'!$B$2:$X$31, $A$1, FALSE)</f>
        <v>1034</v>
      </c>
      <c r="R28" s="1">
        <f>VLOOKUP($B28, '[1]Exp of ingots and semis'!$B$2:$X$31, $A$1, FALSE)</f>
        <v>59</v>
      </c>
      <c r="S28" s="1">
        <f>VLOOKUP($B28, '[1]Imp of ingots and semis'!$B$2:$X$31, $A$1, FALSE)</f>
        <v>32</v>
      </c>
      <c r="T28" s="1">
        <f>VLOOKUP($B28, '[1]Pro of hr long'!$B$2:$X$31, $A$1, FALSE)+VLOOKUP($B28, '[1]Pro of seamless tubes'!$B$2:$X$31, $A$1, FALSE)</f>
        <v>1679</v>
      </c>
      <c r="U28" s="1">
        <f>VLOOKUP($B28, '[1]Exp of long'!$B$2:$X$31, $A$1, FALSE)</f>
        <v>99</v>
      </c>
      <c r="V28" s="1">
        <f>VLOOKUP($B28, '[1]Imp of long'!$B$2:$X$31, $A$1, FALSE)</f>
        <v>855</v>
      </c>
      <c r="W28" s="1">
        <f>VLOOKUP($B28, '[1]Pro of hr flat'!$B$2:$X$31, $A$1, FALSE)*parameters!$B$8</f>
        <v>2344.3513513513512</v>
      </c>
      <c r="X28" s="1">
        <f>VLOOKUP($B28, '[1]Exp of flat'!$B$2:$X$31, $A$1, FALSE)</f>
        <v>447</v>
      </c>
      <c r="Y28" s="1">
        <f>VLOOKUP($B28, '[1]Imp of flat'!$B$2:$X$31, $A$1, FALSE)</f>
        <v>808</v>
      </c>
      <c r="Z28" s="1">
        <f>VLOOKUP($B28, '[1]Indirect exp'!$B$2:$X$31, $A$1, FALSE)</f>
        <v>829</v>
      </c>
      <c r="AA28" s="1">
        <f>VLOOKUP($B28, '[1]Indirect imp'!$B$2:$X$31, $A$1, FALSE)</f>
        <v>5656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80759</v>
      </c>
      <c r="D29" s="1">
        <f>VLOOKUP($B29, '[1]Pro of iron ore'!$B$2:$X$31, $A$1, FALSE)*(1-VLOOKUP($B29, '[1]Foundry share'!$B$2:$X$31, $A$1, FALSE))</f>
        <v>51500</v>
      </c>
      <c r="E29" s="47">
        <f>VLOOKUP($B29, '[1]Iron content'!$B$2:$X$31, $A$1, FALSE)</f>
        <v>0.63769982292995209</v>
      </c>
      <c r="F29" s="1">
        <f>VLOOKUP($B29, '[1]Exp of usable iron ore'!$B$2:$X$31, $A$1, FALSE)*parameters!$B$12</f>
        <v>42119.35</v>
      </c>
      <c r="G29" s="1">
        <f>VLOOKUP($B29, '[1]Pro of pig iron'!$B$2:$X$31, $A$1, FALSE)*(1-VLOOKUP($B29, '[1]Foundry share'!$B$2:$X$31, $A$1, FALSE))</f>
        <v>4402</v>
      </c>
      <c r="H29" s="1">
        <f>VLOOKUP($B29, '[1]Exp of pig iron'!$B$2:$X$31, $A$1, FALSE)</f>
        <v>740</v>
      </c>
      <c r="I29" s="1">
        <f>VLOOKUP($B29, '[1]Imp of pig iron'!$B$2:$X$31, $A$1, FALSE)</f>
        <v>0</v>
      </c>
      <c r="J29" s="1">
        <f>VLOOKUP($B29, '[1]Pro of DRI'!$B$2:$X$31, $A$1, FALSE)*(1-VLOOKUP($B29, '[1]Foundry share'!$B$2:$X$31, $A$1, FALSE))</f>
        <v>1612</v>
      </c>
      <c r="K29" s="1">
        <f>VLOOKUP($B29, '[1]Exp of DRI'!$B$2:$X$31, $A$1, FALSE)</f>
        <v>45</v>
      </c>
      <c r="L29" s="1">
        <f>VLOOKUP($B29, '[1]Imp of DRI'!$B$2:$X$31, $A$1, FALSE)</f>
        <v>1</v>
      </c>
      <c r="M29" s="1">
        <f>VLOOKUP($B29, '[1]Exp of scrap'!$B$2:$X$31, $A$1, FALSE)</f>
        <v>1486</v>
      </c>
      <c r="N29" s="1">
        <f>VLOOKUP($B29, '[1]Imp of scrap'!$B$2:$X$31, $A$1, FALSE)</f>
        <v>101</v>
      </c>
      <c r="O29" s="1">
        <f>VLOOKUP($B29, '[1]Pro of BOF steel'!$B$2:$X$31, $A$1, FALSE)</f>
        <v>3623</v>
      </c>
      <c r="P29" s="1">
        <f>VLOOKUP($B29, '[1]Pro of OHF steel'!$B$2:$X$31, $A$1, FALSE)</f>
        <v>0</v>
      </c>
      <c r="Q29" s="1">
        <f>VLOOKUP($B29, '[1]Pro of EAF steel'!$B$2:$X$31, $A$1, FALSE)</f>
        <v>2789</v>
      </c>
      <c r="R29" s="1">
        <f>VLOOKUP($B29, '[1]Exp of ingots and semis'!$B$2:$X$31, $A$1, FALSE)</f>
        <v>70</v>
      </c>
      <c r="S29" s="1">
        <f>VLOOKUP($B29, '[1]Imp of ingots and semis'!$B$2:$X$31, $A$1, FALSE)</f>
        <v>139</v>
      </c>
      <c r="T29" s="1">
        <f>VLOOKUP($B29, '[1]Pro of hr long'!$B$2:$X$31, $A$1, FALSE)+VLOOKUP($B29, '[1]Pro of seamless tubes'!$B$2:$X$31, $A$1, FALSE)</f>
        <v>2200</v>
      </c>
      <c r="U29" s="1">
        <f>VLOOKUP($B29, '[1]Exp of long'!$B$2:$X$31, $A$1, FALSE)</f>
        <v>444</v>
      </c>
      <c r="V29" s="1">
        <f>VLOOKUP($B29, '[1]Imp of long'!$B$2:$X$31, $A$1, FALSE)</f>
        <v>265</v>
      </c>
      <c r="W29" s="1">
        <f>VLOOKUP($B29, '[1]Pro of hr flat'!$B$2:$X$31, $A$1, FALSE)*parameters!$B$8</f>
        <v>3283.8406827880513</v>
      </c>
      <c r="X29" s="1">
        <f>VLOOKUP($B29, '[1]Exp of flat'!$B$2:$X$31, $A$1, FALSE)</f>
        <v>1630</v>
      </c>
      <c r="Y29" s="1">
        <f>VLOOKUP($B29, '[1]Imp of flat'!$B$2:$X$31, $A$1, FALSE)</f>
        <v>850</v>
      </c>
      <c r="Z29" s="1">
        <f>VLOOKUP($B29, '[1]Indirect exp'!$B$2:$X$31, $A$1, FALSE)</f>
        <v>1794</v>
      </c>
      <c r="AA29" s="1">
        <f>VLOOKUP($B29, '[1]Indirect imp'!$B$2:$X$31, $A$1, FALSE)</f>
        <v>1854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9615</v>
      </c>
      <c r="D30" s="1">
        <f>VLOOKUP($B30, '[1]Pro of iron ore'!$B$2:$X$31, $A$1, FALSE)*(1-VLOOKUP($B30, '[1]Foundry share'!$B$2:$X$31, $A$1, FALSE))</f>
        <v>6010</v>
      </c>
      <c r="E30" s="47">
        <f>VLOOKUP($B30, '[1]Iron content'!$B$2:$X$31, $A$1, FALSE)</f>
        <v>0.625065002600104</v>
      </c>
      <c r="F30" s="1">
        <f>VLOOKUP($B30, '[1]Exp of usable iron ore'!$B$2:$X$31, $A$1, FALSE)*parameters!$B$12</f>
        <v>7546.5</v>
      </c>
      <c r="G30" s="1">
        <f>VLOOKUP($B30, '[1]Pro of pig iron'!$B$2:$X$31, $A$1, FALSE)*(1-VLOOKUP($B30, '[1]Foundry share'!$B$2:$X$31, $A$1, FALSE))</f>
        <v>0</v>
      </c>
      <c r="H30" s="1">
        <f>VLOOKUP($B30, '[1]Exp of pig iron'!$B$2:$X$31, $A$1, FALSE)</f>
        <v>0</v>
      </c>
      <c r="I30" s="1">
        <f>VLOOKUP($B30, '[1]Imp of pig iron'!$B$2:$X$31, $A$1, FALSE)</f>
        <v>62</v>
      </c>
      <c r="J30" s="1">
        <f>VLOOKUP($B30, '[1]Pro of DRI'!$B$2:$X$31, $A$1, FALSE)*(1-VLOOKUP($B30, '[1]Foundry share'!$B$2:$X$31, $A$1, FALSE))</f>
        <v>1007</v>
      </c>
      <c r="K30" s="1">
        <f>VLOOKUP($B30, '[1]Exp of DRI'!$B$2:$X$31, $A$1, FALSE)</f>
        <v>703</v>
      </c>
      <c r="L30" s="1">
        <f>VLOOKUP($B30, '[1]Imp of DRI'!$B$2:$X$31, $A$1, FALSE)</f>
        <v>46</v>
      </c>
      <c r="M30" s="1">
        <f>VLOOKUP($B30, '[1]Exp of scrap'!$B$2:$X$31, $A$1, FALSE)</f>
        <v>52</v>
      </c>
      <c r="N30" s="1">
        <f>VLOOKUP($B30, '[1]Imp of scrap'!$B$2:$X$31, $A$1, FALSE)</f>
        <v>961</v>
      </c>
      <c r="O30" s="1">
        <f>VLOOKUP($B30, '[1]Pro of BOF steel'!$B$2:$X$31, $A$1, FALSE)</f>
        <v>0</v>
      </c>
      <c r="P30" s="1">
        <f>VLOOKUP($B30, '[1]Pro of OHF steel'!$B$2:$X$31, $A$1, FALSE)</f>
        <v>0</v>
      </c>
      <c r="Q30" s="1">
        <f>VLOOKUP($B30, '[1]Pro of EAF steel'!$B$2:$X$31, $A$1, FALSE)</f>
        <v>4316</v>
      </c>
      <c r="R30" s="1">
        <f>VLOOKUP($B30, '[1]Exp of ingots and semis'!$B$2:$X$31, $A$1, FALSE)</f>
        <v>102</v>
      </c>
      <c r="S30" s="1">
        <f>VLOOKUP($B30, '[1]Imp of ingots and semis'!$B$2:$X$31, $A$1, FALSE)</f>
        <v>187</v>
      </c>
      <c r="T30" s="1">
        <f>VLOOKUP($B30, '[1]Pro of hr long'!$B$2:$X$31, $A$1, FALSE)+VLOOKUP($B30, '[1]Pro of seamless tubes'!$B$2:$X$31, $A$1, FALSE)</f>
        <v>3892</v>
      </c>
      <c r="U30" s="1">
        <f>VLOOKUP($B30, '[1]Exp of long'!$B$2:$X$31, $A$1, FALSE)</f>
        <v>387</v>
      </c>
      <c r="V30" s="1">
        <f>VLOOKUP($B30, '[1]Imp of long'!$B$2:$X$31, $A$1, FALSE)</f>
        <v>2958</v>
      </c>
      <c r="W30" s="1">
        <f>VLOOKUP($B30, '[1]Pro of hr flat'!$B$2:$X$31, $A$1, FALSE)*parameters!$B$8</f>
        <v>842.33428165007115</v>
      </c>
      <c r="X30" s="1">
        <f>VLOOKUP($B30, '[1]Exp of flat'!$B$2:$X$31, $A$1, FALSE)</f>
        <v>428</v>
      </c>
      <c r="Y30" s="1">
        <f>VLOOKUP($B30, '[1]Imp of flat'!$B$2:$X$31, $A$1, FALSE)</f>
        <v>3563</v>
      </c>
      <c r="Z30" s="1">
        <f>VLOOKUP($B30, '[1]Indirect exp'!$B$2:$X$31, $A$1, FALSE)</f>
        <v>1864</v>
      </c>
      <c r="AA30" s="1">
        <f>VLOOKUP($B30, '[1]Indirect imp'!$B$2:$X$31, $A$1, FALSE)</f>
        <v>2385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348</v>
      </c>
      <c r="D31" s="1">
        <f>VLOOKUP($B31, '[1]Pro of iron ore'!$B$2:$X$31, $A$1, FALSE)*(1-VLOOKUP($B31, '[1]Foundry share'!$B$2:$X$31, $A$1, FALSE))</f>
        <v>216</v>
      </c>
      <c r="E31" s="47">
        <f>VLOOKUP($B31, '[1]Iron content'!$B$2:$X$31, $A$1, FALSE)</f>
        <v>0.62068965517241381</v>
      </c>
      <c r="F31" s="1">
        <f>VLOOKUP($B31, '[1]Exp of usable iron ore'!$B$2:$X$31, $A$1, FALSE)*parameters!$B$12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1</v>
      </c>
      <c r="I31" s="1">
        <f>VLOOKUP($B31, '[1]Imp of pig iron'!$B$2:$X$31, $A$1, FALSE)</f>
        <v>385</v>
      </c>
      <c r="J31" s="1">
        <f>VLOOKUP($B31, '[1]Pro of DRI'!$B$2:$X$31, $A$1, FALSE)*(1-VLOOKUP($B31, '[1]Foundry share'!$B$2:$X$31, $A$1, FALSE))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384</v>
      </c>
      <c r="N31" s="1">
        <f>VLOOKUP($B31, '[1]Imp of scrap'!$B$2:$X$31, $A$1, FALSE)</f>
        <v>1383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5835</v>
      </c>
      <c r="R31" s="1">
        <f>VLOOKUP($B31, '[1]Exp of ingots and semis'!$B$2:$X$31, $A$1, FALSE)</f>
        <v>6</v>
      </c>
      <c r="S31" s="1">
        <f>VLOOKUP($B31, '[1]Imp of ingots and semis'!$B$2:$X$31, $A$1, FALSE)</f>
        <v>3127</v>
      </c>
      <c r="T31" s="1">
        <f>VLOOKUP($B31, '[1]Pro of hr long'!$B$2:$X$31, $A$1, FALSE)+VLOOKUP($B31, '[1]Pro of seamless tubes'!$B$2:$X$31, $A$1, FALSE)</f>
        <v>5585</v>
      </c>
      <c r="U31" s="1">
        <f>VLOOKUP($B31, '[1]Exp of long'!$B$2:$X$31, $A$1, FALSE)</f>
        <v>872</v>
      </c>
      <c r="V31" s="1">
        <f>VLOOKUP($B31, '[1]Imp of long'!$B$2:$X$31, $A$1, FALSE)</f>
        <v>2787</v>
      </c>
      <c r="W31" s="1">
        <f>VLOOKUP($B31, '[1]Pro of hr flat'!$B$2:$X$31, $A$1, FALSE)*parameters!$B$8</f>
        <v>3035.1237553342817</v>
      </c>
      <c r="X31" s="1">
        <f>VLOOKUP($B31, '[1]Exp of flat'!$B$2:$X$31, $A$1, FALSE)</f>
        <v>243</v>
      </c>
      <c r="Y31" s="1">
        <f>VLOOKUP($B31, '[1]Imp of flat'!$B$2:$X$31, $A$1, FALSE)</f>
        <v>8347</v>
      </c>
      <c r="Z31" s="1">
        <f>VLOOKUP($B31, '[1]Indirect exp'!$B$2:$X$31, $A$1, FALSE)</f>
        <v>5121</v>
      </c>
      <c r="AA31" s="1">
        <f>VLOOKUP($B31, '[1]Indirect imp'!$B$2:$X$31, $A$1, FALSE)</f>
        <v>3303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25700</v>
      </c>
      <c r="D32" s="1">
        <f>VLOOKUP($B32, '[1]Pro of iron ore'!$B$2:$X$31, $A$1, FALSE)*(1-VLOOKUP($B32, '[1]Foundry share'!$B$2:$X$31, $A$1, FALSE))</f>
        <v>15900</v>
      </c>
      <c r="E32" s="47">
        <f>VLOOKUP($B32, '[1]Iron content'!$B$2:$X$31, $A$1, FALSE)</f>
        <v>0.61867704280155644</v>
      </c>
      <c r="F32" s="1">
        <f>VLOOKUP($B32, '[1]Exp of usable iron ore'!$B$2:$X$31, $A$1, FALSE)*parameters!$B$12</f>
        <v>15421.9</v>
      </c>
      <c r="G32" s="1">
        <f>VLOOKUP($B32, '[1]Pro of pig iron'!$B$2:$X$31, $A$1, FALSE)*(1-VLOOKUP($B32, '[1]Foundry share'!$B$2:$X$31, $A$1, FALSE))</f>
        <v>3078</v>
      </c>
      <c r="H32" s="1">
        <f>VLOOKUP($B32, '[1]Exp of pig iron'!$B$2:$X$31, $A$1, FALSE)</f>
        <v>67</v>
      </c>
      <c r="I32" s="1">
        <f>VLOOKUP($B32, '[1]Imp of pig iron'!$B$2:$X$31, $A$1, FALSE)</f>
        <v>57</v>
      </c>
      <c r="J32" s="1">
        <f>VLOOKUP($B32, '[1]Pro of DRI'!$B$2:$X$31, $A$1, FALSE)*(1-VLOOKUP($B32, '[1]Foundry share'!$B$2:$X$31, $A$1, FALSE))</f>
        <v>105</v>
      </c>
      <c r="K32" s="1">
        <f>VLOOKUP($B32, '[1]Exp of DRI'!$B$2:$X$31, $A$1, FALSE)</f>
        <v>2</v>
      </c>
      <c r="L32" s="1">
        <f>VLOOKUP($B32, '[1]Imp of DRI'!$B$2:$X$31, $A$1, FALSE)</f>
        <v>30</v>
      </c>
      <c r="M32" s="1">
        <f>VLOOKUP($B32, '[1]Exp of scrap'!$B$2:$X$31, $A$1, FALSE)</f>
        <v>1441</v>
      </c>
      <c r="N32" s="1">
        <f>VLOOKUP($B32, '[1]Imp of scrap'!$B$2:$X$31, $A$1, FALSE)</f>
        <v>295</v>
      </c>
      <c r="O32" s="1">
        <f>VLOOKUP($B32, '[1]Pro of BOF steel'!$B$2:$X$31, $A$1, FALSE)</f>
        <v>3096</v>
      </c>
      <c r="P32" s="1">
        <f>VLOOKUP($B32, '[1]Pro of OHF steel'!$B$2:$X$31, $A$1, FALSE)</f>
        <v>0</v>
      </c>
      <c r="Q32" s="1">
        <f>VLOOKUP($B32, '[1]Pro of EAF steel'!$B$2:$X$31, $A$1, FALSE)</f>
        <v>1443</v>
      </c>
      <c r="R32" s="1">
        <f>VLOOKUP($B32, '[1]Exp of ingots and semis'!$B$2:$X$31, $A$1, FALSE)</f>
        <v>256</v>
      </c>
      <c r="S32" s="1">
        <f>VLOOKUP($B32, '[1]Imp of ingots and semis'!$B$2:$X$31, $A$1, FALSE)</f>
        <v>168</v>
      </c>
      <c r="T32" s="1">
        <f>VLOOKUP($B32, '[1]Pro of hr long'!$B$2:$X$31, $A$1, FALSE)+VLOOKUP($B32, '[1]Pro of seamless tubes'!$B$2:$X$31, $A$1, FALSE)</f>
        <v>820</v>
      </c>
      <c r="U32" s="1">
        <f>VLOOKUP($B32, '[1]Exp of long'!$B$2:$X$31, $A$1, FALSE)</f>
        <v>511</v>
      </c>
      <c r="V32" s="1">
        <f>VLOOKUP($B32, '[1]Imp of long'!$B$2:$X$31, $A$1, FALSE)</f>
        <v>880</v>
      </c>
      <c r="W32" s="1">
        <f>VLOOKUP($B32, '[1]Pro of hr flat'!$B$2:$X$31, $A$1, FALSE)*parameters!$B$8</f>
        <v>2895.2204836415362</v>
      </c>
      <c r="X32" s="1">
        <f>VLOOKUP($B32, '[1]Exp of flat'!$B$2:$X$31, $A$1, FALSE)</f>
        <v>2371</v>
      </c>
      <c r="Y32" s="1">
        <f>VLOOKUP($B32, '[1]Imp of flat'!$B$2:$X$31, $A$1, FALSE)</f>
        <v>1718</v>
      </c>
      <c r="Z32" s="1">
        <f>VLOOKUP($B32, '[1]Indirect exp'!$B$2:$X$31, $A$1, FALSE)</f>
        <v>2645</v>
      </c>
      <c r="AA32" s="1">
        <f>VLOOKUP($B32, '[1]Indirect imp'!$B$2:$X$31, $A$1, FALSE)</f>
        <v>3181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sheetPr>
    <tabColor theme="2" tint="-9.9978637043366805E-2"/>
  </sheetPr>
  <dimension ref="A1:T20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660386.86465032911</v>
      </c>
      <c r="D2" s="9">
        <f ca="1">Q4/parameters!$B$3</f>
        <v>900.76093057417006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661287.62558090326</v>
      </c>
      <c r="M2" s="17"/>
      <c r="N2" s="17">
        <f ca="1">Q2-(L2+O2+P2)</f>
        <v>0</v>
      </c>
      <c r="O2" s="11" cm="1">
        <f t="array" aca="1" ref="O2" ca="1">INDIRECT("'data'!$F$" &amp; $A$1)</f>
        <v>85.8</v>
      </c>
      <c r="P2" s="13">
        <f ca="1">IF(-(L2-Q2+O2)&lt;0, -(L2-Q2+O2), 0)</f>
        <v>-394940.33487185754</v>
      </c>
      <c r="Q2" s="17" cm="1">
        <f t="array" aca="1" ref="Q2" ca="1">INDIRECT("'data'!$D$" &amp; $A$1)</f>
        <v>266433.0907090457</v>
      </c>
      <c r="R2" s="17">
        <f ca="1">SUM(L2:P2)</f>
        <v>266433.09070904576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649849.7014925374</v>
      </c>
      <c r="G3" s="14">
        <f ca="1">Q3-O3-P3-F3</f>
        <v>6330.4209104947513</v>
      </c>
      <c r="H3" s="14"/>
      <c r="I3" s="14"/>
      <c r="J3" s="14"/>
      <c r="K3" s="13"/>
      <c r="L3" s="16">
        <f t="shared" ca="1" si="0"/>
        <v>656180.12240303215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228.69</v>
      </c>
      <c r="P3" s="13" cm="1">
        <f t="array" aca="1" ref="P3" ca="1">-INDIRECT("'data'!$I$" &amp; $A$1)*parameters!$B$13</f>
        <v>-182.38499999999999</v>
      </c>
      <c r="Q3" s="16" cm="1">
        <f t="array" aca="1" ref="Q3" ca="1">INDIRECT("'data'!$G$" &amp; $A$1)*parameters!$B$13</f>
        <v>656226.42740303208</v>
      </c>
      <c r="R3" s="16">
        <f t="shared" ref="R3:R10" ca="1" si="2">SUM(L3:P3)</f>
        <v>656226.42740303208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1212.4861367115527</v>
      </c>
      <c r="H4" s="14"/>
      <c r="I4" s="14"/>
      <c r="J4" s="14"/>
      <c r="K4" s="13"/>
      <c r="L4" s="16">
        <f t="shared" ca="1" si="0"/>
        <v>1212.4861367115527</v>
      </c>
      <c r="M4" s="16"/>
      <c r="N4" s="16">
        <f t="shared" ca="1" si="1"/>
        <v>0</v>
      </c>
      <c r="O4" s="11" cm="1">
        <f t="array" aca="1" ref="O4" ca="1">INDIRECT("'data'!$K$" &amp; $A$1)*parameters!$B$14</f>
        <v>55.2</v>
      </c>
      <c r="P4" s="13" cm="1">
        <f t="array" aca="1" ref="P4" ca="1">-INDIRECT("'data'!$L$" &amp; $A$1)*parameters!$B$14</f>
        <v>-372.6</v>
      </c>
      <c r="Q4" s="16" cm="1">
        <f t="array" aca="1" ref="Q4" ca="1">INDIRECT("'data'!$J$" &amp; $A$1)*parameters!$B$14</f>
        <v>895.08613671155285</v>
      </c>
      <c r="R4" s="16">
        <f t="shared" ca="1" si="2"/>
        <v>895.08613671155274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Q6/parameters!$B$5*19%</f>
        <v>152433.88059701494</v>
      </c>
      <c r="G5" s="14">
        <f ca="1">Q7/parameters!$B$7-(G3+G4)</f>
        <v>48099.997863974473</v>
      </c>
      <c r="H5" s="14"/>
      <c r="I5" s="14"/>
      <c r="J5" s="14"/>
      <c r="K5" s="13"/>
      <c r="L5" s="16">
        <f t="shared" ca="1" si="0"/>
        <v>200533.87846098942</v>
      </c>
      <c r="M5" s="16"/>
      <c r="N5" s="16"/>
      <c r="O5" s="11" cm="1">
        <f t="array" aca="1" ref="O5" ca="1">INDIRECT("'data'!$M$" &amp; $A$1)*parameters!$B$15</f>
        <v>0.98</v>
      </c>
      <c r="P5" s="13" cm="1">
        <f t="array" aca="1" ref="P5" ca="1">-INDIRECT("'data'!$N$" &amp; $A$1)*parameters!$B$15</f>
        <v>-2512.7199999999998</v>
      </c>
      <c r="Q5" s="16">
        <f ca="1">SUM(L5:P5)</f>
        <v>198022.13846098943</v>
      </c>
      <c r="R5" s="16">
        <f t="shared" ca="1" si="2"/>
        <v>198022.13846098943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752542</v>
      </c>
      <c r="I6" s="14"/>
      <c r="J6" s="14"/>
      <c r="K6" s="13"/>
      <c r="L6" s="16">
        <f t="shared" ca="1" si="0"/>
        <v>752542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752542</v>
      </c>
      <c r="R6" s="16">
        <f t="shared" ca="1" si="2"/>
        <v>752542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53250.26</v>
      </c>
      <c r="I7" s="14"/>
      <c r="J7" s="14"/>
      <c r="K7" s="13"/>
      <c r="L7" s="16">
        <f t="shared" ca="1" si="0"/>
        <v>53250.26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53250.26</v>
      </c>
      <c r="R7" s="16">
        <f t="shared" ca="1" si="2"/>
        <v>53250.26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555250</v>
      </c>
      <c r="J8" s="14">
        <f ca="1">Q10/J18</f>
        <v>308357.49786628736</v>
      </c>
      <c r="K8" s="13"/>
      <c r="L8" s="16">
        <f t="shared" ca="1" si="0"/>
        <v>863607.49786628736</v>
      </c>
      <c r="M8" s="16"/>
      <c r="N8" s="16">
        <f t="shared" ca="1" si="3"/>
        <v>-57482.037866287283</v>
      </c>
      <c r="O8" s="11" cm="1">
        <f t="array" aca="1" ref="O8" ca="1">INDIRECT("'data'!$R$" &amp; $A$1)*parameters!$B$15</f>
        <v>6.8599999999999994</v>
      </c>
      <c r="P8" s="13" cm="1">
        <f t="array" aca="1" ref="P8" ca="1">-INDIRECT("'data'!$S$" &amp; $A$1)*parameters!$B$15</f>
        <v>-340.06</v>
      </c>
      <c r="Q8" s="16">
        <f ca="1">SUM(Q6:Q7)</f>
        <v>805792.26</v>
      </c>
      <c r="R8" s="16">
        <f t="shared" ca="1" si="2"/>
        <v>805792.26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508382.83999999997</v>
      </c>
      <c r="L9" s="16">
        <f t="shared" ca="1" si="0"/>
        <v>508382.83999999997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37560.46</v>
      </c>
      <c r="P9" s="13" cm="1">
        <f t="array" aca="1" ref="P9" ca="1">-INDIRECT("'data'!$V$" &amp; $A$1)*parameters!$B$15</f>
        <v>-1798.3</v>
      </c>
      <c r="Q9" s="16" cm="1">
        <f t="array" aca="1" ref="Q9" ca="1">INDIRECT("'data'!$T$" &amp; $A$1)*parameters!$B$15</f>
        <v>544145</v>
      </c>
      <c r="R9" s="16">
        <f t="shared" ca="1" si="2"/>
        <v>544144.99999999988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271233.12790896156</v>
      </c>
      <c r="L10" s="16">
        <f t="shared" ca="1" si="0"/>
        <v>271233.12790896156</v>
      </c>
      <c r="M10" s="16"/>
      <c r="N10" s="16">
        <f t="shared" ca="1" si="3"/>
        <v>0</v>
      </c>
      <c r="O10" s="11" cm="1">
        <f t="array" aca="1" ref="O10" ca="1">INDIRECT("'data'!$X$" &amp; $A$1)*parameters!$B$15</f>
        <v>42797.58</v>
      </c>
      <c r="P10" s="13" cm="1">
        <f t="array" aca="1" ref="P10" ca="1">-INDIRECT("'data'!$Y$" &amp; $A$1)*parameters!$B$15</f>
        <v>-11840.36</v>
      </c>
      <c r="Q10" s="16" cm="1">
        <f t="array" aca="1" ref="Q10" ca="1">INDIRECT("'data'!$W$" &amp; $A$1)*parameters!$B$15</f>
        <v>302190.34790896159</v>
      </c>
      <c r="R10" s="16">
        <f t="shared" ca="1" si="2"/>
        <v>302190.34790896159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657113.93960170692</v>
      </c>
      <c r="N11" s="19"/>
      <c r="O11" s="21" cm="1">
        <f t="array" aca="1" ref="O11" ca="1">INDIRECT("'data'!$Z$" &amp; $A$1)*parameters!$B$15</f>
        <v>66108.84</v>
      </c>
      <c r="P11" s="27" cm="1">
        <f t="array" aca="1" ref="P11" ca="1">-INDIRECT("'data'!$AA$" &amp; $A$1)*parameters!$B$15</f>
        <v>-12082.42</v>
      </c>
      <c r="Q11" s="16">
        <f ca="1">K9*parameters!$B$10+K10*parameters!$B$11</f>
        <v>711140.35960170685</v>
      </c>
      <c r="R11" s="16">
        <f t="shared" ref="R11:R17" ca="1" si="4">SUM(L11:P11)</f>
        <v>711140.35960170685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-4160.4372472970281</v>
      </c>
      <c r="D12" s="9">
        <f ca="1">-(D17-Q4)</f>
        <v>-5.6747938626172072</v>
      </c>
      <c r="E12" s="9">
        <f ca="1">-(E17-Q5)</f>
        <v>-24474.646326639137</v>
      </c>
      <c r="F12" s="9">
        <f ca="1">-(F17-Q6)</f>
        <v>-49741.582089552307</v>
      </c>
      <c r="G12" s="9">
        <f ca="1">-(G17-Q7)</f>
        <v>-2392.6449111807742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-80774.985368531867</v>
      </c>
      <c r="M12" s="17"/>
      <c r="N12" s="17"/>
      <c r="O12" s="10"/>
      <c r="P12" s="12"/>
      <c r="Q12" s="9">
        <f t="shared" ref="Q12:Q17" ca="1" si="6">SUM(L12:P12)</f>
        <v>-80774.985368531867</v>
      </c>
      <c r="R12" s="17">
        <f t="shared" ca="1" si="4"/>
        <v>-80774.985368531867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-11105</v>
      </c>
      <c r="J13" s="14">
        <f ca="1">-(J17-Q10)</f>
        <v>-6167.1499573257752</v>
      </c>
      <c r="K13" s="13">
        <f ca="1">-(K17-Q11)</f>
        <v>-68475.608307254617</v>
      </c>
      <c r="L13" s="14">
        <f t="shared" ca="1" si="5"/>
        <v>-85747.758264580392</v>
      </c>
      <c r="M13" s="16">
        <f ca="1">-E15</f>
        <v>-136749.02652304817</v>
      </c>
      <c r="N13" s="16"/>
      <c r="O13" s="11"/>
      <c r="P13" s="13"/>
      <c r="Q13" s="14">
        <f t="shared" ca="1" si="6"/>
        <v>-222496.78478762857</v>
      </c>
      <c r="R13" s="16">
        <f t="shared" ca="1" si="4"/>
        <v>-222496.78478762857</v>
      </c>
    </row>
    <row r="14" spans="1:20">
      <c r="A14" s="18" t="s">
        <v>78</v>
      </c>
      <c r="B14" s="11"/>
      <c r="C14" s="14"/>
      <c r="D14" s="14"/>
      <c r="E14" s="14">
        <f ca="1">-(I13+J13)-K13</f>
        <v>85747.758264580392</v>
      </c>
      <c r="F14" s="14"/>
      <c r="G14" s="14"/>
      <c r="H14" s="14"/>
      <c r="I14" s="14"/>
      <c r="J14" s="14"/>
      <c r="K14" s="13"/>
      <c r="L14" s="14">
        <f t="shared" ca="1" si="5"/>
        <v>85747.758264580392</v>
      </c>
      <c r="M14" s="16"/>
      <c r="N14" s="16"/>
      <c r="O14" s="11"/>
      <c r="P14" s="13"/>
      <c r="Q14" s="14">
        <f t="shared" ca="1" si="6"/>
        <v>85747.758264580392</v>
      </c>
      <c r="R14" s="16">
        <f t="shared" ca="1" si="4"/>
        <v>85747.758264580392</v>
      </c>
    </row>
    <row r="15" spans="1:20">
      <c r="A15" s="18" t="s">
        <v>79</v>
      </c>
      <c r="B15" s="11"/>
      <c r="C15" s="14"/>
      <c r="D15" s="14"/>
      <c r="E15" s="14">
        <f ca="1">E17-E14</f>
        <v>136749.02652304817</v>
      </c>
      <c r="F15" s="14"/>
      <c r="G15" s="14"/>
      <c r="H15" s="14"/>
      <c r="I15" s="14"/>
      <c r="J15" s="14"/>
      <c r="K15" s="13"/>
      <c r="L15" s="14">
        <f t="shared" ca="1" si="5"/>
        <v>136749.02652304817</v>
      </c>
      <c r="M15" s="16"/>
      <c r="N15" s="16"/>
      <c r="O15" s="11"/>
      <c r="P15" s="13"/>
      <c r="Q15" s="14">
        <f t="shared" ca="1" si="6"/>
        <v>136749.02652304817</v>
      </c>
      <c r="R15" s="16">
        <f t="shared" ca="1" si="4"/>
        <v>136749.02652304817</v>
      </c>
    </row>
    <row r="16" spans="1:20">
      <c r="A16" s="30" t="s">
        <v>89</v>
      </c>
      <c r="B16" s="21">
        <f ca="1">Q2</f>
        <v>266433.0907090457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266433.0907090457</v>
      </c>
      <c r="M16" s="19"/>
      <c r="N16" s="19"/>
      <c r="O16" s="21"/>
      <c r="P16" s="27"/>
      <c r="Q16" s="22">
        <f t="shared" ca="1" si="6"/>
        <v>266433.0907090457</v>
      </c>
      <c r="R16" s="19">
        <f t="shared" ca="1" si="4"/>
        <v>266433.0907090457</v>
      </c>
    </row>
    <row r="17" spans="1:18">
      <c r="A17" s="29" t="s">
        <v>88</v>
      </c>
      <c r="B17" s="9">
        <f ca="1">B16</f>
        <v>266433.0907090457</v>
      </c>
      <c r="C17" s="9">
        <f ca="1">SUM(C$2:C$11)</f>
        <v>660386.86465032911</v>
      </c>
      <c r="D17" s="9">
        <f ca="1">SUM(D$2:D$11)</f>
        <v>900.76093057417006</v>
      </c>
      <c r="E17" s="9">
        <f ca="1">$Q$5/parameters!$B$4</f>
        <v>222496.78478762857</v>
      </c>
      <c r="F17" s="9">
        <f t="shared" ref="F17:K17" ca="1" si="7">SUM(F$2:F$11)</f>
        <v>802283.58208955231</v>
      </c>
      <c r="G17" s="9">
        <f t="shared" ca="1" si="7"/>
        <v>55642.904911180776</v>
      </c>
      <c r="H17" s="9">
        <f t="shared" ca="1" si="7"/>
        <v>805792.26</v>
      </c>
      <c r="I17" s="9">
        <f t="shared" ca="1" si="7"/>
        <v>555250</v>
      </c>
      <c r="J17" s="9">
        <f t="shared" ca="1" si="7"/>
        <v>308357.49786628736</v>
      </c>
      <c r="K17" s="9">
        <f t="shared" ca="1" si="7"/>
        <v>779615.96790896147</v>
      </c>
      <c r="L17" s="17">
        <f t="shared" ca="1" si="5"/>
        <v>4457159.7138535595</v>
      </c>
      <c r="M17" s="17"/>
      <c r="N17" s="17"/>
      <c r="O17" s="9"/>
      <c r="P17" s="14"/>
      <c r="Q17" s="11">
        <f t="shared" ca="1" si="6"/>
        <v>4457159.7138535595</v>
      </c>
      <c r="R17" s="17">
        <f t="shared" ca="1" si="4"/>
        <v>4457159.7138535595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0.91216751435849153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T20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45523.4837787906</v>
      </c>
      <c r="D2" s="9">
        <f ca="1">Q4/parameters!$B$3</f>
        <v>19716.506463074369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65239.990241864973</v>
      </c>
      <c r="M2" s="17"/>
      <c r="N2" s="17">
        <f ca="1">Q2-(L2+O2+P2)</f>
        <v>2604.8780952387897</v>
      </c>
      <c r="O2" s="11" cm="1">
        <f t="array" aca="1" ref="O2" ca="1">INDIRECT("'data'!$F$" &amp; $A$1)</f>
        <v>6398.6</v>
      </c>
      <c r="P2" s="13">
        <f ca="1">IF(-(L2-Q2+O2)&lt;0, -(L2-Q2+O2), 0)</f>
        <v>0</v>
      </c>
      <c r="Q2" s="17" cm="1">
        <f t="array" aca="1" ref="Q2" ca="1">INDIRECT("'data'!$D$" &amp; $A$1)</f>
        <v>74243.468337103768</v>
      </c>
      <c r="R2" s="17">
        <f ca="1">SUM(L2:P2)</f>
        <v>74243.468337103768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30992.238805970155</v>
      </c>
      <c r="G3" s="14">
        <f ca="1">Q3-O3-P3-F3</f>
        <v>13480.887025014068</v>
      </c>
      <c r="H3" s="14"/>
      <c r="I3" s="14"/>
      <c r="J3" s="14"/>
      <c r="K3" s="13"/>
      <c r="L3" s="16">
        <f t="shared" ca="1" si="0"/>
        <v>44473.125830984223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789.07499999999993</v>
      </c>
      <c r="P3" s="13" cm="1">
        <f t="array" aca="1" ref="P3" ca="1">-INDIRECT("'data'!$I$" &amp; $A$1)*parameters!$B$13</f>
        <v>-25.514999999999997</v>
      </c>
      <c r="Q3" s="16" cm="1">
        <f t="array" aca="1" ref="Q3" ca="1">INDIRECT("'data'!$G$" &amp; $A$1)*parameters!$B$13</f>
        <v>45236.685830984221</v>
      </c>
      <c r="R3" s="16">
        <f t="shared" ref="R3:R10" ca="1" si="2">SUM(L3:P3)</f>
        <v>45236.685830984221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19602.412472356998</v>
      </c>
      <c r="H4" s="14"/>
      <c r="I4" s="14"/>
      <c r="J4" s="14"/>
      <c r="K4" s="13"/>
      <c r="L4" s="16">
        <f t="shared" ca="1" si="0"/>
        <v>19602.412472356998</v>
      </c>
      <c r="M4" s="16"/>
      <c r="N4" s="16">
        <f t="shared" ca="1" si="1"/>
        <v>0</v>
      </c>
      <c r="O4" s="11" cm="1">
        <f t="array" aca="1" ref="O4" ca="1">INDIRECT("'data'!$K$" &amp; $A$1)*parameters!$B$14</f>
        <v>153.64000000000001</v>
      </c>
      <c r="P4" s="13" cm="1">
        <f t="array" aca="1" ref="P4" ca="1">-INDIRECT("'data'!$L$" &amp; $A$1)*parameters!$B$14</f>
        <v>-163.76000000000002</v>
      </c>
      <c r="Q4" s="16" cm="1">
        <f t="array" aca="1" ref="Q4" ca="1">INDIRECT("'data'!$J$" &amp; $A$1)*parameters!$B$14</f>
        <v>19592.292472356999</v>
      </c>
      <c r="R4" s="16">
        <f t="shared" ca="1" si="2"/>
        <v>19592.292472356999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7748.0597014925388</v>
      </c>
      <c r="G5" s="14">
        <f ca="1">Q7/parameters!$B$7-(G3+G4)</f>
        <v>18334.443449337399</v>
      </c>
      <c r="H5" s="14"/>
      <c r="I5" s="14"/>
      <c r="J5" s="14"/>
      <c r="K5" s="13"/>
      <c r="L5" s="16">
        <f t="shared" ca="1" si="0"/>
        <v>26082.503150829936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-5585.0199999999995</v>
      </c>
      <c r="Q5" s="16">
        <f ca="1">SUM(L5:P5)</f>
        <v>20497.483150829936</v>
      </c>
      <c r="R5" s="16">
        <f t="shared" ca="1" si="2"/>
        <v>20497.483150829936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36338.400000000001</v>
      </c>
      <c r="I6" s="14"/>
      <c r="J6" s="14"/>
      <c r="K6" s="13"/>
      <c r="L6" s="16">
        <f t="shared" ca="1" si="0"/>
        <v>36338.400000000001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36338.400000000001</v>
      </c>
      <c r="R6" s="16">
        <f t="shared" ca="1" si="2"/>
        <v>36338.400000000001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49206.78</v>
      </c>
      <c r="I7" s="14"/>
      <c r="J7" s="14"/>
      <c r="K7" s="13"/>
      <c r="L7" s="16">
        <f t="shared" ca="1" si="0"/>
        <v>49206.78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49206.78</v>
      </c>
      <c r="R7" s="16">
        <f t="shared" ca="1" si="2"/>
        <v>49206.78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43581</v>
      </c>
      <c r="J8" s="14">
        <f ca="1">Q10/J18</f>
        <v>47498.13229018492</v>
      </c>
      <c r="K8" s="13"/>
      <c r="L8" s="16">
        <f t="shared" ca="1" si="0"/>
        <v>91079.13229018492</v>
      </c>
      <c r="M8" s="16"/>
      <c r="N8" s="16">
        <f t="shared" ca="1" si="3"/>
        <v>-6698.1922901849175</v>
      </c>
      <c r="O8" s="11" cm="1">
        <f t="array" aca="1" ref="O8" ca="1">INDIRECT("'data'!$R$" &amp; $A$1)*parameters!$B$15</f>
        <v>1568.98</v>
      </c>
      <c r="P8" s="13" cm="1">
        <f t="array" aca="1" ref="P8" ca="1">-INDIRECT("'data'!$S$" &amp; $A$1)*parameters!$B$15</f>
        <v>-404.74</v>
      </c>
      <c r="Q8" s="16">
        <f ca="1">SUM(Q6:Q7)</f>
        <v>85545.18</v>
      </c>
      <c r="R8" s="16">
        <f t="shared" ca="1" si="2"/>
        <v>85545.18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43413.020000000004</v>
      </c>
      <c r="L9" s="16">
        <f t="shared" ca="1" si="0"/>
        <v>43413.020000000004</v>
      </c>
      <c r="M9" s="16"/>
      <c r="N9" s="16">
        <f t="shared" ca="1" si="3"/>
        <v>0</v>
      </c>
      <c r="O9" s="11" cm="1">
        <f t="array" aca="1" ref="O9" ca="1">INDIRECT("'data'!$U$" &amp; $A$1)*parameters!$B$15</f>
        <v>889.84</v>
      </c>
      <c r="P9" s="13" cm="1">
        <f t="array" aca="1" ref="P9" ca="1">-INDIRECT("'data'!$V$" &amp; $A$1)*parameters!$B$15</f>
        <v>-1593.48</v>
      </c>
      <c r="Q9" s="16" cm="1">
        <f t="array" aca="1" ref="Q9" ca="1">INDIRECT("'data'!$T$" &amp; $A$1)*parameters!$B$15</f>
        <v>42709.38</v>
      </c>
      <c r="R9" s="16">
        <f t="shared" ca="1" si="2"/>
        <v>42709.38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47376.269644381224</v>
      </c>
      <c r="L10" s="16">
        <f t="shared" ca="1" si="0"/>
        <v>47376.269644381224</v>
      </c>
      <c r="M10" s="16"/>
      <c r="N10" s="16">
        <f t="shared" ca="1" si="3"/>
        <v>0</v>
      </c>
      <c r="O10" s="11" cm="1">
        <f t="array" aca="1" ref="O10" ca="1">INDIRECT("'data'!$X$" &amp; $A$1)*parameters!$B$15</f>
        <v>5781.0199999999995</v>
      </c>
      <c r="P10" s="13" cm="1">
        <f t="array" aca="1" ref="P10" ca="1">-INDIRECT("'data'!$Y$" &amp; $A$1)*parameters!$B$15</f>
        <v>-6609.12</v>
      </c>
      <c r="Q10" s="16" cm="1">
        <f t="array" aca="1" ref="Q10" ca="1">INDIRECT("'data'!$W$" &amp; $A$1)*parameters!$B$15</f>
        <v>46548.169644381218</v>
      </c>
      <c r="R10" s="16">
        <f t="shared" ca="1" si="2"/>
        <v>46548.169644381218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80696.290694167838</v>
      </c>
      <c r="N11" s="19"/>
      <c r="O11" s="21" cm="1">
        <f t="array" aca="1" ref="O11" ca="1">INDIRECT("'data'!$Z$" &amp; $A$1)*parameters!$B$15</f>
        <v>5190.08</v>
      </c>
      <c r="P11" s="27" cm="1">
        <f t="array" aca="1" ref="P11" ca="1">-INDIRECT("'data'!$AA$" &amp; $A$1)*parameters!$B$15</f>
        <v>-4334.54</v>
      </c>
      <c r="Q11" s="16">
        <f ca="1">K9*parameters!$B$10+K10*parameters!$B$11</f>
        <v>81551.830694167846</v>
      </c>
      <c r="R11" s="16">
        <f t="shared" ref="R11:R17" ca="1" si="4">SUM(L11:P11)</f>
        <v>81551.830694167846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-286.79794780637894</v>
      </c>
      <c r="D12" s="9">
        <f ca="1">-(D17-Q4)</f>
        <v>-124.2139907173696</v>
      </c>
      <c r="E12" s="9">
        <f ca="1">-(E17-Q5)</f>
        <v>-2533.3967939228023</v>
      </c>
      <c r="F12" s="9">
        <f ca="1">-(F17-Q6)</f>
        <v>-2401.8985074626908</v>
      </c>
      <c r="G12" s="9">
        <f ca="1">-(G17-Q7)</f>
        <v>-2210.9629467084669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-7557.2701866177085</v>
      </c>
      <c r="M12" s="17"/>
      <c r="N12" s="17"/>
      <c r="O12" s="10"/>
      <c r="P12" s="12"/>
      <c r="Q12" s="9">
        <f t="shared" ref="Q12:Q17" ca="1" si="6">SUM(L12:P12)</f>
        <v>-7557.2701866177085</v>
      </c>
      <c r="R12" s="17">
        <f t="shared" ca="1" si="4"/>
        <v>-7557.2701866177085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-871.62000000000262</v>
      </c>
      <c r="J13" s="14">
        <f ca="1">-(J17-Q10)</f>
        <v>-949.96264580370189</v>
      </c>
      <c r="K13" s="13">
        <f ca="1">-(K17-Q11)</f>
        <v>-9237.4589502133895</v>
      </c>
      <c r="L13" s="14">
        <f t="shared" ca="1" si="5"/>
        <v>-11059.041596017094</v>
      </c>
      <c r="M13" s="16">
        <f ca="1">-E15</f>
        <v>-11971.838348735644</v>
      </c>
      <c r="N13" s="16"/>
      <c r="O13" s="11"/>
      <c r="P13" s="13"/>
      <c r="Q13" s="14">
        <f t="shared" ca="1" si="6"/>
        <v>-23030.879944752738</v>
      </c>
      <c r="R13" s="16">
        <f t="shared" ca="1" si="4"/>
        <v>-23030.879944752738</v>
      </c>
    </row>
    <row r="14" spans="1:20">
      <c r="A14" s="18" t="s">
        <v>78</v>
      </c>
      <c r="B14" s="11"/>
      <c r="C14" s="14"/>
      <c r="D14" s="14"/>
      <c r="E14" s="14">
        <f ca="1">-(I13+J13)-K13</f>
        <v>11059.041596017094</v>
      </c>
      <c r="F14" s="14"/>
      <c r="G14" s="14"/>
      <c r="H14" s="14"/>
      <c r="I14" s="14"/>
      <c r="J14" s="14"/>
      <c r="K14" s="13"/>
      <c r="L14" s="14">
        <f t="shared" ca="1" si="5"/>
        <v>11059.041596017094</v>
      </c>
      <c r="M14" s="16"/>
      <c r="N14" s="16"/>
      <c r="O14" s="11"/>
      <c r="P14" s="13"/>
      <c r="Q14" s="14">
        <f t="shared" ca="1" si="6"/>
        <v>11059.041596017094</v>
      </c>
      <c r="R14" s="16">
        <f t="shared" ca="1" si="4"/>
        <v>11059.041596017094</v>
      </c>
    </row>
    <row r="15" spans="1:20">
      <c r="A15" s="18" t="s">
        <v>79</v>
      </c>
      <c r="B15" s="11"/>
      <c r="C15" s="14"/>
      <c r="D15" s="14"/>
      <c r="E15" s="14">
        <f ca="1">E17-E14</f>
        <v>11971.838348735644</v>
      </c>
      <c r="F15" s="14"/>
      <c r="G15" s="14"/>
      <c r="H15" s="14"/>
      <c r="I15" s="14"/>
      <c r="J15" s="14"/>
      <c r="K15" s="13"/>
      <c r="L15" s="14">
        <f t="shared" ca="1" si="5"/>
        <v>11971.838348735644</v>
      </c>
      <c r="M15" s="16"/>
      <c r="N15" s="16"/>
      <c r="O15" s="11"/>
      <c r="P15" s="13"/>
      <c r="Q15" s="14">
        <f t="shared" ca="1" si="6"/>
        <v>11971.838348735644</v>
      </c>
      <c r="R15" s="16">
        <f t="shared" ca="1" si="4"/>
        <v>11971.838348735644</v>
      </c>
    </row>
    <row r="16" spans="1:20">
      <c r="A16" s="30" t="s">
        <v>89</v>
      </c>
      <c r="B16" s="21">
        <f ca="1">Q2</f>
        <v>74243.468337103768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74243.468337103768</v>
      </c>
      <c r="M16" s="19"/>
      <c r="N16" s="19"/>
      <c r="O16" s="21"/>
      <c r="P16" s="27"/>
      <c r="Q16" s="22">
        <f t="shared" ca="1" si="6"/>
        <v>74243.468337103768</v>
      </c>
      <c r="R16" s="19">
        <f t="shared" ca="1" si="4"/>
        <v>74243.468337103768</v>
      </c>
    </row>
    <row r="17" spans="1:18">
      <c r="A17" s="29" t="s">
        <v>88</v>
      </c>
      <c r="B17" s="9">
        <f ca="1">B16</f>
        <v>74243.468337103768</v>
      </c>
      <c r="C17" s="9">
        <f ca="1">SUM(C$2:C$11)</f>
        <v>45523.4837787906</v>
      </c>
      <c r="D17" s="9">
        <f ca="1">SUM(D$2:D$11)</f>
        <v>19716.506463074369</v>
      </c>
      <c r="E17" s="9">
        <f ca="1">$Q$5/parameters!$B$4</f>
        <v>23030.879944752738</v>
      </c>
      <c r="F17" s="9">
        <f t="shared" ref="F17:K17" ca="1" si="7">SUM(F$2:F$11)</f>
        <v>38740.298507462692</v>
      </c>
      <c r="G17" s="9">
        <f t="shared" ca="1" si="7"/>
        <v>51417.742946708466</v>
      </c>
      <c r="H17" s="9">
        <f t="shared" ca="1" si="7"/>
        <v>85545.18</v>
      </c>
      <c r="I17" s="9">
        <f t="shared" ca="1" si="7"/>
        <v>43581</v>
      </c>
      <c r="J17" s="9">
        <f t="shared" ca="1" si="7"/>
        <v>47498.13229018492</v>
      </c>
      <c r="K17" s="9">
        <f t="shared" ca="1" si="7"/>
        <v>90789.289644381235</v>
      </c>
      <c r="L17" s="17">
        <f t="shared" ca="1" si="5"/>
        <v>520085.98191245878</v>
      </c>
      <c r="M17" s="17"/>
      <c r="N17" s="17"/>
      <c r="O17" s="9"/>
      <c r="P17" s="14"/>
      <c r="Q17" s="11">
        <f t="shared" ca="1" si="6"/>
        <v>520085.98191245878</v>
      </c>
      <c r="R17" s="17">
        <f t="shared" ca="1" si="4"/>
        <v>520085.98191245878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0.99369999999999992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0.89825386908085503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79761.537687430799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79761.537687430799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-79761.537687430799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79025.225373134337</v>
      </c>
      <c r="G3" s="14">
        <f ca="1">Q3-O3-P3-F3</f>
        <v>347.2146268656652</v>
      </c>
      <c r="H3" s="14"/>
      <c r="I3" s="14"/>
      <c r="J3" s="14"/>
      <c r="K3" s="13"/>
      <c r="L3" s="16">
        <f t="shared" ca="1" si="0"/>
        <v>79372.44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44.414999999999999</v>
      </c>
      <c r="P3" s="13" cm="1">
        <f t="array" aca="1" ref="P3" ca="1">-INDIRECT("'data'!$I$" &amp; $A$1)*parameters!$B$13</f>
        <v>-157.815</v>
      </c>
      <c r="Q3" s="16" cm="1">
        <f t="array" aca="1" ref="Q3" ca="1">INDIRECT("'data'!$G$" &amp; $A$1)*parameters!$B$13</f>
        <v>79259.039999999994</v>
      </c>
      <c r="R3" s="16">
        <f t="shared" ref="R3:R10" ca="1" si="2">SUM(L3:P3)</f>
        <v>79259.039999999994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113.16</v>
      </c>
      <c r="H4" s="14"/>
      <c r="I4" s="14"/>
      <c r="J4" s="14"/>
      <c r="K4" s="13"/>
      <c r="L4" s="16">
        <f t="shared" ca="1" si="0"/>
        <v>113.16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-114.08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Q6/parameters!$B$5*11%</f>
        <v>9767.1626865671642</v>
      </c>
      <c r="G5" s="14">
        <f ca="1">Q7/parameters!$B$7-(G3+G4)</f>
        <v>25835.780023082087</v>
      </c>
      <c r="H5" s="14"/>
      <c r="I5" s="14"/>
      <c r="J5" s="14"/>
      <c r="K5" s="13"/>
      <c r="L5" s="16">
        <f t="shared" ca="1" si="0"/>
        <v>35602.942709649251</v>
      </c>
      <c r="M5" s="16"/>
      <c r="N5" s="16"/>
      <c r="O5" s="11" cm="1">
        <f t="array" aca="1" ref="O5" ca="1">INDIRECT("'data'!$M$" &amp; $A$1)*parameters!$B$15</f>
        <v>7203.98</v>
      </c>
      <c r="P5" s="13" cm="1">
        <f t="array" aca="1" ref="P5" ca="1">-INDIRECT("'data'!$N$" &amp; $A$1)*parameters!$B$15</f>
        <v>-362.59999999999997</v>
      </c>
      <c r="Q5" s="16">
        <f ca="1">SUM(L5:P5)</f>
        <v>42444.322709649256</v>
      </c>
      <c r="R5" s="16">
        <f t="shared" ca="1" si="2"/>
        <v>42444.322709649256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83287.259999999995</v>
      </c>
      <c r="I6" s="14"/>
      <c r="J6" s="14"/>
      <c r="K6" s="13"/>
      <c r="L6" s="16">
        <f t="shared" ca="1" si="0"/>
        <v>83287.259999999995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83287.259999999995</v>
      </c>
      <c r="R6" s="16">
        <f t="shared" ca="1" si="2"/>
        <v>83287.259999999995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25165.42</v>
      </c>
      <c r="I7" s="14"/>
      <c r="J7" s="14"/>
      <c r="K7" s="13"/>
      <c r="L7" s="16">
        <f t="shared" ca="1" si="0"/>
        <v>25165.42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25165.42</v>
      </c>
      <c r="R7" s="16">
        <f t="shared" ca="1" si="2"/>
        <v>25165.42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35122.531356406791</v>
      </c>
      <c r="J8" s="14">
        <f ca="1">Q10/J18</f>
        <v>68360.568643593215</v>
      </c>
      <c r="K8" s="13"/>
      <c r="L8" s="16">
        <f t="shared" ca="1" si="0"/>
        <v>103483.1</v>
      </c>
      <c r="M8" s="16"/>
      <c r="N8" s="16">
        <f t="shared" ca="1" si="3"/>
        <v>0</v>
      </c>
      <c r="O8" s="11" cm="1">
        <f t="array" aca="1" ref="O8" ca="1">INDIRECT("'data'!$R$" &amp; $A$1)*parameters!$B$15</f>
        <v>5223.3999999999996</v>
      </c>
      <c r="P8" s="13" cm="1">
        <f t="array" aca="1" ref="P8" ca="1">-INDIRECT("'data'!$S$" &amp; $A$1)*parameters!$B$15</f>
        <v>-253.82</v>
      </c>
      <c r="Q8" s="16">
        <f ca="1">SUM(Q6:Q7)</f>
        <v>108452.68</v>
      </c>
      <c r="R8" s="16">
        <f t="shared" ca="1" si="2"/>
        <v>108452.68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27982.92</v>
      </c>
      <c r="L9" s="16">
        <f t="shared" ca="1" si="0"/>
        <v>27982.92</v>
      </c>
      <c r="M9" s="16"/>
      <c r="N9" s="16">
        <f t="shared" ca="1" si="3"/>
        <v>0</v>
      </c>
      <c r="O9" s="11" cm="1">
        <f t="array" aca="1" ref="O9" ca="1">INDIRECT("'data'!$U$" &amp; $A$1)*parameters!$B$15</f>
        <v>5138.1400000000003</v>
      </c>
      <c r="P9" s="13" cm="1">
        <f t="array" aca="1" ref="P9" ca="1">-INDIRECT("'data'!$V$" &amp; $A$1)*parameters!$B$15</f>
        <v>-1130.92</v>
      </c>
      <c r="Q9" s="16" cm="1">
        <f t="array" aca="1" ref="Q9" ca="1">INDIRECT("'data'!$T$" &amp; $A$1)*parameters!$B$15</f>
        <v>31990.14</v>
      </c>
      <c r="R9" s="16">
        <f t="shared" ca="1" si="2"/>
        <v>31990.14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39822.833911806541</v>
      </c>
      <c r="L10" s="16">
        <f t="shared" ca="1" si="0"/>
        <v>39822.833911806541</v>
      </c>
      <c r="M10" s="16"/>
      <c r="N10" s="16">
        <f t="shared" ca="1" si="3"/>
        <v>0</v>
      </c>
      <c r="O10" s="11" cm="1">
        <f t="array" aca="1" ref="O10" ca="1">INDIRECT("'data'!$X$" &amp; $A$1)*parameters!$B$15</f>
        <v>27227.34</v>
      </c>
      <c r="P10" s="13" cm="1">
        <f t="array" aca="1" ref="P10" ca="1">-INDIRECT("'data'!$Y$" &amp; $A$1)*parameters!$B$15</f>
        <v>-4786.32</v>
      </c>
      <c r="Q10" s="16" cm="1">
        <f t="array" aca="1" ref="Q10" ca="1">INDIRECT("'data'!$W$" &amp; $A$1)*parameters!$B$15</f>
        <v>62263.853911806538</v>
      </c>
      <c r="R10" s="16">
        <f t="shared" ca="1" si="2"/>
        <v>62263.853911806546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45290.041964153621</v>
      </c>
      <c r="N11" s="19"/>
      <c r="O11" s="21" cm="1">
        <f t="array" aca="1" ref="O11" ca="1">INDIRECT("'data'!$Z$" &amp; $A$1)*parameters!$B$15</f>
        <v>22499.82</v>
      </c>
      <c r="P11" s="27" cm="1">
        <f t="array" aca="1" ref="P11" ca="1">-INDIRECT("'data'!$AA$" &amp; $A$1)*parameters!$B$15</f>
        <v>-7238.28</v>
      </c>
      <c r="Q11" s="16">
        <f ca="1">K9*parameters!$B$10+K10*parameters!$B$11</f>
        <v>60551.581964153622</v>
      </c>
      <c r="R11" s="16">
        <f t="shared" ref="R11:R17" ca="1" si="4">SUM(L11:P11)</f>
        <v>60551.581964153622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-502.49768743080494</v>
      </c>
      <c r="D12" s="9">
        <f ca="1">-(D17-Q4)</f>
        <v>0</v>
      </c>
      <c r="E12" s="9">
        <f ca="1">-(E17-Q5)</f>
        <v>-5245.9275259117057</v>
      </c>
      <c r="F12" s="9">
        <f ca="1">-(F17-Q6)</f>
        <v>-5505.1280597015138</v>
      </c>
      <c r="G12" s="9">
        <f ca="1">-(G17-Q7)</f>
        <v>-1130.7346499477535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-12384.287922991778</v>
      </c>
      <c r="M12" s="17"/>
      <c r="N12" s="17"/>
      <c r="O12" s="10"/>
      <c r="P12" s="12"/>
      <c r="Q12" s="9">
        <f t="shared" ref="Q12:Q17" ca="1" si="6">SUM(L12:P12)</f>
        <v>-12384.287922991778</v>
      </c>
      <c r="R12" s="17">
        <f t="shared" ca="1" si="4"/>
        <v>-12384.287922991778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-3132.3913564067916</v>
      </c>
      <c r="J13" s="14">
        <f ca="1">-(J17-Q10)</f>
        <v>-6096.7147317866766</v>
      </c>
      <c r="K13" s="13">
        <f ca="1">-(K17-Q11)</f>
        <v>-7254.1719476529106</v>
      </c>
      <c r="L13" s="14">
        <f t="shared" ca="1" si="5"/>
        <v>-16483.278035846379</v>
      </c>
      <c r="M13" s="16">
        <f ca="1">-E15</f>
        <v>-31206.972199714583</v>
      </c>
      <c r="N13" s="16"/>
      <c r="O13" s="11"/>
      <c r="P13" s="13"/>
      <c r="Q13" s="14">
        <f t="shared" ca="1" si="6"/>
        <v>-47690.250235560961</v>
      </c>
      <c r="R13" s="16">
        <f t="shared" ca="1" si="4"/>
        <v>-47690.250235560961</v>
      </c>
    </row>
    <row r="14" spans="1:20">
      <c r="A14" s="18" t="s">
        <v>78</v>
      </c>
      <c r="B14" s="11"/>
      <c r="C14" s="14"/>
      <c r="D14" s="14"/>
      <c r="E14" s="14">
        <f ca="1">-(I13+J13)-K13</f>
        <v>16483.278035846379</v>
      </c>
      <c r="F14" s="14"/>
      <c r="G14" s="14"/>
      <c r="H14" s="14"/>
      <c r="I14" s="14"/>
      <c r="J14" s="14"/>
      <c r="K14" s="13"/>
      <c r="L14" s="14">
        <f t="shared" ca="1" si="5"/>
        <v>16483.278035846379</v>
      </c>
      <c r="M14" s="16"/>
      <c r="N14" s="16"/>
      <c r="O14" s="11"/>
      <c r="P14" s="13"/>
      <c r="Q14" s="14">
        <f t="shared" ca="1" si="6"/>
        <v>16483.278035846379</v>
      </c>
      <c r="R14" s="16">
        <f t="shared" ca="1" si="4"/>
        <v>16483.278035846379</v>
      </c>
    </row>
    <row r="15" spans="1:20">
      <c r="A15" s="18" t="s">
        <v>79</v>
      </c>
      <c r="B15" s="11"/>
      <c r="C15" s="14"/>
      <c r="D15" s="14"/>
      <c r="E15" s="14">
        <f ca="1">E17-E14</f>
        <v>31206.972199714583</v>
      </c>
      <c r="F15" s="14"/>
      <c r="G15" s="14"/>
      <c r="H15" s="14"/>
      <c r="I15" s="14"/>
      <c r="J15" s="14"/>
      <c r="K15" s="13"/>
      <c r="L15" s="14">
        <f t="shared" ca="1" si="5"/>
        <v>31206.972199714583</v>
      </c>
      <c r="M15" s="16"/>
      <c r="N15" s="16"/>
      <c r="O15" s="11"/>
      <c r="P15" s="13"/>
      <c r="Q15" s="14">
        <f t="shared" ca="1" si="6"/>
        <v>31206.972199714583</v>
      </c>
      <c r="R15" s="16">
        <f t="shared" ca="1" si="4"/>
        <v>31206.972199714583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79761.537687430799</v>
      </c>
      <c r="D17" s="9">
        <f ca="1">SUM(D$2:D$11)</f>
        <v>0</v>
      </c>
      <c r="E17" s="9">
        <f ca="1">$Q$5/parameters!$B$4</f>
        <v>47690.250235560961</v>
      </c>
      <c r="F17" s="9">
        <f t="shared" ref="F17:K17" ca="1" si="7">SUM(F$2:F$11)</f>
        <v>88792.388059701509</v>
      </c>
      <c r="G17" s="9">
        <f t="shared" ca="1" si="7"/>
        <v>26296.154649947752</v>
      </c>
      <c r="H17" s="9">
        <f t="shared" ca="1" si="7"/>
        <v>108452.68</v>
      </c>
      <c r="I17" s="9">
        <f t="shared" ca="1" si="7"/>
        <v>35122.531356406791</v>
      </c>
      <c r="J17" s="9">
        <f t="shared" ca="1" si="7"/>
        <v>68360.568643593215</v>
      </c>
      <c r="K17" s="9">
        <f t="shared" ca="1" si="7"/>
        <v>67805.753911806532</v>
      </c>
      <c r="L17" s="17">
        <f t="shared" ca="1" si="5"/>
        <v>522281.86454444763</v>
      </c>
      <c r="M17" s="17"/>
      <c r="N17" s="17"/>
      <c r="O17" s="9"/>
      <c r="P17" s="14"/>
      <c r="Q17" s="11">
        <f t="shared" ca="1" si="6"/>
        <v>522281.86454444763</v>
      </c>
      <c r="R17" s="17">
        <f t="shared" ca="1" si="4"/>
        <v>522281.86454444763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0.93799999999999972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0.91081533034675743</v>
      </c>
      <c r="J18" s="39">
        <f ca="1">I18</f>
        <v>0.91081533034675743</v>
      </c>
      <c r="K18" s="40">
        <f ca="1">1-(-K13)/K17</f>
        <v>0.89301539280739717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27934.416826003824</v>
      </c>
      <c r="D2" s="9">
        <f ca="1">Q4/parameters!$B$3</f>
        <v>1203.5825701922108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29137.999396196035</v>
      </c>
      <c r="M2" s="17"/>
      <c r="N2" s="17">
        <f ca="1">Q2-(L2+O2+P2)</f>
        <v>0</v>
      </c>
      <c r="O2" s="11" cm="1">
        <f t="array" aca="1" ref="O2" ca="1">INDIRECT("'data'!$F$" &amp; $A$1)</f>
        <v>8050.25</v>
      </c>
      <c r="P2" s="13">
        <f ca="1">IF(-(L2-Q2+O2)&lt;0, -(L2-Q2+O2), 0)</f>
        <v>-1788.2493961960354</v>
      </c>
      <c r="Q2" s="17" cm="1">
        <f t="array" aca="1" ref="Q2" ca="1">INDIRECT("'data'!$D$" &amp; $A$1)</f>
        <v>35400</v>
      </c>
      <c r="R2" s="17">
        <f ca="1">SUM(L2:P2)</f>
        <v>35400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28271.641791044774</v>
      </c>
      <c r="G3" s="14">
        <f ca="1">Q3-O3-P3-F3</f>
        <v>3787.4832089552256</v>
      </c>
      <c r="H3" s="14"/>
      <c r="I3" s="14"/>
      <c r="J3" s="14"/>
      <c r="K3" s="13"/>
      <c r="L3" s="16">
        <f t="shared" ca="1" si="0"/>
        <v>32059.125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49.14</v>
      </c>
      <c r="P3" s="13" cm="1">
        <f t="array" aca="1" ref="P3" ca="1">-INDIRECT("'data'!$I$" &amp; $A$1)*parameters!$B$13</f>
        <v>-4349.835</v>
      </c>
      <c r="Q3" s="16" cm="1">
        <f t="array" aca="1" ref="Q3" ca="1">INDIRECT("'data'!$G$" &amp; $A$1)*parameters!$B$13</f>
        <v>27758.43</v>
      </c>
      <c r="R3" s="16">
        <f t="shared" ref="R3:R10" ca="1" si="2">SUM(L3:P3)</f>
        <v>27758.43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3392.96</v>
      </c>
      <c r="H4" s="14"/>
      <c r="I4" s="14"/>
      <c r="J4" s="14"/>
      <c r="K4" s="13"/>
      <c r="L4" s="16">
        <f t="shared" ca="1" si="0"/>
        <v>3392.96</v>
      </c>
      <c r="M4" s="16"/>
      <c r="N4" s="16">
        <f t="shared" ca="1" si="1"/>
        <v>0</v>
      </c>
      <c r="O4" s="11" cm="1">
        <f t="array" aca="1" ref="O4" ca="1">INDIRECT("'data'!$K$" &amp; $A$1)*parameters!$B$14</f>
        <v>3.68</v>
      </c>
      <c r="P4" s="13" cm="1">
        <f t="array" aca="1" ref="P4" ca="1">-INDIRECT("'data'!$L$" &amp; $A$1)*parameters!$B$14</f>
        <v>-2200.64</v>
      </c>
      <c r="Q4" s="16" cm="1">
        <f t="array" aca="1" ref="Q4" ca="1">INDIRECT("'data'!$J$" &amp; $A$1)*parameters!$B$14</f>
        <v>1196</v>
      </c>
      <c r="R4" s="16">
        <f t="shared" ca="1" si="2"/>
        <v>1196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Q6/parameters!$B$5*18%</f>
        <v>6205.9701492537306</v>
      </c>
      <c r="G5" s="14">
        <f ca="1">Q7/parameters!$B$7-(G3+G4)</f>
        <v>49319.577689686361</v>
      </c>
      <c r="H5" s="14"/>
      <c r="I5" s="14"/>
      <c r="J5" s="14"/>
      <c r="K5" s="13"/>
      <c r="L5" s="16">
        <f t="shared" ca="1" si="0"/>
        <v>55525.547838940089</v>
      </c>
      <c r="M5" s="16"/>
      <c r="N5" s="16"/>
      <c r="O5" s="11" cm="1">
        <f t="array" aca="1" ref="O5" ca="1">INDIRECT("'data'!$M$" &amp; $A$1)*parameters!$B$15</f>
        <v>15033.199999999999</v>
      </c>
      <c r="P5" s="13" cm="1">
        <f t="array" aca="1" ref="P5" ca="1">-INDIRECT("'data'!$N$" &amp; $A$1)*parameters!$B$15</f>
        <v>-4130.7</v>
      </c>
      <c r="Q5" s="16">
        <f ca="1">SUM(L5:P5)</f>
        <v>66428.047838940096</v>
      </c>
      <c r="R5" s="16">
        <f t="shared" ca="1" si="2"/>
        <v>66428.047838940096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32340</v>
      </c>
      <c r="I6" s="14"/>
      <c r="J6" s="14"/>
      <c r="K6" s="13"/>
      <c r="L6" s="16">
        <f t="shared" ca="1" si="0"/>
        <v>32340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32340</v>
      </c>
      <c r="R6" s="16">
        <f t="shared" ca="1" si="2"/>
        <v>32340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54070.52</v>
      </c>
      <c r="I7" s="14"/>
      <c r="J7" s="14"/>
      <c r="K7" s="13"/>
      <c r="L7" s="16">
        <f t="shared" ca="1" si="0"/>
        <v>54070.52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54070.52</v>
      </c>
      <c r="R7" s="16">
        <f t="shared" ca="1" si="2"/>
        <v>54070.52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28629.967590468044</v>
      </c>
      <c r="J8" s="14">
        <f ca="1">Q10/J18</f>
        <v>66862.21240953193</v>
      </c>
      <c r="K8" s="13"/>
      <c r="L8" s="16">
        <f t="shared" ca="1" si="0"/>
        <v>95492.179999999978</v>
      </c>
      <c r="M8" s="16"/>
      <c r="N8" s="16">
        <f t="shared" ca="1" si="3"/>
        <v>0</v>
      </c>
      <c r="O8" s="11" cm="1">
        <f t="array" aca="1" ref="O8" ca="1">INDIRECT("'data'!$R$" &amp; $A$1)*parameters!$B$15</f>
        <v>289.10000000000002</v>
      </c>
      <c r="P8" s="13" cm="1">
        <f t="array" aca="1" ref="P8" ca="1">-INDIRECT("'data'!$S$" &amp; $A$1)*parameters!$B$15</f>
        <v>-9370.76</v>
      </c>
      <c r="Q8" s="16">
        <f ca="1">SUM(Q6:Q7)</f>
        <v>86410.51999999999</v>
      </c>
      <c r="R8" s="16">
        <f t="shared" ca="1" si="2"/>
        <v>86410.51999999999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30252.6</v>
      </c>
      <c r="L9" s="16">
        <f t="shared" ca="1" si="0"/>
        <v>30252.6</v>
      </c>
      <c r="M9" s="16"/>
      <c r="N9" s="16">
        <f t="shared" ca="1" si="3"/>
        <v>0</v>
      </c>
      <c r="O9" s="11" cm="1">
        <f t="array" aca="1" ref="O9" ca="1">INDIRECT("'data'!$U$" &amp; $A$1)*parameters!$B$15</f>
        <v>2789.08</v>
      </c>
      <c r="P9" s="13" cm="1">
        <f t="array" aca="1" ref="P9" ca="1">-INDIRECT("'data'!$V$" &amp; $A$1)*parameters!$B$15</f>
        <v>-7004.0599999999995</v>
      </c>
      <c r="Q9" s="16" cm="1">
        <f t="array" aca="1" ref="Q9" ca="1">INDIRECT("'data'!$T$" &amp; $A$1)*parameters!$B$15</f>
        <v>26037.62</v>
      </c>
      <c r="R9" s="16">
        <f t="shared" ca="1" si="2"/>
        <v>26037.620000000003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69721.163214793734</v>
      </c>
      <c r="L10" s="16">
        <f t="shared" ca="1" si="0"/>
        <v>69721.163214793734</v>
      </c>
      <c r="M10" s="16"/>
      <c r="N10" s="16">
        <f t="shared" ca="1" si="3"/>
        <v>0</v>
      </c>
      <c r="O10" s="11" cm="1">
        <f t="array" aca="1" ref="O10" ca="1">INDIRECT("'data'!$X$" &amp; $A$1)*parameters!$B$15</f>
        <v>6414.0999999999995</v>
      </c>
      <c r="P10" s="13" cm="1">
        <f t="array" aca="1" ref="P10" ca="1">-INDIRECT("'data'!$Y$" &amp; $A$1)*parameters!$B$15</f>
        <v>-15327.199999999999</v>
      </c>
      <c r="Q10" s="16" cm="1">
        <f t="array" aca="1" ref="Q10" ca="1">INDIRECT("'data'!$W$" &amp; $A$1)*parameters!$B$15</f>
        <v>60808.063214793736</v>
      </c>
      <c r="R10" s="16">
        <f t="shared" ca="1" si="2"/>
        <v>60808.063214793743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104796.96436472259</v>
      </c>
      <c r="N11" s="19"/>
      <c r="O11" s="21" cm="1">
        <f t="array" aca="1" ref="O11" ca="1">INDIRECT("'data'!$Z$" &amp; $A$1)*parameters!$B$15</f>
        <v>21950.04</v>
      </c>
      <c r="P11" s="27" cm="1">
        <f t="array" aca="1" ref="P11" ca="1">-INDIRECT("'data'!$AA$" &amp; $A$1)*parameters!$B$15</f>
        <v>-38349.360000000001</v>
      </c>
      <c r="Q11" s="16">
        <f ca="1">K9*parameters!$B$10+K10*parameters!$B$11</f>
        <v>88397.644364722597</v>
      </c>
      <c r="R11" s="16">
        <f t="shared" ref="R11:R17" ca="1" si="4">SUM(L11:P11)</f>
        <v>88397.644364722582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-175.98682600382381</v>
      </c>
      <c r="D12" s="9">
        <f ca="1">-(D17-Q4)</f>
        <v>-7.5825701922108237</v>
      </c>
      <c r="E12" s="9">
        <f ca="1">-(E17-Q5)</f>
        <v>-8210.2081598689983</v>
      </c>
      <c r="F12" s="9">
        <f ca="1">-(F17-Q6)</f>
        <v>-2137.6119402985059</v>
      </c>
      <c r="G12" s="9">
        <f ca="1">-(G17-Q7)</f>
        <v>-2429.5008986415924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-12960.890395005132</v>
      </c>
      <c r="M12" s="17"/>
      <c r="N12" s="17"/>
      <c r="O12" s="10"/>
      <c r="P12" s="12"/>
      <c r="Q12" s="9">
        <f t="shared" ref="Q12:Q17" ca="1" si="6">SUM(L12:P12)</f>
        <v>-12960.890395005132</v>
      </c>
      <c r="R12" s="17">
        <f t="shared" ca="1" si="4"/>
        <v>-12960.890395005132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-2592.3475904680454</v>
      </c>
      <c r="J13" s="14">
        <f ca="1">-(J17-Q10)</f>
        <v>-6054.1491947381946</v>
      </c>
      <c r="K13" s="13">
        <f ca="1">-(K17-Q11)</f>
        <v>-11576.118850071129</v>
      </c>
      <c r="L13" s="14">
        <f t="shared" ca="1" si="5"/>
        <v>-20222.615635277369</v>
      </c>
      <c r="M13" s="16">
        <f ca="1">-E15</f>
        <v>-54415.640363531726</v>
      </c>
      <c r="N13" s="16"/>
      <c r="O13" s="11"/>
      <c r="P13" s="13"/>
      <c r="Q13" s="14">
        <f t="shared" ca="1" si="6"/>
        <v>-74638.255998809094</v>
      </c>
      <c r="R13" s="16">
        <f t="shared" ca="1" si="4"/>
        <v>-74638.255998809094</v>
      </c>
    </row>
    <row r="14" spans="1:20">
      <c r="A14" s="18" t="s">
        <v>78</v>
      </c>
      <c r="B14" s="11"/>
      <c r="C14" s="14"/>
      <c r="D14" s="14"/>
      <c r="E14" s="14">
        <f ca="1">-(I13+J13)-K13</f>
        <v>20222.615635277369</v>
      </c>
      <c r="F14" s="14"/>
      <c r="G14" s="14"/>
      <c r="H14" s="14"/>
      <c r="I14" s="14"/>
      <c r="J14" s="14"/>
      <c r="K14" s="13"/>
      <c r="L14" s="14">
        <f t="shared" ca="1" si="5"/>
        <v>20222.615635277369</v>
      </c>
      <c r="M14" s="16"/>
      <c r="N14" s="16"/>
      <c r="O14" s="11"/>
      <c r="P14" s="13"/>
      <c r="Q14" s="14">
        <f t="shared" ca="1" si="6"/>
        <v>20222.615635277369</v>
      </c>
      <c r="R14" s="16">
        <f t="shared" ca="1" si="4"/>
        <v>20222.615635277369</v>
      </c>
    </row>
    <row r="15" spans="1:20">
      <c r="A15" s="18" t="s">
        <v>79</v>
      </c>
      <c r="B15" s="11"/>
      <c r="C15" s="14"/>
      <c r="D15" s="14"/>
      <c r="E15" s="14">
        <f ca="1">E17-E14</f>
        <v>54415.640363531726</v>
      </c>
      <c r="F15" s="14"/>
      <c r="G15" s="14"/>
      <c r="H15" s="14"/>
      <c r="I15" s="14"/>
      <c r="J15" s="14"/>
      <c r="K15" s="13"/>
      <c r="L15" s="14">
        <f t="shared" ca="1" si="5"/>
        <v>54415.640363531726</v>
      </c>
      <c r="M15" s="16"/>
      <c r="N15" s="16"/>
      <c r="O15" s="11"/>
      <c r="P15" s="13"/>
      <c r="Q15" s="14">
        <f t="shared" ca="1" si="6"/>
        <v>54415.640363531726</v>
      </c>
      <c r="R15" s="16">
        <f t="shared" ca="1" si="4"/>
        <v>54415.640363531726</v>
      </c>
    </row>
    <row r="16" spans="1:20">
      <c r="A16" s="30" t="s">
        <v>89</v>
      </c>
      <c r="B16" s="21">
        <f ca="1">Q2</f>
        <v>35400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35400</v>
      </c>
      <c r="M16" s="19"/>
      <c r="N16" s="19"/>
      <c r="O16" s="21"/>
      <c r="P16" s="27"/>
      <c r="Q16" s="22">
        <f t="shared" ca="1" si="6"/>
        <v>35400</v>
      </c>
      <c r="R16" s="19">
        <f t="shared" ca="1" si="4"/>
        <v>35400</v>
      </c>
    </row>
    <row r="17" spans="1:18">
      <c r="A17" s="29" t="s">
        <v>88</v>
      </c>
      <c r="B17" s="9">
        <f ca="1">B16</f>
        <v>35400</v>
      </c>
      <c r="C17" s="9">
        <f ca="1">SUM(C$2:C$11)</f>
        <v>27934.416826003824</v>
      </c>
      <c r="D17" s="9">
        <f ca="1">SUM(D$2:D$11)</f>
        <v>1203.5825701922108</v>
      </c>
      <c r="E17" s="9">
        <f ca="1">$Q$5/parameters!$B$4</f>
        <v>74638.255998809094</v>
      </c>
      <c r="F17" s="9">
        <f t="shared" ref="F17:K17" ca="1" si="7">SUM(F$2:F$11)</f>
        <v>34477.611940298506</v>
      </c>
      <c r="G17" s="9">
        <f t="shared" ca="1" si="7"/>
        <v>56500.020898641589</v>
      </c>
      <c r="H17" s="9">
        <f t="shared" ca="1" si="7"/>
        <v>86410.51999999999</v>
      </c>
      <c r="I17" s="9">
        <f t="shared" ca="1" si="7"/>
        <v>28629.967590468044</v>
      </c>
      <c r="J17" s="9">
        <f t="shared" ca="1" si="7"/>
        <v>66862.21240953193</v>
      </c>
      <c r="K17" s="9">
        <f t="shared" ca="1" si="7"/>
        <v>99973.763214793726</v>
      </c>
      <c r="L17" s="17">
        <f t="shared" ca="1" si="5"/>
        <v>512030.35144873895</v>
      </c>
      <c r="M17" s="17"/>
      <c r="N17" s="17"/>
      <c r="O17" s="9"/>
      <c r="P17" s="14"/>
      <c r="Q17" s="11">
        <f t="shared" ca="1" si="6"/>
        <v>512030.35144873895</v>
      </c>
      <c r="R17" s="17">
        <f t="shared" ca="1" si="4"/>
        <v>512030.35144873895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0.90945335225139645</v>
      </c>
      <c r="J18" s="39">
        <f ca="1">I18</f>
        <v>0.90945335225139645</v>
      </c>
      <c r="K18" s="40">
        <f ca="1">1-(-K13)/K17</f>
        <v>0.88420843151417805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48956.078293247454</v>
      </c>
      <c r="D2" s="9">
        <f ca="1">Q4/parameters!$B$3</f>
        <v>4953.2051927140983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53909.283485961554</v>
      </c>
      <c r="M2" s="17"/>
      <c r="N2" s="17">
        <f ca="1">Q2-(L2+O2+P2)</f>
        <v>0</v>
      </c>
      <c r="O2" s="11" cm="1">
        <f t="array" aca="1" ref="O2" ca="1">INDIRECT("'data'!$F$" &amp; $A$1)</f>
        <v>14948.050000000001</v>
      </c>
      <c r="P2" s="13">
        <f ca="1">IF(-(L2-Q2+O2)&lt;0, -(L2-Q2+O2), 0)</f>
        <v>-8657.3334859615552</v>
      </c>
      <c r="Q2" s="17" cm="1">
        <f t="array" aca="1" ref="Q2" ca="1">INDIRECT("'data'!$D$" &amp; $A$1)</f>
        <v>60200</v>
      </c>
      <c r="R2" s="17">
        <f ca="1">SUM(L2:P2)</f>
        <v>60200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41413.253731343284</v>
      </c>
      <c r="G3" s="14">
        <f ca="1">Q3-O3-P3-F3</f>
        <v>3115.1462686567174</v>
      </c>
      <c r="H3" s="14"/>
      <c r="I3" s="14"/>
      <c r="J3" s="14"/>
      <c r="K3" s="13"/>
      <c r="L3" s="16">
        <f t="shared" ca="1" si="0"/>
        <v>44528.4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4119.2550000000001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48647.654999999999</v>
      </c>
      <c r="R3" s="16">
        <f t="shared" ref="R3:R10" ca="1" si="2">SUM(L3:P3)</f>
        <v>48647.654999999999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2905.3599999999997</v>
      </c>
      <c r="H4" s="14"/>
      <c r="I4" s="14"/>
      <c r="J4" s="14"/>
      <c r="K4" s="13"/>
      <c r="L4" s="16">
        <f t="shared" ca="1" si="0"/>
        <v>2905.3599999999997</v>
      </c>
      <c r="M4" s="16"/>
      <c r="N4" s="16">
        <f t="shared" ca="1" si="1"/>
        <v>0</v>
      </c>
      <c r="O4" s="11" cm="1">
        <f t="array" aca="1" ref="O4" ca="1">INDIRECT("'data'!$K$" &amp; $A$1)*parameters!$B$14</f>
        <v>2016.64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4922</v>
      </c>
      <c r="R4" s="16">
        <f t="shared" ca="1" si="2"/>
        <v>4922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10353.313432835821</v>
      </c>
      <c r="G5" s="14">
        <f ca="1">Q7/parameters!$B$7-(G3+G4)</f>
        <v>16356.672414728862</v>
      </c>
      <c r="H5" s="14"/>
      <c r="I5" s="14"/>
      <c r="J5" s="14"/>
      <c r="K5" s="13"/>
      <c r="L5" s="16">
        <f t="shared" ca="1" si="0"/>
        <v>26709.985847564683</v>
      </c>
      <c r="M5" s="16"/>
      <c r="N5" s="16"/>
      <c r="O5" s="11" cm="1">
        <f t="array" aca="1" ref="O5" ca="1">INDIRECT("'data'!$M$" &amp; $A$1)*parameters!$B$15</f>
        <v>5649.7</v>
      </c>
      <c r="P5" s="13" cm="1">
        <f t="array" aca="1" ref="P5" ca="1">-INDIRECT("'data'!$N$" &amp; $A$1)*parameters!$B$15</f>
        <v>-258.71999999999997</v>
      </c>
      <c r="Q5" s="16">
        <f ca="1">SUM(L5:P5)</f>
        <v>32100.965847564683</v>
      </c>
      <c r="R5" s="16">
        <f t="shared" ca="1" si="2"/>
        <v>32100.965847564683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48557.04</v>
      </c>
      <c r="I6" s="14"/>
      <c r="J6" s="14"/>
      <c r="K6" s="13"/>
      <c r="L6" s="16">
        <f t="shared" ca="1" si="0"/>
        <v>48557.04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48557.04</v>
      </c>
      <c r="R6" s="16">
        <f t="shared" ca="1" si="2"/>
        <v>48557.04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21414.959999999999</v>
      </c>
      <c r="I7" s="14"/>
      <c r="J7" s="14"/>
      <c r="K7" s="13"/>
      <c r="L7" s="16">
        <f t="shared" ca="1" si="0"/>
        <v>21414.959999999999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21414.959999999999</v>
      </c>
      <c r="R7" s="16">
        <f t="shared" ca="1" si="2"/>
        <v>21414.959999999999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25490.439272902517</v>
      </c>
      <c r="J8" s="14">
        <f ca="1">Q10/J18</f>
        <v>30618.480727097489</v>
      </c>
      <c r="K8" s="13"/>
      <c r="L8" s="16">
        <f t="shared" ca="1" si="0"/>
        <v>56108.920000000006</v>
      </c>
      <c r="M8" s="16"/>
      <c r="N8" s="16">
        <f t="shared" ca="1" si="3"/>
        <v>0</v>
      </c>
      <c r="O8" s="11" cm="1">
        <f t="array" aca="1" ref="O8" ca="1">INDIRECT("'data'!$R$" &amp; $A$1)*parameters!$B$15</f>
        <v>13872.88</v>
      </c>
      <c r="P8" s="13" cm="1">
        <f t="array" aca="1" ref="P8" ca="1">-INDIRECT("'data'!$S$" &amp; $A$1)*parameters!$B$15</f>
        <v>-9.8000000000000007</v>
      </c>
      <c r="Q8" s="16">
        <f ca="1">SUM(Q6:Q7)</f>
        <v>69972</v>
      </c>
      <c r="R8" s="16">
        <f t="shared" ca="1" si="2"/>
        <v>69972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19702.900000000001</v>
      </c>
      <c r="L9" s="16">
        <f t="shared" ca="1" si="0"/>
        <v>19702.900000000001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3842.58</v>
      </c>
      <c r="P9" s="13" cm="1">
        <f t="array" aca="1" ref="P9" ca="1">-INDIRECT("'data'!$V$" &amp; $A$1)*parameters!$B$15</f>
        <v>-2224.6</v>
      </c>
      <c r="Q9" s="16" cm="1">
        <f t="array" aca="1" ref="Q9" ca="1">INDIRECT("'data'!$T$" &amp; $A$1)*parameters!$B$15</f>
        <v>21320.880000000001</v>
      </c>
      <c r="R9" s="16">
        <f t="shared" ca="1" si="2"/>
        <v>21320.880000000005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20759.109985775249</v>
      </c>
      <c r="L10" s="16">
        <f t="shared" ca="1" si="0"/>
        <v>20759.109985775249</v>
      </c>
      <c r="M10" s="16"/>
      <c r="N10" s="16">
        <f t="shared" ca="1" si="3"/>
        <v>0</v>
      </c>
      <c r="O10" s="11" cm="1">
        <f t="array" aca="1" ref="O10" ca="1">INDIRECT("'data'!$X$" &amp; $A$1)*parameters!$B$15</f>
        <v>8174.18</v>
      </c>
      <c r="P10" s="13" cm="1">
        <f t="array" aca="1" ref="P10" ca="1">-INDIRECT("'data'!$Y$" &amp; $A$1)*parameters!$B$15</f>
        <v>-3323.18</v>
      </c>
      <c r="Q10" s="16" cm="1">
        <f t="array" aca="1" ref="Q10" ca="1">INDIRECT("'data'!$W$" &amp; $A$1)*parameters!$B$15</f>
        <v>25610.109985775249</v>
      </c>
      <c r="R10" s="16">
        <f t="shared" ca="1" si="2"/>
        <v>25610.109985775249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43685.34058776671</v>
      </c>
      <c r="N11" s="19"/>
      <c r="O11" s="21" cm="1">
        <f t="array" aca="1" ref="O11" ca="1">INDIRECT("'data'!$Z$" &amp; $A$1)*parameters!$B$15</f>
        <v>1890.42</v>
      </c>
      <c r="P11" s="27" cm="1">
        <f t="array" aca="1" ref="P11" ca="1">-INDIRECT("'data'!$AA$" &amp; $A$1)*parameters!$B$15</f>
        <v>-9202.2000000000007</v>
      </c>
      <c r="Q11" s="16">
        <f ca="1">K9*parameters!$B$10+K10*parameters!$B$11</f>
        <v>36373.560587766711</v>
      </c>
      <c r="R11" s="16">
        <f t="shared" ref="R11:R17" ca="1" si="4">SUM(L11:P11)</f>
        <v>36373.560587766711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-308.42329324745515</v>
      </c>
      <c r="D12" s="9">
        <f ca="1">-(D17-Q4)</f>
        <v>-31.205192714098303</v>
      </c>
      <c r="E12" s="9">
        <f ca="1">-(E17-Q5)</f>
        <v>-3967.5351047551849</v>
      </c>
      <c r="F12" s="9">
        <f ca="1">-(F17-Q6)</f>
        <v>-3209.5271641791041</v>
      </c>
      <c r="G12" s="9">
        <f ca="1">-(G17-Q7)</f>
        <v>-962.21868338558124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-8478.9094382814237</v>
      </c>
      <c r="M12" s="17"/>
      <c r="N12" s="17"/>
      <c r="O12" s="10"/>
      <c r="P12" s="12"/>
      <c r="Q12" s="9">
        <f t="shared" ref="Q12:Q17" ca="1" si="6">SUM(L12:P12)</f>
        <v>-8478.9094382814237</v>
      </c>
      <c r="R12" s="17">
        <f t="shared" ca="1" si="4"/>
        <v>-8478.9094382814237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-4169.5592729025157</v>
      </c>
      <c r="J13" s="14">
        <f ca="1">-(J17-Q10)</f>
        <v>-5008.3707413222401</v>
      </c>
      <c r="K13" s="13">
        <f ca="1">-(K17-Q11)</f>
        <v>-4088.449398008539</v>
      </c>
      <c r="L13" s="14">
        <f t="shared" ca="1" si="5"/>
        <v>-13266.379412233295</v>
      </c>
      <c r="M13" s="16">
        <f ca="1">-E15</f>
        <v>-22802.121540086573</v>
      </c>
      <c r="N13" s="16"/>
      <c r="O13" s="11"/>
      <c r="P13" s="13"/>
      <c r="Q13" s="14">
        <f t="shared" ca="1" si="6"/>
        <v>-36068.500952319868</v>
      </c>
      <c r="R13" s="16">
        <f t="shared" ca="1" si="4"/>
        <v>-36068.500952319868</v>
      </c>
    </row>
    <row r="14" spans="1:20">
      <c r="A14" s="18" t="s">
        <v>78</v>
      </c>
      <c r="B14" s="11"/>
      <c r="C14" s="14"/>
      <c r="D14" s="14"/>
      <c r="E14" s="14">
        <f ca="1">-(I13+J13)-K13</f>
        <v>13266.379412233295</v>
      </c>
      <c r="F14" s="14"/>
      <c r="G14" s="14"/>
      <c r="H14" s="14"/>
      <c r="I14" s="14"/>
      <c r="J14" s="14"/>
      <c r="K14" s="13"/>
      <c r="L14" s="14">
        <f t="shared" ca="1" si="5"/>
        <v>13266.379412233295</v>
      </c>
      <c r="M14" s="16"/>
      <c r="N14" s="16"/>
      <c r="O14" s="11"/>
      <c r="P14" s="13"/>
      <c r="Q14" s="14">
        <f t="shared" ca="1" si="6"/>
        <v>13266.379412233295</v>
      </c>
      <c r="R14" s="16">
        <f t="shared" ca="1" si="4"/>
        <v>13266.379412233295</v>
      </c>
    </row>
    <row r="15" spans="1:20">
      <c r="A15" s="18" t="s">
        <v>79</v>
      </c>
      <c r="B15" s="11"/>
      <c r="C15" s="14"/>
      <c r="D15" s="14"/>
      <c r="E15" s="14">
        <f ca="1">E17-E14</f>
        <v>22802.121540086573</v>
      </c>
      <c r="F15" s="14"/>
      <c r="G15" s="14"/>
      <c r="H15" s="14"/>
      <c r="I15" s="14"/>
      <c r="J15" s="14"/>
      <c r="K15" s="13"/>
      <c r="L15" s="14">
        <f t="shared" ca="1" si="5"/>
        <v>22802.121540086573</v>
      </c>
      <c r="M15" s="16"/>
      <c r="N15" s="16"/>
      <c r="O15" s="11"/>
      <c r="P15" s="13"/>
      <c r="Q15" s="14">
        <f t="shared" ca="1" si="6"/>
        <v>22802.121540086573</v>
      </c>
      <c r="R15" s="16">
        <f t="shared" ca="1" si="4"/>
        <v>22802.121540086573</v>
      </c>
    </row>
    <row r="16" spans="1:20">
      <c r="A16" s="30" t="s">
        <v>89</v>
      </c>
      <c r="B16" s="21">
        <f ca="1">Q2</f>
        <v>60200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60200</v>
      </c>
      <c r="M16" s="19"/>
      <c r="N16" s="19"/>
      <c r="O16" s="21"/>
      <c r="P16" s="27"/>
      <c r="Q16" s="22">
        <f t="shared" ca="1" si="6"/>
        <v>60200</v>
      </c>
      <c r="R16" s="19">
        <f t="shared" ca="1" si="4"/>
        <v>60200</v>
      </c>
    </row>
    <row r="17" spans="1:18">
      <c r="A17" s="29" t="s">
        <v>88</v>
      </c>
      <c r="B17" s="9">
        <f ca="1">B16</f>
        <v>60200</v>
      </c>
      <c r="C17" s="9">
        <f ca="1">SUM(C$2:C$11)</f>
        <v>48956.078293247454</v>
      </c>
      <c r="D17" s="9">
        <f ca="1">SUM(D$2:D$11)</f>
        <v>4953.2051927140983</v>
      </c>
      <c r="E17" s="9">
        <f ca="1">$Q$5/parameters!$B$4</f>
        <v>36068.500952319868</v>
      </c>
      <c r="F17" s="9">
        <f t="shared" ref="F17:K17" ca="1" si="7">SUM(F$2:F$11)</f>
        <v>51766.567164179105</v>
      </c>
      <c r="G17" s="9">
        <f t="shared" ca="1" si="7"/>
        <v>22377.17868338558</v>
      </c>
      <c r="H17" s="9">
        <f t="shared" ca="1" si="7"/>
        <v>69972</v>
      </c>
      <c r="I17" s="9">
        <f t="shared" ca="1" si="7"/>
        <v>25490.439272902517</v>
      </c>
      <c r="J17" s="9">
        <f t="shared" ca="1" si="7"/>
        <v>30618.480727097489</v>
      </c>
      <c r="K17" s="9">
        <f t="shared" ca="1" si="7"/>
        <v>40462.00998577525</v>
      </c>
      <c r="L17" s="17">
        <f t="shared" ca="1" si="5"/>
        <v>390864.46027162136</v>
      </c>
      <c r="M17" s="17"/>
      <c r="N17" s="17"/>
      <c r="O17" s="9"/>
      <c r="P17" s="14"/>
      <c r="Q17" s="11">
        <f t="shared" ca="1" si="6"/>
        <v>390864.46027162136</v>
      </c>
      <c r="R17" s="17">
        <f t="shared" ca="1" si="4"/>
        <v>390864.46027162136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0.836426542977039</v>
      </c>
      <c r="J18" s="39">
        <f ca="1">I18</f>
        <v>0.836426542977039</v>
      </c>
      <c r="K18" s="40">
        <f ca="1">1-(-K13)/K17</f>
        <v>0.89895585020502278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44610.048304317192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44610.048304317192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-44610.048304317192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39571.940298507463</v>
      </c>
      <c r="G3" s="14">
        <f ca="1">Q3-O3-P3-F3</f>
        <v>5602.8397014925358</v>
      </c>
      <c r="H3" s="14"/>
      <c r="I3" s="14"/>
      <c r="J3" s="14"/>
      <c r="K3" s="13"/>
      <c r="L3" s="16">
        <f t="shared" ca="1" si="0"/>
        <v>45174.78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2.835</v>
      </c>
      <c r="P3" s="13" cm="1">
        <f t="array" aca="1" ref="P3" ca="1">-INDIRECT("'data'!$I$" &amp; $A$1)*parameters!$B$13</f>
        <v>-848.6099999999999</v>
      </c>
      <c r="Q3" s="16" cm="1">
        <f t="array" aca="1" ref="Q3" ca="1">INDIRECT("'data'!$G$" &amp; $A$1)*parameters!$B$13</f>
        <v>44329.004999999997</v>
      </c>
      <c r="R3" s="16">
        <f t="shared" ref="R3:R10" ca="1" si="2">SUM(L3:P3)</f>
        <v>44329.004999999997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512.44000000000005</v>
      </c>
      <c r="H4" s="14"/>
      <c r="I4" s="14"/>
      <c r="J4" s="14"/>
      <c r="K4" s="13"/>
      <c r="L4" s="16">
        <f t="shared" ca="1" si="0"/>
        <v>512.44000000000005</v>
      </c>
      <c r="M4" s="16"/>
      <c r="N4" s="16">
        <f t="shared" ca="1" si="1"/>
        <v>-1.1368683772161603E-13</v>
      </c>
      <c r="O4" s="11" cm="1">
        <f t="array" aca="1" ref="O4" ca="1">INDIRECT("'data'!$K$" &amp; $A$1)*parameters!$B$14</f>
        <v>72.680000000000007</v>
      </c>
      <c r="P4" s="13" cm="1">
        <f t="array" aca="1" ref="P4" ca="1">-INDIRECT("'data'!$L$" &amp; $A$1)*parameters!$B$14</f>
        <v>-585.12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9892.9850746268658</v>
      </c>
      <c r="G5" s="14">
        <f ca="1">Q7/parameters!$B$7-(G3+G4)</f>
        <v>18663.257393596286</v>
      </c>
      <c r="H5" s="14"/>
      <c r="I5" s="14"/>
      <c r="J5" s="14"/>
      <c r="K5" s="13"/>
      <c r="L5" s="16">
        <f t="shared" ca="1" si="0"/>
        <v>28556.24246822315</v>
      </c>
      <c r="M5" s="16"/>
      <c r="N5" s="16"/>
      <c r="O5" s="11" cm="1">
        <f t="array" aca="1" ref="O5" ca="1">INDIRECT("'data'!$M$" &amp; $A$1)*parameters!$B$15</f>
        <v>292.04000000000002</v>
      </c>
      <c r="P5" s="13" cm="1">
        <f t="array" aca="1" ref="P5" ca="1">-INDIRECT("'data'!$N$" &amp; $A$1)*parameters!$B$15</f>
        <v>-7841.96</v>
      </c>
      <c r="Q5" s="16">
        <f ca="1">SUM(L5:P5)</f>
        <v>21006.322468223152</v>
      </c>
      <c r="R5" s="16">
        <f t="shared" ca="1" si="2"/>
        <v>21006.322468223152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46398.1</v>
      </c>
      <c r="I6" s="14"/>
      <c r="J6" s="14"/>
      <c r="K6" s="13"/>
      <c r="L6" s="16">
        <f t="shared" ca="1" si="0"/>
        <v>46398.1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46398.1</v>
      </c>
      <c r="R6" s="16">
        <f t="shared" ca="1" si="2"/>
        <v>46398.1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23713.06</v>
      </c>
      <c r="I7" s="14"/>
      <c r="J7" s="14"/>
      <c r="K7" s="13"/>
      <c r="L7" s="16">
        <f t="shared" ca="1" si="0"/>
        <v>23713.06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23713.06</v>
      </c>
      <c r="R7" s="16">
        <f t="shared" ca="1" si="2"/>
        <v>23713.06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21762.065080662607</v>
      </c>
      <c r="J8" s="14">
        <f ca="1">Q10/J18</f>
        <v>50509.994919337398</v>
      </c>
      <c r="K8" s="13"/>
      <c r="L8" s="16">
        <f t="shared" ca="1" si="0"/>
        <v>72272.06</v>
      </c>
      <c r="M8" s="16"/>
      <c r="N8" s="16">
        <f t="shared" ca="1" si="3"/>
        <v>0</v>
      </c>
      <c r="O8" s="11" cm="1">
        <f t="array" aca="1" ref="O8" ca="1">INDIRECT("'data'!$R$" &amp; $A$1)*parameters!$B$15</f>
        <v>852.6</v>
      </c>
      <c r="P8" s="13" cm="1">
        <f t="array" aca="1" ref="P8" ca="1">-INDIRECT("'data'!$S$" &amp; $A$1)*parameters!$B$15</f>
        <v>-3013.5</v>
      </c>
      <c r="Q8" s="16">
        <f ca="1">SUM(Q6:Q7)</f>
        <v>70111.16</v>
      </c>
      <c r="R8" s="16">
        <f t="shared" ca="1" si="2"/>
        <v>70111.16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21551.18</v>
      </c>
      <c r="L9" s="16">
        <f t="shared" ca="1" si="0"/>
        <v>21551.18</v>
      </c>
      <c r="M9" s="16"/>
      <c r="N9" s="16">
        <f t="shared" ca="1" si="3"/>
        <v>0</v>
      </c>
      <c r="O9" s="11" cm="1">
        <f t="array" aca="1" ref="O9" ca="1">INDIRECT("'data'!$U$" &amp; $A$1)*parameters!$B$15</f>
        <v>3759.2799999999997</v>
      </c>
      <c r="P9" s="13" cm="1">
        <f t="array" aca="1" ref="P9" ca="1">-INDIRECT("'data'!$V$" &amp; $A$1)*parameters!$B$15</f>
        <v>-5379.22</v>
      </c>
      <c r="Q9" s="16" cm="1">
        <f t="array" aca="1" ref="Q9" ca="1">INDIRECT("'data'!$T$" &amp; $A$1)*parameters!$B$15</f>
        <v>19931.239999999998</v>
      </c>
      <c r="R9" s="16">
        <f t="shared" ca="1" si="2"/>
        <v>19931.239999999998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36195.049559032712</v>
      </c>
      <c r="L10" s="16">
        <f t="shared" ca="1" si="0"/>
        <v>36195.049559032712</v>
      </c>
      <c r="M10" s="16"/>
      <c r="N10" s="16">
        <f t="shared" ca="1" si="3"/>
        <v>0</v>
      </c>
      <c r="O10" s="11" cm="1">
        <f t="array" aca="1" ref="O10" ca="1">INDIRECT("'data'!$X$" &amp; $A$1)*parameters!$B$15</f>
        <v>22669.360000000001</v>
      </c>
      <c r="P10" s="13" cm="1">
        <f t="array" aca="1" ref="P10" ca="1">-INDIRECT("'data'!$Y$" &amp; $A$1)*parameters!$B$15</f>
        <v>-12603.78</v>
      </c>
      <c r="Q10" s="16" cm="1">
        <f t="array" aca="1" ref="Q10" ca="1">INDIRECT("'data'!$W$" &amp; $A$1)*parameters!$B$15</f>
        <v>46260.629559032714</v>
      </c>
      <c r="R10" s="16">
        <f t="shared" ca="1" si="2"/>
        <v>46260.629559032714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35503.971820768136</v>
      </c>
      <c r="N11" s="19"/>
      <c r="O11" s="21" cm="1">
        <f t="array" aca="1" ref="O11" ca="1">INDIRECT("'data'!$Z$" &amp; $A$1)*parameters!$B$15</f>
        <v>21847.14</v>
      </c>
      <c r="P11" s="27" cm="1">
        <f t="array" aca="1" ref="P11" ca="1">-INDIRECT("'data'!$AA$" &amp; $A$1)*parameters!$B$15</f>
        <v>-5965.26</v>
      </c>
      <c r="Q11" s="16">
        <f ca="1">K9*parameters!$B$10+K10*parameters!$B$11</f>
        <v>51385.851820768134</v>
      </c>
      <c r="R11" s="16">
        <f t="shared" ref="R11:R17" ca="1" si="4">SUM(L11:P11)</f>
        <v>51385.851820768134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-281.04330431719427</v>
      </c>
      <c r="D12" s="9">
        <f ca="1">-(D17-Q4)</f>
        <v>0</v>
      </c>
      <c r="E12" s="9">
        <f ca="1">-(E17-Q5)</f>
        <v>-2596.2870466343229</v>
      </c>
      <c r="F12" s="9">
        <f ca="1">-(F17-Q6)</f>
        <v>-3066.8253731343284</v>
      </c>
      <c r="G12" s="9">
        <f ca="1">-(G17-Q7)</f>
        <v>-1065.4770950888233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-7009.6328191746688</v>
      </c>
      <c r="M12" s="17"/>
      <c r="N12" s="17"/>
      <c r="O12" s="10"/>
      <c r="P12" s="12"/>
      <c r="Q12" s="9">
        <f t="shared" ref="Q12:Q17" ca="1" si="6">SUM(L12:P12)</f>
        <v>-7009.6328191746688</v>
      </c>
      <c r="R12" s="17">
        <f t="shared" ca="1" si="4"/>
        <v>-7009.6328191746688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-1830.8250806626093</v>
      </c>
      <c r="J13" s="14">
        <f ca="1">-(J17-Q10)</f>
        <v>-4249.3653603046841</v>
      </c>
      <c r="K13" s="13">
        <f ca="1">-(K17-Q11)</f>
        <v>-6360.3777382645785</v>
      </c>
      <c r="L13" s="14">
        <f t="shared" ca="1" si="5"/>
        <v>-12440.568179231872</v>
      </c>
      <c r="M13" s="16">
        <f ca="1">-E15</f>
        <v>-11162.041335625603</v>
      </c>
      <c r="N13" s="16"/>
      <c r="O13" s="11"/>
      <c r="P13" s="13"/>
      <c r="Q13" s="14">
        <f t="shared" ca="1" si="6"/>
        <v>-23602.609514857475</v>
      </c>
      <c r="R13" s="16">
        <f t="shared" ca="1" si="4"/>
        <v>-23602.609514857475</v>
      </c>
    </row>
    <row r="14" spans="1:20">
      <c r="A14" s="18" t="s">
        <v>78</v>
      </c>
      <c r="B14" s="11"/>
      <c r="C14" s="14"/>
      <c r="D14" s="14"/>
      <c r="E14" s="14">
        <f ca="1">-(I13+J13)-K13</f>
        <v>12440.568179231872</v>
      </c>
      <c r="F14" s="14"/>
      <c r="G14" s="14"/>
      <c r="H14" s="14"/>
      <c r="I14" s="14"/>
      <c r="J14" s="14"/>
      <c r="K14" s="13"/>
      <c r="L14" s="14">
        <f t="shared" ca="1" si="5"/>
        <v>12440.568179231872</v>
      </c>
      <c r="M14" s="16"/>
      <c r="N14" s="16"/>
      <c r="O14" s="11"/>
      <c r="P14" s="13"/>
      <c r="Q14" s="14">
        <f t="shared" ca="1" si="6"/>
        <v>12440.568179231872</v>
      </c>
      <c r="R14" s="16">
        <f t="shared" ca="1" si="4"/>
        <v>12440.568179231872</v>
      </c>
    </row>
    <row r="15" spans="1:20">
      <c r="A15" s="18" t="s">
        <v>79</v>
      </c>
      <c r="B15" s="11"/>
      <c r="C15" s="14"/>
      <c r="D15" s="14"/>
      <c r="E15" s="14">
        <f ca="1">E17-E14</f>
        <v>11162.041335625603</v>
      </c>
      <c r="F15" s="14"/>
      <c r="G15" s="14"/>
      <c r="H15" s="14"/>
      <c r="I15" s="14"/>
      <c r="J15" s="14"/>
      <c r="K15" s="13"/>
      <c r="L15" s="14">
        <f t="shared" ca="1" si="5"/>
        <v>11162.041335625603</v>
      </c>
      <c r="M15" s="16"/>
      <c r="N15" s="16"/>
      <c r="O15" s="11"/>
      <c r="P15" s="13"/>
      <c r="Q15" s="14">
        <f t="shared" ca="1" si="6"/>
        <v>11162.041335625603</v>
      </c>
      <c r="R15" s="16">
        <f t="shared" ca="1" si="4"/>
        <v>11162.041335625603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44610.048304317192</v>
      </c>
      <c r="D17" s="9">
        <f ca="1">SUM(D$2:D$11)</f>
        <v>0</v>
      </c>
      <c r="E17" s="9">
        <f ca="1">$Q$5/parameters!$B$4</f>
        <v>23602.609514857475</v>
      </c>
      <c r="F17" s="9">
        <f t="shared" ref="F17:K17" ca="1" si="7">SUM(F$2:F$11)</f>
        <v>49464.925373134327</v>
      </c>
      <c r="G17" s="9">
        <f t="shared" ca="1" si="7"/>
        <v>24778.537095088825</v>
      </c>
      <c r="H17" s="9">
        <f t="shared" ca="1" si="7"/>
        <v>70111.16</v>
      </c>
      <c r="I17" s="9">
        <f t="shared" ca="1" si="7"/>
        <v>21762.065080662607</v>
      </c>
      <c r="J17" s="9">
        <f t="shared" ca="1" si="7"/>
        <v>50509.994919337398</v>
      </c>
      <c r="K17" s="9">
        <f t="shared" ca="1" si="7"/>
        <v>57746.229559032712</v>
      </c>
      <c r="L17" s="17">
        <f t="shared" ca="1" si="5"/>
        <v>342585.56984643056</v>
      </c>
      <c r="M17" s="17"/>
      <c r="N17" s="17"/>
      <c r="O17" s="9"/>
      <c r="P17" s="14"/>
      <c r="Q17" s="11">
        <f t="shared" ca="1" si="6"/>
        <v>342585.56984643056</v>
      </c>
      <c r="R17" s="17">
        <f t="shared" ca="1" si="4"/>
        <v>342585.56984643056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0.91587080206421001</v>
      </c>
      <c r="J18" s="39">
        <f ca="1">I18</f>
        <v>0.91587080206421001</v>
      </c>
      <c r="K18" s="40">
        <f ca="1">1-(-K13)/K17</f>
        <v>0.8898563977798325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26037.189292543018</v>
      </c>
      <c r="D2" s="9">
        <f ca="1">Q4/parameters!$B$3</f>
        <v>524.02133440676266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26561.210626949782</v>
      </c>
      <c r="M2" s="17"/>
      <c r="N2" s="16">
        <v>0</v>
      </c>
      <c r="O2" s="11" cm="1">
        <f t="array" aca="1" ref="O2" ca="1">INDIRECT("'data'!$F$" &amp; $A$1)</f>
        <v>42.9</v>
      </c>
      <c r="P2" s="13">
        <f ca="1">IF(-(L2-Q2+O2)&lt;0, -(L2-Q2+O2), 0)</f>
        <v>-26531.110626949783</v>
      </c>
      <c r="Q2" s="17" cm="1">
        <f t="array" aca="1" ref="Q2" ca="1">INDIRECT("'data'!$D$" &amp; $A$1)</f>
        <v>73</v>
      </c>
      <c r="R2" s="17">
        <f ca="1">SUM(L2:P2)</f>
        <v>73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24975.164179104479</v>
      </c>
      <c r="G3" s="14">
        <f ca="1">Q3-O3-P3-F3</f>
        <v>1223.070820895522</v>
      </c>
      <c r="H3" s="14"/>
      <c r="I3" s="14"/>
      <c r="J3" s="14"/>
      <c r="K3" s="13"/>
      <c r="L3" s="16">
        <f t="shared" ca="1" si="0"/>
        <v>26198.235000000001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109.61999999999999</v>
      </c>
      <c r="P3" s="13" cm="1">
        <f t="array" aca="1" ref="P3" ca="1">-INDIRECT("'data'!$I$" &amp; $A$1)*parameters!$B$13</f>
        <v>-434.7</v>
      </c>
      <c r="Q3" s="16" cm="1">
        <f t="array" aca="1" ref="Q3" ca="1">INDIRECT("'data'!$G$" &amp; $A$1)*parameters!$B$13</f>
        <v>25873.154999999999</v>
      </c>
      <c r="R3" s="16">
        <f t="shared" ref="R3:R10" ca="1" si="2">SUM(L3:P3)</f>
        <v>25873.154999999999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1014.76</v>
      </c>
      <c r="H4" s="14"/>
      <c r="I4" s="14"/>
      <c r="J4" s="14"/>
      <c r="K4" s="13"/>
      <c r="L4" s="16">
        <f t="shared" ca="1" si="0"/>
        <v>1014.76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-494.04</v>
      </c>
      <c r="Q4" s="16" cm="1">
        <f t="array" aca="1" ref="Q4" ca="1">INDIRECT("'data'!$J$" &amp; $A$1)*parameters!$B$14</f>
        <v>520.72</v>
      </c>
      <c r="R4" s="16">
        <f t="shared" ca="1" si="2"/>
        <v>520.72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6243.7910447761205</v>
      </c>
      <c r="G5" s="14">
        <f ca="1">Q7/parameters!$B$7-(G3+G4)</f>
        <v>11138.093943994762</v>
      </c>
      <c r="H5" s="14"/>
      <c r="I5" s="14"/>
      <c r="J5" s="14"/>
      <c r="K5" s="13"/>
      <c r="L5" s="16">
        <f t="shared" ca="1" si="0"/>
        <v>17381.884988770882</v>
      </c>
      <c r="M5" s="16"/>
      <c r="N5" s="16"/>
      <c r="O5" s="11" cm="1">
        <f t="array" aca="1" ref="O5" ca="1">INDIRECT("'data'!$M$" &amp; $A$1)*parameters!$B$15</f>
        <v>8264.34</v>
      </c>
      <c r="P5" s="13" cm="1">
        <f t="array" aca="1" ref="P5" ca="1">-INDIRECT("'data'!$N$" &amp; $A$1)*parameters!$B$15</f>
        <v>-4944.1000000000004</v>
      </c>
      <c r="Q5" s="16">
        <f ca="1">SUM(L5:P5)</f>
        <v>20702.124988770884</v>
      </c>
      <c r="R5" s="16">
        <f t="shared" ca="1" si="2"/>
        <v>20702.124988770884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29283.38</v>
      </c>
      <c r="I6" s="14"/>
      <c r="J6" s="14"/>
      <c r="K6" s="13"/>
      <c r="L6" s="16">
        <f t="shared" ca="1" si="0"/>
        <v>29283.38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29283.38</v>
      </c>
      <c r="R6" s="16">
        <f t="shared" ca="1" si="2"/>
        <v>29283.38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12800.76</v>
      </c>
      <c r="I7" s="14"/>
      <c r="J7" s="14"/>
      <c r="K7" s="13"/>
      <c r="L7" s="16">
        <f t="shared" ca="1" si="0"/>
        <v>12800.76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12800.76</v>
      </c>
      <c r="R7" s="16">
        <f t="shared" ca="1" si="2"/>
        <v>12800.76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15591.181499196033</v>
      </c>
      <c r="J8" s="14">
        <f ca="1">Q10/J18</f>
        <v>26617.418500803968</v>
      </c>
      <c r="K8" s="13"/>
      <c r="L8" s="16">
        <f t="shared" ca="1" si="0"/>
        <v>42208.6</v>
      </c>
      <c r="M8" s="16"/>
      <c r="N8" s="16">
        <f t="shared" ca="1" si="3"/>
        <v>0</v>
      </c>
      <c r="O8" s="11" cm="1">
        <f t="array" aca="1" ref="O8" ca="1">INDIRECT("'data'!$R$" &amp; $A$1)*parameters!$B$15</f>
        <v>1900.22</v>
      </c>
      <c r="P8" s="13" cm="1">
        <f t="array" aca="1" ref="P8" ca="1">-INDIRECT("'data'!$S$" &amp; $A$1)*parameters!$B$15</f>
        <v>-2024.68</v>
      </c>
      <c r="Q8" s="16">
        <f ca="1">SUM(Q6:Q7)</f>
        <v>42084.14</v>
      </c>
      <c r="R8" s="16">
        <f t="shared" ca="1" si="2"/>
        <v>42084.14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13210.400000000001</v>
      </c>
      <c r="L9" s="16">
        <f t="shared" ca="1" si="0"/>
        <v>13210.400000000001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6952.12</v>
      </c>
      <c r="P9" s="13" cm="1">
        <f t="array" aca="1" ref="P9" ca="1">-INDIRECT("'data'!$V$" &amp; $A$1)*parameters!$B$15</f>
        <v>-6758.08</v>
      </c>
      <c r="Q9" s="16" cm="1">
        <f t="array" aca="1" ref="Q9" ca="1">INDIRECT("'data'!$T$" &amp; $A$1)*parameters!$B$15</f>
        <v>13404.44</v>
      </c>
      <c r="R9" s="16">
        <f t="shared" ca="1" si="2"/>
        <v>13404.44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22899.871891891893</v>
      </c>
      <c r="L10" s="16">
        <f t="shared" ca="1" si="0"/>
        <v>22899.871891891893</v>
      </c>
      <c r="M10" s="16"/>
      <c r="N10" s="16">
        <f t="shared" ca="1" si="3"/>
        <v>0</v>
      </c>
      <c r="O10" s="11" cm="1">
        <f t="array" aca="1" ref="O10" ca="1">INDIRECT("'data'!$X$" &amp; $A$1)*parameters!$B$15</f>
        <v>12733.14</v>
      </c>
      <c r="P10" s="13" cm="1">
        <f t="array" aca="1" ref="P10" ca="1">-INDIRECT("'data'!$Y$" &amp; $A$1)*parameters!$B$15</f>
        <v>-12748.82</v>
      </c>
      <c r="Q10" s="16" cm="1">
        <f t="array" aca="1" ref="Q10" ca="1">INDIRECT("'data'!$W$" &amp; $A$1)*parameters!$B$15</f>
        <v>22884.191891891893</v>
      </c>
      <c r="R10" s="16">
        <f t="shared" ca="1" si="2"/>
        <v>22884.191891891889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22047.065827027029</v>
      </c>
      <c r="N11" s="19"/>
      <c r="O11" s="21" cm="1">
        <f t="array" aca="1" ref="O11" ca="1">INDIRECT("'data'!$Z$" &amp; $A$1)*parameters!$B$15</f>
        <v>31419.78</v>
      </c>
      <c r="P11" s="27" cm="1">
        <f t="array" aca="1" ref="P11" ca="1">-INDIRECT("'data'!$AA$" &amp; $A$1)*parameters!$B$15</f>
        <v>-21355.18</v>
      </c>
      <c r="Q11" s="16">
        <f ca="1">K9*parameters!$B$10+K10*parameters!$B$11</f>
        <v>32111.665827027027</v>
      </c>
      <c r="R11" s="16">
        <f t="shared" ref="R11:R17" ca="1" si="4">SUM(L11:P11)</f>
        <v>32111.665827027027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-164.03429254301955</v>
      </c>
      <c r="D12" s="9">
        <f ca="1">-(D17-Q4)</f>
        <v>-3.3013344067626349</v>
      </c>
      <c r="E12" s="9">
        <f ca="1">-(E17-Q5)</f>
        <v>-2558.6896053537057</v>
      </c>
      <c r="F12" s="9">
        <f ca="1">-(F17-Q6)</f>
        <v>-1935.5752238805981</v>
      </c>
      <c r="G12" s="9">
        <f ca="1">-(G17-Q7)</f>
        <v>-575.16476489028355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-5236.765221074369</v>
      </c>
      <c r="M12" s="17"/>
      <c r="N12" s="17"/>
      <c r="O12" s="10"/>
      <c r="P12" s="12"/>
      <c r="Q12" s="9">
        <f t="shared" ref="Q12:Q17" ca="1" si="6">SUM(L12:P12)</f>
        <v>-5236.765221074369</v>
      </c>
      <c r="R12" s="17">
        <f t="shared" ca="1" si="4"/>
        <v>-5236.765221074369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-2186.7414991960322</v>
      </c>
      <c r="J13" s="14">
        <f ca="1">-(J17-Q10)</f>
        <v>-3733.2266089120749</v>
      </c>
      <c r="K13" s="13">
        <f ca="1">-(K17-Q11)</f>
        <v>-3998.6060648648709</v>
      </c>
      <c r="L13" s="14">
        <f t="shared" ca="1" si="5"/>
        <v>-9918.574172972978</v>
      </c>
      <c r="M13" s="16">
        <f ca="1">-E15</f>
        <v>-13342.240421151611</v>
      </c>
      <c r="N13" s="16"/>
      <c r="O13" s="11"/>
      <c r="P13" s="13"/>
      <c r="Q13" s="14">
        <f t="shared" ca="1" si="6"/>
        <v>-23260.814594124589</v>
      </c>
      <c r="R13" s="16">
        <f t="shared" ca="1" si="4"/>
        <v>-23260.814594124589</v>
      </c>
    </row>
    <row r="14" spans="1:20">
      <c r="A14" s="18" t="s">
        <v>78</v>
      </c>
      <c r="B14" s="11"/>
      <c r="C14" s="14"/>
      <c r="D14" s="14"/>
      <c r="E14" s="14">
        <f ca="1">-(I13+J13)-K13</f>
        <v>9918.574172972978</v>
      </c>
      <c r="F14" s="14"/>
      <c r="G14" s="14"/>
      <c r="H14" s="14"/>
      <c r="I14" s="14"/>
      <c r="J14" s="14"/>
      <c r="K14" s="13"/>
      <c r="L14" s="14">
        <f t="shared" ca="1" si="5"/>
        <v>9918.574172972978</v>
      </c>
      <c r="M14" s="16"/>
      <c r="N14" s="16"/>
      <c r="O14" s="11"/>
      <c r="P14" s="13"/>
      <c r="Q14" s="14">
        <f t="shared" ca="1" si="6"/>
        <v>9918.574172972978</v>
      </c>
      <c r="R14" s="16">
        <f t="shared" ca="1" si="4"/>
        <v>9918.574172972978</v>
      </c>
    </row>
    <row r="15" spans="1:20">
      <c r="A15" s="18" t="s">
        <v>79</v>
      </c>
      <c r="B15" s="11"/>
      <c r="C15" s="14"/>
      <c r="D15" s="14"/>
      <c r="E15" s="14">
        <f ca="1">E17-E14</f>
        <v>13342.240421151611</v>
      </c>
      <c r="F15" s="14"/>
      <c r="G15" s="14"/>
      <c r="H15" s="14"/>
      <c r="I15" s="14"/>
      <c r="J15" s="14"/>
      <c r="K15" s="13"/>
      <c r="L15" s="14">
        <f t="shared" ca="1" si="5"/>
        <v>13342.240421151611</v>
      </c>
      <c r="M15" s="16"/>
      <c r="N15" s="16"/>
      <c r="O15" s="11"/>
      <c r="P15" s="13"/>
      <c r="Q15" s="14">
        <f t="shared" ca="1" si="6"/>
        <v>13342.240421151611</v>
      </c>
      <c r="R15" s="16">
        <f t="shared" ca="1" si="4"/>
        <v>13342.240421151611</v>
      </c>
    </row>
    <row r="16" spans="1:20">
      <c r="A16" s="30" t="s">
        <v>89</v>
      </c>
      <c r="B16" s="21">
        <f ca="1">Q2</f>
        <v>73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73</v>
      </c>
      <c r="M16" s="19"/>
      <c r="N16" s="19"/>
      <c r="O16" s="21"/>
      <c r="P16" s="27"/>
      <c r="Q16" s="22">
        <f t="shared" ca="1" si="6"/>
        <v>73</v>
      </c>
      <c r="R16" s="19">
        <f t="shared" ca="1" si="4"/>
        <v>73</v>
      </c>
    </row>
    <row r="17" spans="1:18">
      <c r="A17" s="29" t="s">
        <v>88</v>
      </c>
      <c r="B17" s="9">
        <f ca="1">B16</f>
        <v>73</v>
      </c>
      <c r="C17" s="9">
        <f ca="1">SUM(C$2:C$11)</f>
        <v>26037.189292543018</v>
      </c>
      <c r="D17" s="9">
        <f ca="1">SUM(D$2:D$11)</f>
        <v>524.02133440676266</v>
      </c>
      <c r="E17" s="9">
        <f ca="1">$Q$5/parameters!$B$4</f>
        <v>23260.814594124589</v>
      </c>
      <c r="F17" s="9">
        <f t="shared" ref="F17:K17" ca="1" si="7">SUM(F$2:F$11)</f>
        <v>31218.955223880599</v>
      </c>
      <c r="G17" s="9">
        <f t="shared" ca="1" si="7"/>
        <v>13375.924764890284</v>
      </c>
      <c r="H17" s="9">
        <f t="shared" ca="1" si="7"/>
        <v>42084.14</v>
      </c>
      <c r="I17" s="9">
        <f t="shared" ca="1" si="7"/>
        <v>15591.181499196033</v>
      </c>
      <c r="J17" s="9">
        <f t="shared" ca="1" si="7"/>
        <v>26617.418500803968</v>
      </c>
      <c r="K17" s="9">
        <f t="shared" ca="1" si="7"/>
        <v>36110.271891891898</v>
      </c>
      <c r="L17" s="17">
        <f t="shared" ca="1" si="5"/>
        <v>214892.91710173714</v>
      </c>
      <c r="M17" s="17"/>
      <c r="N17" s="17"/>
      <c r="O17" s="9"/>
      <c r="P17" s="14"/>
      <c r="Q17" s="11">
        <f t="shared" ca="1" si="6"/>
        <v>214892.91710173714</v>
      </c>
      <c r="R17" s="17">
        <f t="shared" ca="1" si="4"/>
        <v>214892.91710173714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0.99369999999999992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0.85974497831939212</v>
      </c>
      <c r="J18" s="39">
        <f ca="1">I18</f>
        <v>0.85974497831939212</v>
      </c>
      <c r="K18" s="40">
        <f ca="1">1-(-K13)/K17</f>
        <v>0.88926679708100709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8905.0820167052425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8905.0820167052425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-1715.0820167052425</v>
      </c>
      <c r="Q2" s="17" cm="1">
        <f t="array" aca="1" ref="Q2" ca="1">INDIRECT("'data'!$D$" &amp; $A$1)</f>
        <v>7190</v>
      </c>
      <c r="R2" s="17">
        <f ca="1">SUM(L2:P2)</f>
        <v>7190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8594.7462686567178</v>
      </c>
      <c r="G3" s="14">
        <f ca="1">Q3-O3-P3-F3</f>
        <v>1112.2937313432813</v>
      </c>
      <c r="H3" s="14"/>
      <c r="I3" s="14"/>
      <c r="J3" s="14"/>
      <c r="K3" s="13"/>
      <c r="L3" s="16">
        <f t="shared" ca="1" si="0"/>
        <v>9707.0399999999991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4.7249999999999996</v>
      </c>
      <c r="P3" s="13" cm="1">
        <f t="array" aca="1" ref="P3" ca="1">-INDIRECT("'data'!$I$" &amp; $A$1)*parameters!$B$13</f>
        <v>-862.78499999999997</v>
      </c>
      <c r="Q3" s="16" cm="1">
        <f t="array" aca="1" ref="Q3" ca="1">INDIRECT("'data'!$G$" &amp; $A$1)*parameters!$B$13</f>
        <v>8848.98</v>
      </c>
      <c r="R3" s="16">
        <f t="shared" ref="R3:R10" ca="1" si="2">SUM(L3:P3)</f>
        <v>8848.98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42.32</v>
      </c>
      <c r="H4" s="14"/>
      <c r="I4" s="14"/>
      <c r="J4" s="14"/>
      <c r="K4" s="13"/>
      <c r="L4" s="16">
        <f t="shared" ca="1" si="0"/>
        <v>42.32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-42.32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2148.6865671641795</v>
      </c>
      <c r="G5" s="14">
        <f ca="1">Q7/parameters!$B$7-(G3+G4)</f>
        <v>23168.228483912728</v>
      </c>
      <c r="H5" s="14"/>
      <c r="I5" s="14"/>
      <c r="J5" s="14"/>
      <c r="K5" s="13"/>
      <c r="L5" s="16">
        <f t="shared" ca="1" si="0"/>
        <v>25316.915051076907</v>
      </c>
      <c r="M5" s="16"/>
      <c r="N5" s="16"/>
      <c r="O5" s="11" cm="1">
        <f t="array" aca="1" ref="O5" ca="1">INDIRECT("'data'!$M$" &amp; $A$1)*parameters!$B$15</f>
        <v>164.64</v>
      </c>
      <c r="P5" s="13" cm="1">
        <f t="array" aca="1" ref="P5" ca="1">-INDIRECT("'data'!$N$" &amp; $A$1)*parameters!$B$15</f>
        <v>-18686.64</v>
      </c>
      <c r="Q5" s="16">
        <f ca="1">SUM(L5:P5)</f>
        <v>6794.9150510769068</v>
      </c>
      <c r="R5" s="16">
        <f t="shared" ca="1" si="2"/>
        <v>6794.9150510769068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10077.34</v>
      </c>
      <c r="I6" s="14"/>
      <c r="J6" s="14"/>
      <c r="K6" s="13"/>
      <c r="L6" s="16">
        <f t="shared" ca="1" si="0"/>
        <v>10077.34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10077.34</v>
      </c>
      <c r="R6" s="16">
        <f t="shared" ca="1" si="2"/>
        <v>10077.34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23276.959999999999</v>
      </c>
      <c r="I7" s="14"/>
      <c r="J7" s="14"/>
      <c r="K7" s="13"/>
      <c r="L7" s="16">
        <f t="shared" ca="1" si="0"/>
        <v>23276.959999999999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23276.959999999999</v>
      </c>
      <c r="R7" s="16">
        <f t="shared" ca="1" si="2"/>
        <v>23276.959999999999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26900.20676289334</v>
      </c>
      <c r="J8" s="14">
        <f ca="1">Q10/J18</f>
        <v>10544.613237106671</v>
      </c>
      <c r="K8" s="13"/>
      <c r="L8" s="16">
        <f t="shared" ca="1" si="0"/>
        <v>37444.820000000007</v>
      </c>
      <c r="M8" s="16"/>
      <c r="N8" s="16">
        <f t="shared" ca="1" si="3"/>
        <v>0</v>
      </c>
      <c r="O8" s="11" cm="1">
        <f t="array" aca="1" ref="O8" ca="1">INDIRECT("'data'!$R$" &amp; $A$1)*parameters!$B$15</f>
        <v>590.93999999999994</v>
      </c>
      <c r="P8" s="13" cm="1">
        <f t="array" aca="1" ref="P8" ca="1">-INDIRECT("'data'!$S$" &amp; $A$1)*parameters!$B$15</f>
        <v>-4681.46</v>
      </c>
      <c r="Q8" s="16">
        <f ca="1">SUM(Q6:Q7)</f>
        <v>33354.300000000003</v>
      </c>
      <c r="R8" s="16">
        <f t="shared" ca="1" si="2"/>
        <v>33354.30000000001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15843.66</v>
      </c>
      <c r="L9" s="16">
        <f t="shared" ca="1" si="0"/>
        <v>15843.66</v>
      </c>
      <c r="M9" s="16"/>
      <c r="N9" s="16">
        <f t="shared" ca="1" si="3"/>
        <v>0</v>
      </c>
      <c r="O9" s="11" cm="1">
        <f t="array" aca="1" ref="O9" ca="1">INDIRECT("'data'!$U$" &amp; $A$1)*parameters!$B$15</f>
        <v>10773.14</v>
      </c>
      <c r="P9" s="13" cm="1">
        <f t="array" aca="1" ref="P9" ca="1">-INDIRECT("'data'!$V$" &amp; $A$1)*parameters!$B$15</f>
        <v>-1414.1399999999999</v>
      </c>
      <c r="Q9" s="16" cm="1">
        <f t="array" aca="1" ref="Q9" ca="1">INDIRECT("'data'!$T$" &amp; $A$1)*parameters!$B$15</f>
        <v>25202.66</v>
      </c>
      <c r="R9" s="16">
        <f t="shared" ca="1" si="2"/>
        <v>25202.66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14023.611806543384</v>
      </c>
      <c r="L10" s="16">
        <f t="shared" ca="1" si="0"/>
        <v>14023.611806543384</v>
      </c>
      <c r="M10" s="16"/>
      <c r="N10" s="16">
        <f t="shared" ca="1" si="3"/>
        <v>0</v>
      </c>
      <c r="O10" s="11" cm="1">
        <f t="array" aca="1" ref="O10" ca="1">INDIRECT("'data'!$X$" &amp; $A$1)*parameters!$B$15</f>
        <v>2450.98</v>
      </c>
      <c r="P10" s="13" cm="1">
        <f t="array" aca="1" ref="P10" ca="1">-INDIRECT("'data'!$Y$" &amp; $A$1)*parameters!$B$15</f>
        <v>-6595.4</v>
      </c>
      <c r="Q10" s="16" cm="1">
        <f t="array" aca="1" ref="Q10" ca="1">INDIRECT("'data'!$W$" &amp; $A$1)*parameters!$B$15</f>
        <v>9879.1918065433838</v>
      </c>
      <c r="R10" s="16">
        <f t="shared" ca="1" si="2"/>
        <v>9879.1918065433838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24673.866553627307</v>
      </c>
      <c r="N11" s="19"/>
      <c r="O11" s="21" cm="1">
        <f t="array" aca="1" ref="O11" ca="1">INDIRECT("'data'!$Z$" &amp; $A$1)*parameters!$B$15</f>
        <v>6113.24</v>
      </c>
      <c r="P11" s="27" cm="1">
        <f t="array" aca="1" ref="P11" ca="1">-INDIRECT("'data'!$AA$" &amp; $A$1)*parameters!$B$15</f>
        <v>-3833.7599999999998</v>
      </c>
      <c r="Q11" s="16">
        <f ca="1">K9*parameters!$B$10+K10*parameters!$B$11</f>
        <v>26953.346553627311</v>
      </c>
      <c r="R11" s="16">
        <f t="shared" ref="R11:R17" ca="1" si="4">SUM(L11:P11)</f>
        <v>26953.346553627311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-56.102016705242931</v>
      </c>
      <c r="D12" s="9">
        <f ca="1">-(D17-Q4)</f>
        <v>0</v>
      </c>
      <c r="E12" s="9">
        <f ca="1">-(E17-Q5)</f>
        <v>-839.82096136905602</v>
      </c>
      <c r="F12" s="9">
        <f ca="1">-(F17-Q6)</f>
        <v>-666.09283582089665</v>
      </c>
      <c r="G12" s="9">
        <f ca="1">-(G17-Q7)</f>
        <v>-1045.8822152560097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-2607.8980291512053</v>
      </c>
      <c r="M12" s="17"/>
      <c r="N12" s="17"/>
      <c r="O12" s="10"/>
      <c r="P12" s="12"/>
      <c r="Q12" s="9">
        <f t="shared" ref="Q12:Q17" ca="1" si="6">SUM(L12:P12)</f>
        <v>-2607.8980291512053</v>
      </c>
      <c r="R12" s="17">
        <f t="shared" ca="1" si="4"/>
        <v>-2607.8980291512053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-1697.5467628933402</v>
      </c>
      <c r="J13" s="14">
        <f ca="1">-(J17-Q10)</f>
        <v>-665.42143056328678</v>
      </c>
      <c r="K13" s="13">
        <f ca="1">-(K17-Q11)</f>
        <v>-2913.9252529160731</v>
      </c>
      <c r="L13" s="14">
        <f t="shared" ca="1" si="5"/>
        <v>-5276.8934463727001</v>
      </c>
      <c r="M13" s="16">
        <f ca="1">-E15</f>
        <v>-2357.8425660732628</v>
      </c>
      <c r="N13" s="16"/>
      <c r="O13" s="11"/>
      <c r="P13" s="13"/>
      <c r="Q13" s="14">
        <f t="shared" ca="1" si="6"/>
        <v>-7634.7360124459628</v>
      </c>
      <c r="R13" s="16">
        <f t="shared" ca="1" si="4"/>
        <v>-7634.7360124459628</v>
      </c>
    </row>
    <row r="14" spans="1:20">
      <c r="A14" s="18" t="s">
        <v>78</v>
      </c>
      <c r="B14" s="11"/>
      <c r="C14" s="14"/>
      <c r="D14" s="14"/>
      <c r="E14" s="14">
        <f ca="1">-(I13+J13)-K13</f>
        <v>5276.8934463727001</v>
      </c>
      <c r="F14" s="14"/>
      <c r="G14" s="14"/>
      <c r="H14" s="14"/>
      <c r="I14" s="14"/>
      <c r="J14" s="14"/>
      <c r="K14" s="13"/>
      <c r="L14" s="14">
        <f t="shared" ca="1" si="5"/>
        <v>5276.8934463727001</v>
      </c>
      <c r="M14" s="16"/>
      <c r="N14" s="16"/>
      <c r="O14" s="11"/>
      <c r="P14" s="13"/>
      <c r="Q14" s="14">
        <f t="shared" ca="1" si="6"/>
        <v>5276.8934463727001</v>
      </c>
      <c r="R14" s="16">
        <f t="shared" ca="1" si="4"/>
        <v>5276.8934463727001</v>
      </c>
    </row>
    <row r="15" spans="1:20">
      <c r="A15" s="18" t="s">
        <v>79</v>
      </c>
      <c r="B15" s="11"/>
      <c r="C15" s="14"/>
      <c r="D15" s="14"/>
      <c r="E15" s="14">
        <f ca="1">E17-E14</f>
        <v>2357.8425660732628</v>
      </c>
      <c r="F15" s="14"/>
      <c r="G15" s="14"/>
      <c r="H15" s="14"/>
      <c r="I15" s="14"/>
      <c r="J15" s="14"/>
      <c r="K15" s="13"/>
      <c r="L15" s="14">
        <f t="shared" ca="1" si="5"/>
        <v>2357.8425660732628</v>
      </c>
      <c r="M15" s="16"/>
      <c r="N15" s="16"/>
      <c r="O15" s="11"/>
      <c r="P15" s="13"/>
      <c r="Q15" s="14">
        <f t="shared" ca="1" si="6"/>
        <v>2357.8425660732628</v>
      </c>
      <c r="R15" s="16">
        <f t="shared" ca="1" si="4"/>
        <v>2357.8425660732628</v>
      </c>
    </row>
    <row r="16" spans="1:20">
      <c r="A16" s="30" t="s">
        <v>89</v>
      </c>
      <c r="B16" s="21">
        <f ca="1">Q2</f>
        <v>7190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7190</v>
      </c>
      <c r="M16" s="19"/>
      <c r="N16" s="19"/>
      <c r="O16" s="21"/>
      <c r="P16" s="27"/>
      <c r="Q16" s="22">
        <f t="shared" ca="1" si="6"/>
        <v>7190</v>
      </c>
      <c r="R16" s="19">
        <f t="shared" ca="1" si="4"/>
        <v>7190</v>
      </c>
    </row>
    <row r="17" spans="1:18">
      <c r="A17" s="29" t="s">
        <v>88</v>
      </c>
      <c r="B17" s="9">
        <f ca="1">B16</f>
        <v>7190</v>
      </c>
      <c r="C17" s="9">
        <f ca="1">SUM(C$2:C$11)</f>
        <v>8905.0820167052425</v>
      </c>
      <c r="D17" s="9">
        <f ca="1">SUM(D$2:D$11)</f>
        <v>0</v>
      </c>
      <c r="E17" s="9">
        <f ca="1">$Q$5/parameters!$B$4</f>
        <v>7634.7360124459628</v>
      </c>
      <c r="F17" s="9">
        <f t="shared" ref="F17:K17" ca="1" si="7">SUM(F$2:F$11)</f>
        <v>10743.432835820897</v>
      </c>
      <c r="G17" s="9">
        <f t="shared" ca="1" si="7"/>
        <v>24322.842215256009</v>
      </c>
      <c r="H17" s="9">
        <f t="shared" ca="1" si="7"/>
        <v>33354.300000000003</v>
      </c>
      <c r="I17" s="9">
        <f t="shared" ca="1" si="7"/>
        <v>26900.20676289334</v>
      </c>
      <c r="J17" s="9">
        <f t="shared" ca="1" si="7"/>
        <v>10544.613237106671</v>
      </c>
      <c r="K17" s="9">
        <f t="shared" ca="1" si="7"/>
        <v>29867.271806543384</v>
      </c>
      <c r="L17" s="17">
        <f t="shared" ca="1" si="5"/>
        <v>159462.4848867715</v>
      </c>
      <c r="M17" s="17"/>
      <c r="N17" s="17"/>
      <c r="O17" s="9"/>
      <c r="P17" s="14"/>
      <c r="Q17" s="11">
        <f t="shared" ca="1" si="6"/>
        <v>159462.4848867715</v>
      </c>
      <c r="R17" s="17">
        <f t="shared" ca="1" si="4"/>
        <v>159462.4848867715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0.93689465743308087</v>
      </c>
      <c r="J18" s="39">
        <f ca="1">I18</f>
        <v>0.93689465743308087</v>
      </c>
      <c r="K18" s="40">
        <f ca="1">1-(-K13)/K17</f>
        <v>0.90243751515738757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25691.979470665188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25691.979470665188</v>
      </c>
      <c r="M2" s="17"/>
      <c r="N2" s="17">
        <f ca="1">Q2-(L2+O2+P2)</f>
        <v>11957.770529334812</v>
      </c>
      <c r="O2" s="11" cm="1">
        <f t="array" aca="1" ref="O2" ca="1">INDIRECT("'data'!$F$" &amp; $A$1)</f>
        <v>223850.25</v>
      </c>
      <c r="P2" s="13">
        <f ca="1">IF(-(L2-Q2+O2)&lt;0, -(L2-Q2+O2), 0)</f>
        <v>0</v>
      </c>
      <c r="Q2" s="17" cm="1">
        <f t="array" aca="1" ref="Q2" ca="1">INDIRECT("'data'!$D$" &amp; $A$1)</f>
        <v>261500</v>
      </c>
      <c r="R2" s="17">
        <f ca="1">SUM(L2:P2)</f>
        <v>261500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21748.059701492537</v>
      </c>
      <c r="G3" s="14">
        <f ca="1">Q3-O3-P3-F3</f>
        <v>1336.4002985074621</v>
      </c>
      <c r="H3" s="14"/>
      <c r="I3" s="14"/>
      <c r="J3" s="14"/>
      <c r="K3" s="13"/>
      <c r="L3" s="16">
        <f t="shared" ca="1" si="0"/>
        <v>23084.46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2445.66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25530.12</v>
      </c>
      <c r="R3" s="16">
        <f t="shared" ref="R3:R10" ca="1" si="2">SUM(L3:P3)</f>
        <v>25530.12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5437.0149253731352</v>
      </c>
      <c r="G5" s="14">
        <f ca="1">Q7/parameters!$B$7-(G3+G4)</f>
        <v>6729.9110912522037</v>
      </c>
      <c r="H5" s="14"/>
      <c r="I5" s="14"/>
      <c r="J5" s="14"/>
      <c r="K5" s="13"/>
      <c r="L5" s="16">
        <f t="shared" ca="1" si="0"/>
        <v>12166.926016625339</v>
      </c>
      <c r="M5" s="16"/>
      <c r="N5" s="16"/>
      <c r="O5" s="11" cm="1">
        <f t="array" aca="1" ref="O5" ca="1">INDIRECT("'data'!$M$" &amp; $A$1)*parameters!$B$15</f>
        <v>635.04</v>
      </c>
      <c r="P5" s="13" cm="1">
        <f t="array" aca="1" ref="P5" ca="1">-INDIRECT("'data'!$N$" &amp; $A$1)*parameters!$B$15</f>
        <v>-22.54</v>
      </c>
      <c r="Q5" s="16">
        <f ca="1">SUM(L5:P5)</f>
        <v>12779.426016625337</v>
      </c>
      <c r="R5" s="16">
        <f t="shared" ca="1" si="2"/>
        <v>12779.426016625337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25499.599999999999</v>
      </c>
      <c r="I6" s="14"/>
      <c r="J6" s="14"/>
      <c r="K6" s="13"/>
      <c r="L6" s="16">
        <f t="shared" ca="1" si="0"/>
        <v>25499.599999999999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25499.599999999999</v>
      </c>
      <c r="R6" s="16">
        <f t="shared" ca="1" si="2"/>
        <v>25499.599999999999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7719.46</v>
      </c>
      <c r="I7" s="14"/>
      <c r="J7" s="14"/>
      <c r="K7" s="13"/>
      <c r="L7" s="16">
        <f t="shared" ca="1" si="0"/>
        <v>7719.46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7719.46</v>
      </c>
      <c r="R7" s="16">
        <f t="shared" ca="1" si="2"/>
        <v>7719.46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11799.897277829596</v>
      </c>
      <c r="J8" s="14">
        <f ca="1">Q10/J18</f>
        <v>15263.782722170405</v>
      </c>
      <c r="K8" s="13"/>
      <c r="L8" s="16">
        <f t="shared" ca="1" si="0"/>
        <v>27063.68</v>
      </c>
      <c r="M8" s="16"/>
      <c r="N8" s="16">
        <f t="shared" ca="1" si="3"/>
        <v>0</v>
      </c>
      <c r="O8" s="11" cm="1">
        <f t="array" aca="1" ref="O8" ca="1">INDIRECT("'data'!$R$" &amp; $A$1)*parameters!$B$15</f>
        <v>6169.0999999999995</v>
      </c>
      <c r="P8" s="13" cm="1">
        <f t="array" aca="1" ref="P8" ca="1">-INDIRECT("'data'!$S$" &amp; $A$1)*parameters!$B$15</f>
        <v>-13.719999999999999</v>
      </c>
      <c r="Q8" s="16">
        <f ca="1">SUM(Q6:Q7)</f>
        <v>33219.06</v>
      </c>
      <c r="R8" s="16">
        <f t="shared" ca="1" si="2"/>
        <v>33219.06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10924.060000000001</v>
      </c>
      <c r="L9" s="16">
        <f t="shared" ca="1" si="0"/>
        <v>10924.060000000001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880.04</v>
      </c>
      <c r="P9" s="13" cm="1">
        <f t="array" aca="1" ref="P9" ca="1">-INDIRECT("'data'!$V$" &amp; $A$1)*parameters!$B$15</f>
        <v>-1330.84</v>
      </c>
      <c r="Q9" s="16" cm="1">
        <f t="array" aca="1" ref="Q9" ca="1">INDIRECT("'data'!$T$" &amp; $A$1)*parameters!$B$15</f>
        <v>10473.26</v>
      </c>
      <c r="R9" s="16">
        <f t="shared" ca="1" si="2"/>
        <v>10473.260000000002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13713.328193456615</v>
      </c>
      <c r="L10" s="16">
        <f t="shared" ca="1" si="0"/>
        <v>13713.328193456615</v>
      </c>
      <c r="M10" s="16"/>
      <c r="N10" s="16">
        <f t="shared" ca="1" si="3"/>
        <v>0</v>
      </c>
      <c r="O10" s="11" cm="1">
        <f t="array" aca="1" ref="O10" ca="1">INDIRECT("'data'!$X$" &amp; $A$1)*parameters!$B$15</f>
        <v>2103.08</v>
      </c>
      <c r="P10" s="13" cm="1">
        <f t="array" aca="1" ref="P10" ca="1">-INDIRECT("'data'!$Y$" &amp; $A$1)*parameters!$B$15</f>
        <v>-2268.6999999999998</v>
      </c>
      <c r="Q10" s="16" cm="1">
        <f t="array" aca="1" ref="Q10" ca="1">INDIRECT("'data'!$W$" &amp; $A$1)*parameters!$B$15</f>
        <v>13547.708193456614</v>
      </c>
      <c r="R10" s="16">
        <f t="shared" ca="1" si="2"/>
        <v>13547.708193456616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24346.458646372692</v>
      </c>
      <c r="N11" s="19"/>
      <c r="O11" s="21" cm="1">
        <f t="array" aca="1" ref="O11" ca="1">INDIRECT("'data'!$Z$" &amp; $A$1)*parameters!$B$15</f>
        <v>2315.7399999999998</v>
      </c>
      <c r="P11" s="27" cm="1">
        <f t="array" aca="1" ref="P11" ca="1">-INDIRECT("'data'!$AA$" &amp; $A$1)*parameters!$B$15</f>
        <v>-4600.12</v>
      </c>
      <c r="Q11" s="16">
        <f ca="1">K9*parameters!$B$10+K10*parameters!$B$11</f>
        <v>22062.078646372691</v>
      </c>
      <c r="R11" s="16">
        <f t="shared" ref="R11:R17" ca="1" si="4">SUM(L11:P11)</f>
        <v>22062.078646372694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-161.85947066518929</v>
      </c>
      <c r="D12" s="9">
        <f ca="1">-(D17-Q4)</f>
        <v>0</v>
      </c>
      <c r="E12" s="9">
        <f ca="1">-(E17-Q5)</f>
        <v>-1579.4796200323453</v>
      </c>
      <c r="F12" s="9">
        <f ca="1">-(F17-Q6)</f>
        <v>-1685.4746268656745</v>
      </c>
      <c r="G12" s="9">
        <f ca="1">-(G17-Q7)</f>
        <v>-346.85138975966584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-3773.665107322875</v>
      </c>
      <c r="M12" s="17"/>
      <c r="N12" s="17"/>
      <c r="O12" s="10"/>
      <c r="P12" s="12"/>
      <c r="Q12" s="9">
        <f t="shared" ref="Q12:Q17" ca="1" si="6">SUM(L12:P12)</f>
        <v>-3773.665107322875</v>
      </c>
      <c r="R12" s="17">
        <f t="shared" ca="1" si="4"/>
        <v>-3773.665107322875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-1326.6372778295954</v>
      </c>
      <c r="J13" s="14">
        <f ca="1">-(J17-Q10)</f>
        <v>-1716.0745287137906</v>
      </c>
      <c r="K13" s="13">
        <f ca="1">-(K17-Q11)</f>
        <v>-2575.3095470839253</v>
      </c>
      <c r="L13" s="14">
        <f t="shared" ca="1" si="5"/>
        <v>-5618.0213536273113</v>
      </c>
      <c r="M13" s="16">
        <f ca="1">-E15</f>
        <v>-8740.8842830303711</v>
      </c>
      <c r="N13" s="16"/>
      <c r="O13" s="11"/>
      <c r="P13" s="13"/>
      <c r="Q13" s="14">
        <f t="shared" ca="1" si="6"/>
        <v>-14358.905636657682</v>
      </c>
      <c r="R13" s="16">
        <f t="shared" ca="1" si="4"/>
        <v>-14358.905636657682</v>
      </c>
    </row>
    <row r="14" spans="1:20">
      <c r="A14" s="18" t="s">
        <v>78</v>
      </c>
      <c r="B14" s="11"/>
      <c r="C14" s="14"/>
      <c r="D14" s="14"/>
      <c r="E14" s="14">
        <f ca="1">-(I13+J13)-K13</f>
        <v>5618.0213536273113</v>
      </c>
      <c r="F14" s="14"/>
      <c r="G14" s="14"/>
      <c r="H14" s="14"/>
      <c r="I14" s="14"/>
      <c r="J14" s="14"/>
      <c r="K14" s="13"/>
      <c r="L14" s="14">
        <f t="shared" ca="1" si="5"/>
        <v>5618.0213536273113</v>
      </c>
      <c r="M14" s="16"/>
      <c r="N14" s="16"/>
      <c r="O14" s="11"/>
      <c r="P14" s="13"/>
      <c r="Q14" s="14">
        <f t="shared" ca="1" si="6"/>
        <v>5618.0213536273113</v>
      </c>
      <c r="R14" s="16">
        <f t="shared" ca="1" si="4"/>
        <v>5618.0213536273113</v>
      </c>
    </row>
    <row r="15" spans="1:20">
      <c r="A15" s="18" t="s">
        <v>79</v>
      </c>
      <c r="B15" s="11"/>
      <c r="C15" s="14"/>
      <c r="D15" s="14"/>
      <c r="E15" s="14">
        <f ca="1">E17-E14</f>
        <v>8740.8842830303711</v>
      </c>
      <c r="F15" s="14"/>
      <c r="G15" s="14"/>
      <c r="H15" s="14"/>
      <c r="I15" s="14"/>
      <c r="J15" s="14"/>
      <c r="K15" s="13"/>
      <c r="L15" s="14">
        <f t="shared" ca="1" si="5"/>
        <v>8740.8842830303711</v>
      </c>
      <c r="M15" s="16"/>
      <c r="N15" s="16"/>
      <c r="O15" s="11"/>
      <c r="P15" s="13"/>
      <c r="Q15" s="14">
        <f t="shared" ca="1" si="6"/>
        <v>8740.8842830303711</v>
      </c>
      <c r="R15" s="16">
        <f t="shared" ca="1" si="4"/>
        <v>8740.8842830303711</v>
      </c>
    </row>
    <row r="16" spans="1:20">
      <c r="A16" s="30" t="s">
        <v>89</v>
      </c>
      <c r="B16" s="21">
        <f ca="1">Q2</f>
        <v>261500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261500</v>
      </c>
      <c r="M16" s="19"/>
      <c r="N16" s="19"/>
      <c r="O16" s="21"/>
      <c r="P16" s="27"/>
      <c r="Q16" s="22">
        <f t="shared" ca="1" si="6"/>
        <v>261500</v>
      </c>
      <c r="R16" s="19">
        <f t="shared" ca="1" si="4"/>
        <v>261500</v>
      </c>
    </row>
    <row r="17" spans="1:18">
      <c r="A17" s="29" t="s">
        <v>88</v>
      </c>
      <c r="B17" s="9">
        <f ca="1">B16</f>
        <v>261500</v>
      </c>
      <c r="C17" s="9">
        <f ca="1">SUM(C$2:C$11)</f>
        <v>25691.979470665188</v>
      </c>
      <c r="D17" s="9">
        <f ca="1">SUM(D$2:D$11)</f>
        <v>0</v>
      </c>
      <c r="E17" s="9">
        <f ca="1">$Q$5/parameters!$B$4</f>
        <v>14358.905636657682</v>
      </c>
      <c r="F17" s="9">
        <f t="shared" ref="F17:K17" ca="1" si="7">SUM(F$2:F$11)</f>
        <v>27185.074626865673</v>
      </c>
      <c r="G17" s="9">
        <f t="shared" ca="1" si="7"/>
        <v>8066.3113897596659</v>
      </c>
      <c r="H17" s="9">
        <f t="shared" ca="1" si="7"/>
        <v>33219.06</v>
      </c>
      <c r="I17" s="9">
        <f t="shared" ca="1" si="7"/>
        <v>11799.897277829596</v>
      </c>
      <c r="J17" s="9">
        <f t="shared" ca="1" si="7"/>
        <v>15263.782722170405</v>
      </c>
      <c r="K17" s="9">
        <f t="shared" ca="1" si="7"/>
        <v>24637.388193456616</v>
      </c>
      <c r="L17" s="17">
        <f t="shared" ca="1" si="5"/>
        <v>421722.39931740484</v>
      </c>
      <c r="M17" s="17"/>
      <c r="N17" s="17"/>
      <c r="O17" s="9"/>
      <c r="P17" s="14"/>
      <c r="Q17" s="11">
        <f t="shared" ca="1" si="6"/>
        <v>421722.39931740484</v>
      </c>
      <c r="R17" s="17">
        <f t="shared" ca="1" si="4"/>
        <v>421722.39931740484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0.88757213333355311</v>
      </c>
      <c r="J18" s="39">
        <f ca="1">I18</f>
        <v>0.88757213333355311</v>
      </c>
      <c r="K18" s="40">
        <f ca="1">1-(-K13)/K17</f>
        <v>0.89547148720220693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V22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2334.3354467090844</v>
      </c>
      <c r="D2" s="9">
        <f ca="1">Q4/parameters!$B$3</f>
        <v>11886.527479472637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14220.862926181722</v>
      </c>
      <c r="M2" s="17"/>
      <c r="N2" s="17">
        <f ca="1">Q2-(L2+O2+P2)</f>
        <v>1434.3931922306037</v>
      </c>
      <c r="O2" s="11" cm="1">
        <f t="array" aca="1" ref="O2" ca="1">INDIRECT("'data'!$F$" &amp; $A$1)</f>
        <v>14167.4</v>
      </c>
      <c r="P2" s="13">
        <f ca="1">IF(-(L2-Q2+O2)&lt;0, -(L2-Q2+O2), 0)</f>
        <v>0</v>
      </c>
      <c r="Q2" s="17" cm="1">
        <f t="array" aca="1" ref="Q2" ca="1">INDIRECT("'data'!$D$" &amp; $A$1)</f>
        <v>29822.656118412324</v>
      </c>
      <c r="R2" s="17">
        <f ca="1">SUM(L2:P2)</f>
        <v>29822.656118412327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2276.7761194029854</v>
      </c>
      <c r="G3" s="14">
        <f ca="1">Q3-O3-P3-F3</f>
        <v>42.853013991831631</v>
      </c>
      <c r="H3" s="14"/>
      <c r="I3" s="14"/>
      <c r="J3" s="14"/>
      <c r="K3" s="13"/>
      <c r="L3" s="16">
        <f t="shared" ca="1" si="0"/>
        <v>2319.629133394817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2319.629133394817</v>
      </c>
      <c r="R3" s="16">
        <f t="shared" ref="R3:R10" ca="1" si="2">SUM(L3:P3)</f>
        <v>2319.629133394817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11811.64235635196</v>
      </c>
      <c r="H4" s="14"/>
      <c r="I4" s="14"/>
      <c r="J4" s="14"/>
      <c r="K4" s="13"/>
      <c r="L4" s="16">
        <f t="shared" ca="1" si="0"/>
        <v>11811.64235635196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11811.64235635196</v>
      </c>
      <c r="R4" s="16">
        <f t="shared" ca="1" si="2"/>
        <v>11811.64235635196</v>
      </c>
      <c r="S4" s="7"/>
    </row>
    <row r="5" spans="1:22">
      <c r="A5" s="18" t="s">
        <v>107</v>
      </c>
      <c r="B5" s="11"/>
      <c r="C5" s="14"/>
      <c r="D5" s="14"/>
      <c r="E5" s="14"/>
      <c r="F5" s="14">
        <f ca="1">Q6/parameters!$B$5*20%</f>
        <v>569.19402985074635</v>
      </c>
      <c r="G5" s="14">
        <f ca="1">Q7/parameters!$B$7-(G3+G4)</f>
        <v>2079.5276181619574</v>
      </c>
      <c r="H5" s="14"/>
      <c r="I5" s="14"/>
      <c r="J5" s="14"/>
      <c r="K5" s="13"/>
      <c r="L5" s="16">
        <f t="shared" ca="1" si="0"/>
        <v>2648.7216480127036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-1.96</v>
      </c>
      <c r="Q5" s="16">
        <f ca="1">SUM(L5:P5)</f>
        <v>2646.7616480127035</v>
      </c>
      <c r="R5" s="16">
        <f t="shared" ca="1" si="2"/>
        <v>2646.7616480127035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2669.52</v>
      </c>
      <c r="I6" s="14"/>
      <c r="J6" s="14"/>
      <c r="K6" s="13"/>
      <c r="L6" s="16">
        <f t="shared" ca="1" si="0"/>
        <v>2669.52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2669.52</v>
      </c>
      <c r="R6" s="16">
        <f t="shared" ca="1" si="2"/>
        <v>2669.52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13334.86</v>
      </c>
      <c r="I7" s="14"/>
      <c r="J7" s="14"/>
      <c r="K7" s="13"/>
      <c r="L7" s="16">
        <f t="shared" ca="1" si="0"/>
        <v>13334.86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13334.86</v>
      </c>
      <c r="R7" s="16">
        <f t="shared" ca="1" si="2"/>
        <v>13334.86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8206</v>
      </c>
      <c r="J8" s="14">
        <f ca="1">Q10/J18</f>
        <v>8040.5519203413942</v>
      </c>
      <c r="K8" s="13"/>
      <c r="L8" s="16">
        <f t="shared" ca="1" si="0"/>
        <v>16246.551920341393</v>
      </c>
      <c r="M8" s="16"/>
      <c r="N8" s="16">
        <f t="shared" ca="1" si="3"/>
        <v>-634.17192034139225</v>
      </c>
      <c r="O8" s="11" cm="1">
        <f t="array" aca="1" ref="O8" ca="1">INDIRECT("'data'!$R$" &amp; $A$1)*parameters!$B$15</f>
        <v>731.08</v>
      </c>
      <c r="P8" s="13" cm="1">
        <f t="array" aca="1" ref="P8" ca="1">-INDIRECT("'data'!$S$" &amp; $A$1)*parameters!$B$15</f>
        <v>-339.08</v>
      </c>
      <c r="Q8" s="16">
        <f ca="1">SUM(Q6:Q7)</f>
        <v>16004.380000000001</v>
      </c>
      <c r="R8" s="16">
        <f t="shared" ca="1" si="2"/>
        <v>16004.380000000001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8837.64</v>
      </c>
      <c r="L9" s="16">
        <f t="shared" ca="1" si="0"/>
        <v>8837.64</v>
      </c>
      <c r="M9" s="16"/>
      <c r="N9" s="16">
        <f t="shared" ca="1" si="3"/>
        <v>0</v>
      </c>
      <c r="O9" s="11" cm="1">
        <f t="array" aca="1" ref="O9" ca="1">INDIRECT("'data'!$U$" &amp; $A$1)*parameters!$B$15</f>
        <v>16.66</v>
      </c>
      <c r="P9" s="13" cm="1">
        <f t="array" aca="1" ref="P9" ca="1">-INDIRECT("'data'!$V$" &amp; $A$1)*parameters!$B$15</f>
        <v>-812.42</v>
      </c>
      <c r="Q9" s="16" cm="1">
        <f t="array" aca="1" ref="Q9" ca="1">INDIRECT("'data'!$T$" &amp; $A$1)*parameters!$B$15</f>
        <v>8041.88</v>
      </c>
      <c r="R9" s="16">
        <f t="shared" ca="1" si="2"/>
        <v>8041.8799999999992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10162.160881934566</v>
      </c>
      <c r="L10" s="16">
        <f t="shared" ca="1" si="0"/>
        <v>10162.160881934566</v>
      </c>
      <c r="M10" s="16"/>
      <c r="N10" s="16">
        <f t="shared" ca="1" si="3"/>
        <v>0</v>
      </c>
      <c r="O10" s="11" cm="1">
        <f t="array" aca="1" ref="O10" ca="1">INDIRECT("'data'!$X$" &amp; $A$1)*parameters!$B$15</f>
        <v>681.1</v>
      </c>
      <c r="P10" s="13" cm="1">
        <f t="array" aca="1" ref="P10" ca="1">-INDIRECT("'data'!$Y$" &amp; $A$1)*parameters!$B$15</f>
        <v>-2963.52</v>
      </c>
      <c r="Q10" s="16" cm="1">
        <f t="array" aca="1" ref="Q10" ca="1">INDIRECT("'data'!$W$" &amp; $A$1)*parameters!$B$15</f>
        <v>7879.7408819345665</v>
      </c>
      <c r="R10" s="16">
        <f t="shared" ca="1" si="2"/>
        <v>7879.7408819345656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19007.819958463722</v>
      </c>
      <c r="N11" s="19"/>
      <c r="O11" s="21" cm="1">
        <f t="array" aca="1" ref="O11" ca="1">INDIRECT("'data'!$Z$" &amp; $A$1)*parameters!$B$15</f>
        <v>55.86</v>
      </c>
      <c r="P11" s="27" cm="1">
        <f t="array" aca="1" ref="P11" ca="1">-INDIRECT("'data'!$AA$" &amp; $A$1)*parameters!$B$15</f>
        <v>-2016.84</v>
      </c>
      <c r="Q11" s="16">
        <f ca="1">K9*parameters!$B$10+K10*parameters!$B$11</f>
        <v>17046.839958463723</v>
      </c>
      <c r="R11" s="16">
        <f t="shared" ref="R11:R17" ca="1" si="4">SUM(L11:P11)</f>
        <v>17046.839958463723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-14.706313314267391</v>
      </c>
      <c r="D12" s="9">
        <f ca="1">-(D17-Q4)</f>
        <v>-74.885123120677235</v>
      </c>
      <c r="E12" s="9">
        <f ca="1">-(E17-Q5)</f>
        <v>-327.12784413640156</v>
      </c>
      <c r="F12" s="9">
        <f ca="1">-(F17-Q6)</f>
        <v>-176.45014925373152</v>
      </c>
      <c r="G12" s="9">
        <f ca="1">-(G17-Q7)</f>
        <v>-599.16298850574822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-1192.3324183308259</v>
      </c>
      <c r="M12" s="17"/>
      <c r="N12" s="17"/>
      <c r="O12" s="10"/>
      <c r="P12" s="12"/>
      <c r="Q12" s="9">
        <f t="shared" ref="Q12:Q17" ca="1" si="6">SUM(L12:P12)</f>
        <v>-1192.3324183308259</v>
      </c>
      <c r="R12" s="17">
        <f t="shared" ca="1" si="4"/>
        <v>-1192.3324183308259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-164.11999999999989</v>
      </c>
      <c r="J13" s="14">
        <f ca="1">-(J17-Q10)</f>
        <v>-160.81103840682772</v>
      </c>
      <c r="K13" s="13">
        <f ca="1">-(K17-Q11)</f>
        <v>-1952.9609234708405</v>
      </c>
      <c r="L13" s="14">
        <f t="shared" ca="1" si="5"/>
        <v>-2277.8919618776681</v>
      </c>
      <c r="M13" s="16">
        <f ca="1">-E15</f>
        <v>-695.99753027143697</v>
      </c>
      <c r="N13" s="16"/>
      <c r="O13" s="11"/>
      <c r="P13" s="13"/>
      <c r="Q13" s="14">
        <f t="shared" ca="1" si="6"/>
        <v>-2973.8894921491051</v>
      </c>
      <c r="R13" s="16">
        <f t="shared" ca="1" si="4"/>
        <v>-2973.8894921491051</v>
      </c>
    </row>
    <row r="14" spans="1:22">
      <c r="A14" s="18" t="s">
        <v>78</v>
      </c>
      <c r="B14" s="11"/>
      <c r="C14" s="14"/>
      <c r="D14" s="14"/>
      <c r="E14" s="14">
        <f ca="1">-(I13+J13)-K13</f>
        <v>2277.8919618776681</v>
      </c>
      <c r="F14" s="14"/>
      <c r="G14" s="14"/>
      <c r="H14" s="14"/>
      <c r="I14" s="14"/>
      <c r="J14" s="14"/>
      <c r="K14" s="13"/>
      <c r="L14" s="14">
        <f t="shared" ca="1" si="5"/>
        <v>2277.8919618776681</v>
      </c>
      <c r="M14" s="16"/>
      <c r="N14" s="16"/>
      <c r="O14" s="11"/>
      <c r="P14" s="13"/>
      <c r="Q14" s="14">
        <f t="shared" ca="1" si="6"/>
        <v>2277.8919618776681</v>
      </c>
      <c r="R14" s="16">
        <f t="shared" ca="1" si="4"/>
        <v>2277.8919618776681</v>
      </c>
    </row>
    <row r="15" spans="1:22">
      <c r="A15" s="18" t="s">
        <v>79</v>
      </c>
      <c r="B15" s="11"/>
      <c r="C15" s="14"/>
      <c r="D15" s="14"/>
      <c r="E15" s="14">
        <f ca="1">E17-E14</f>
        <v>695.99753027143697</v>
      </c>
      <c r="F15" s="14"/>
      <c r="G15" s="14"/>
      <c r="H15" s="14"/>
      <c r="I15" s="14"/>
      <c r="J15" s="14"/>
      <c r="K15" s="13"/>
      <c r="L15" s="14">
        <f t="shared" ca="1" si="5"/>
        <v>695.99753027143697</v>
      </c>
      <c r="M15" s="16"/>
      <c r="N15" s="16"/>
      <c r="O15" s="11"/>
      <c r="P15" s="13"/>
      <c r="Q15" s="14">
        <f t="shared" ca="1" si="6"/>
        <v>695.99753027143697</v>
      </c>
      <c r="R15" s="16">
        <f t="shared" ca="1" si="4"/>
        <v>695.99753027143697</v>
      </c>
    </row>
    <row r="16" spans="1:22">
      <c r="A16" s="30" t="s">
        <v>89</v>
      </c>
      <c r="B16" s="21">
        <f ca="1">Q2</f>
        <v>29822.656118412324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29822.656118412324</v>
      </c>
      <c r="M16" s="19"/>
      <c r="N16" s="19"/>
      <c r="O16" s="21"/>
      <c r="P16" s="27"/>
      <c r="Q16" s="22">
        <f t="shared" ca="1" si="6"/>
        <v>29822.656118412324</v>
      </c>
      <c r="R16" s="19">
        <f t="shared" ca="1" si="4"/>
        <v>29822.656118412324</v>
      </c>
    </row>
    <row r="17" spans="1:18">
      <c r="A17" s="29" t="s">
        <v>88</v>
      </c>
      <c r="B17" s="9">
        <f ca="1">B16</f>
        <v>29822.656118412324</v>
      </c>
      <c r="C17" s="9">
        <f ca="1">SUM(C$2:C$11)</f>
        <v>2334.3354467090844</v>
      </c>
      <c r="D17" s="9">
        <f ca="1">SUM(D$2:D$11)</f>
        <v>11886.527479472637</v>
      </c>
      <c r="E17" s="9">
        <f ca="1">$Q$5/parameters!$B$4</f>
        <v>2973.8894921491051</v>
      </c>
      <c r="F17" s="9">
        <f t="shared" ref="F17:K17" ca="1" si="7">SUM(F$2:F$11)</f>
        <v>2845.9701492537315</v>
      </c>
      <c r="G17" s="9">
        <f t="shared" ca="1" si="7"/>
        <v>13934.022988505749</v>
      </c>
      <c r="H17" s="9">
        <f t="shared" ca="1" si="7"/>
        <v>16004.380000000001</v>
      </c>
      <c r="I17" s="9">
        <f t="shared" ca="1" si="7"/>
        <v>8206</v>
      </c>
      <c r="J17" s="9">
        <f t="shared" ca="1" si="7"/>
        <v>8040.5519203413942</v>
      </c>
      <c r="K17" s="9">
        <f t="shared" ca="1" si="7"/>
        <v>18999.800881934563</v>
      </c>
      <c r="L17" s="17">
        <f t="shared" ca="1" si="5"/>
        <v>115048.13447677859</v>
      </c>
      <c r="M17" s="17"/>
      <c r="N17" s="17"/>
      <c r="O17" s="9"/>
      <c r="P17" s="14"/>
      <c r="Q17" s="11">
        <f t="shared" ca="1" si="6"/>
        <v>115048.13447677859</v>
      </c>
      <c r="R17" s="17">
        <f t="shared" ca="1" si="4"/>
        <v>115048.13447677859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0.89721150576226516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6058.7652208916161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6058.7652208916161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-6058.7652208916161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5444.5373134328365</v>
      </c>
      <c r="G3" s="14">
        <f ca="1">Q3-O3-P3-F3</f>
        <v>2126.8026865671627</v>
      </c>
      <c r="H3" s="14"/>
      <c r="I3" s="14"/>
      <c r="J3" s="14"/>
      <c r="K3" s="13"/>
      <c r="L3" s="16">
        <f t="shared" ca="1" si="0"/>
        <v>7571.3399999999992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46.305</v>
      </c>
      <c r="P3" s="13" cm="1">
        <f t="array" aca="1" ref="P3" ca="1">-INDIRECT("'data'!$I$" &amp; $A$1)*parameters!$B$13</f>
        <v>-1597.05</v>
      </c>
      <c r="Q3" s="16" cm="1">
        <f t="array" aca="1" ref="Q3" ca="1">INDIRECT("'data'!$G$" &amp; $A$1)*parameters!$B$13</f>
        <v>6020.5949999999993</v>
      </c>
      <c r="R3" s="16">
        <f t="shared" ref="R3:R10" ca="1" si="2">SUM(L3:P3)</f>
        <v>6020.5949999999993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609.96</v>
      </c>
      <c r="H4" s="14"/>
      <c r="I4" s="14"/>
      <c r="J4" s="14"/>
      <c r="K4" s="13"/>
      <c r="L4" s="16">
        <f t="shared" ca="1" si="0"/>
        <v>609.96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-609.96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1361.1343283582091</v>
      </c>
      <c r="G5" s="14">
        <f ca="1">Q7/parameters!$B$7-(G3+G4)</f>
        <v>14876.612444049348</v>
      </c>
      <c r="H5" s="14"/>
      <c r="I5" s="14"/>
      <c r="J5" s="14"/>
      <c r="K5" s="13"/>
      <c r="L5" s="16">
        <f t="shared" ca="1" si="0"/>
        <v>16237.746772407558</v>
      </c>
      <c r="M5" s="16"/>
      <c r="N5" s="16"/>
      <c r="O5" s="11" cm="1">
        <f t="array" aca="1" ref="O5" ca="1">INDIRECT("'data'!$M$" &amp; $A$1)*parameters!$B$15</f>
        <v>263.62</v>
      </c>
      <c r="P5" s="13" cm="1">
        <f t="array" aca="1" ref="P5" ca="1">-INDIRECT("'data'!$N$" &amp; $A$1)*parameters!$B$15</f>
        <v>-5042.0999999999995</v>
      </c>
      <c r="Q5" s="16">
        <f ca="1">SUM(L5:P5)</f>
        <v>11459.266772407558</v>
      </c>
      <c r="R5" s="16">
        <f t="shared" ca="1" si="2"/>
        <v>11459.266772407558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6383.72</v>
      </c>
      <c r="I6" s="14"/>
      <c r="J6" s="14"/>
      <c r="K6" s="13"/>
      <c r="L6" s="16">
        <f t="shared" ca="1" si="0"/>
        <v>6383.72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6383.72</v>
      </c>
      <c r="R6" s="16">
        <f t="shared" ca="1" si="2"/>
        <v>6383.72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16856</v>
      </c>
      <c r="I7" s="14"/>
      <c r="J7" s="14"/>
      <c r="K7" s="13"/>
      <c r="L7" s="16">
        <f t="shared" ca="1" si="0"/>
        <v>16856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16856</v>
      </c>
      <c r="R7" s="16">
        <f t="shared" ca="1" si="2"/>
        <v>16856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13041.125104826264</v>
      </c>
      <c r="J8" s="14">
        <f ca="1">Q10/J18</f>
        <v>12622.134895173738</v>
      </c>
      <c r="K8" s="13"/>
      <c r="L8" s="16">
        <f t="shared" ca="1" si="0"/>
        <v>25663.260000000002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640.91999999999996</v>
      </c>
      <c r="P8" s="13" cm="1">
        <f t="array" aca="1" ref="P8" ca="1">-INDIRECT("'data'!$S$" &amp; $A$1)*parameters!$B$15</f>
        <v>-3064.46</v>
      </c>
      <c r="Q8" s="16">
        <f ca="1">SUM(Q6:Q7)</f>
        <v>23239.72</v>
      </c>
      <c r="R8" s="16">
        <f t="shared" ca="1" si="2"/>
        <v>23239.72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8450.5400000000009</v>
      </c>
      <c r="L9" s="16">
        <f t="shared" ca="1" si="0"/>
        <v>8450.5400000000009</v>
      </c>
      <c r="M9" s="16"/>
      <c r="N9" s="16">
        <f t="shared" ca="1" si="3"/>
        <v>0</v>
      </c>
      <c r="O9" s="11" cm="1">
        <f t="array" aca="1" ref="O9" ca="1">INDIRECT("'data'!$U$" &amp; $A$1)*parameters!$B$15</f>
        <v>5529.16</v>
      </c>
      <c r="P9" s="13" cm="1">
        <f t="array" aca="1" ref="P9" ca="1">-INDIRECT("'data'!$V$" &amp; $A$1)*parameters!$B$15</f>
        <v>-2333.38</v>
      </c>
      <c r="Q9" s="16" cm="1">
        <f t="array" aca="1" ref="Q9" ca="1">INDIRECT("'data'!$T$" &amp; $A$1)*parameters!$B$15</f>
        <v>11646.32</v>
      </c>
      <c r="R9" s="16">
        <f t="shared" ca="1" si="2"/>
        <v>11646.32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14234.682617354196</v>
      </c>
      <c r="L10" s="16">
        <f t="shared" ca="1" si="0"/>
        <v>14234.682617354196</v>
      </c>
      <c r="M10" s="16"/>
      <c r="N10" s="16">
        <f t="shared" ca="1" si="3"/>
        <v>0</v>
      </c>
      <c r="O10" s="11" cm="1">
        <f t="array" aca="1" ref="O10" ca="1">INDIRECT("'data'!$X$" &amp; $A$1)*parameters!$B$15</f>
        <v>6999.16</v>
      </c>
      <c r="P10" s="13" cm="1">
        <f t="array" aca="1" ref="P10" ca="1">-INDIRECT("'data'!$Y$" &amp; $A$1)*parameters!$B$15</f>
        <v>-9961.7000000000007</v>
      </c>
      <c r="Q10" s="16" cm="1">
        <f t="array" aca="1" ref="Q10" ca="1">INDIRECT("'data'!$W$" &amp; $A$1)*parameters!$B$15</f>
        <v>11272.142617354195</v>
      </c>
      <c r="R10" s="16">
        <f t="shared" ca="1" si="2"/>
        <v>11272.142617354195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14076.994650924611</v>
      </c>
      <c r="N11" s="19"/>
      <c r="O11" s="21" cm="1">
        <f t="array" aca="1" ref="O11" ca="1">INDIRECT("'data'!$Z$" &amp; $A$1)*parameters!$B$15</f>
        <v>12720.4</v>
      </c>
      <c r="P11" s="27" cm="1">
        <f t="array" aca="1" ref="P11" ca="1">-INDIRECT("'data'!$AA$" &amp; $A$1)*parameters!$B$15</f>
        <v>-6612.0599999999995</v>
      </c>
      <c r="Q11" s="16">
        <f ca="1">K9*parameters!$B$10+K10*parameters!$B$11</f>
        <v>20185.334650924611</v>
      </c>
      <c r="R11" s="16">
        <f t="shared" ref="R11:R17" ca="1" si="4">SUM(L11:P11)</f>
        <v>20185.334650924611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-38.170220891616736</v>
      </c>
      <c r="D12" s="9">
        <f ca="1">-(D17-Q4)</f>
        <v>0</v>
      </c>
      <c r="E12" s="9">
        <f ca="1">-(E17-Q5)</f>
        <v>-1416.3138707470007</v>
      </c>
      <c r="F12" s="9">
        <f ca="1">-(F17-Q6)</f>
        <v>-421.9516417910454</v>
      </c>
      <c r="G12" s="9">
        <f ca="1">-(G17-Q7)</f>
        <v>-757.37513061651043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-2633.8108640461733</v>
      </c>
      <c r="M12" s="17"/>
      <c r="N12" s="17"/>
      <c r="O12" s="10"/>
      <c r="P12" s="12"/>
      <c r="Q12" s="9">
        <f t="shared" ref="Q12:Q17" ca="1" si="6">SUM(L12:P12)</f>
        <v>-2633.8108640461733</v>
      </c>
      <c r="R12" s="17">
        <f t="shared" ca="1" si="4"/>
        <v>-2633.8108640461733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-1394.8051048262641</v>
      </c>
      <c r="J13" s="14">
        <f ca="1">-(J17-Q10)</f>
        <v>-1349.9922778195432</v>
      </c>
      <c r="K13" s="13">
        <f ca="1">-(K17-Q11)</f>
        <v>-2499.8879664295855</v>
      </c>
      <c r="L13" s="14">
        <f t="shared" ca="1" si="5"/>
        <v>-5244.6853490753929</v>
      </c>
      <c r="M13" s="16">
        <f ca="1">-E15</f>
        <v>-7630.895294079166</v>
      </c>
      <c r="N13" s="16"/>
      <c r="O13" s="11"/>
      <c r="P13" s="13"/>
      <c r="Q13" s="14">
        <f t="shared" ca="1" si="6"/>
        <v>-12875.580643154559</v>
      </c>
      <c r="R13" s="16">
        <f t="shared" ca="1" si="4"/>
        <v>-12875.580643154559</v>
      </c>
    </row>
    <row r="14" spans="1:20">
      <c r="A14" s="18" t="s">
        <v>78</v>
      </c>
      <c r="B14" s="11"/>
      <c r="C14" s="14"/>
      <c r="D14" s="14"/>
      <c r="E14" s="14">
        <f ca="1">-(I13+J13)-K13</f>
        <v>5244.6853490753929</v>
      </c>
      <c r="F14" s="14"/>
      <c r="G14" s="14"/>
      <c r="H14" s="14"/>
      <c r="I14" s="14"/>
      <c r="J14" s="14"/>
      <c r="K14" s="13"/>
      <c r="L14" s="14">
        <f t="shared" ca="1" si="5"/>
        <v>5244.6853490753929</v>
      </c>
      <c r="M14" s="16"/>
      <c r="N14" s="16"/>
      <c r="O14" s="11"/>
      <c r="P14" s="13"/>
      <c r="Q14" s="14">
        <f t="shared" ca="1" si="6"/>
        <v>5244.6853490753929</v>
      </c>
      <c r="R14" s="16">
        <f t="shared" ca="1" si="4"/>
        <v>5244.6853490753929</v>
      </c>
    </row>
    <row r="15" spans="1:20">
      <c r="A15" s="18" t="s">
        <v>79</v>
      </c>
      <c r="B15" s="11"/>
      <c r="C15" s="14"/>
      <c r="D15" s="14"/>
      <c r="E15" s="14">
        <f ca="1">E17-E14</f>
        <v>7630.895294079166</v>
      </c>
      <c r="F15" s="14"/>
      <c r="G15" s="14"/>
      <c r="H15" s="14"/>
      <c r="I15" s="14"/>
      <c r="J15" s="14"/>
      <c r="K15" s="13"/>
      <c r="L15" s="14">
        <f t="shared" ca="1" si="5"/>
        <v>7630.895294079166</v>
      </c>
      <c r="M15" s="16"/>
      <c r="N15" s="16"/>
      <c r="O15" s="11"/>
      <c r="P15" s="13"/>
      <c r="Q15" s="14">
        <f t="shared" ca="1" si="6"/>
        <v>7630.895294079166</v>
      </c>
      <c r="R15" s="16">
        <f t="shared" ca="1" si="4"/>
        <v>7630.895294079166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6058.7652208916161</v>
      </c>
      <c r="D17" s="9">
        <f ca="1">SUM(D$2:D$11)</f>
        <v>0</v>
      </c>
      <c r="E17" s="9">
        <f ca="1">$Q$5/parameters!$B$4</f>
        <v>12875.580643154559</v>
      </c>
      <c r="F17" s="9">
        <f t="shared" ref="F17:K17" ca="1" si="7">SUM(F$2:F$11)</f>
        <v>6805.6716417910457</v>
      </c>
      <c r="G17" s="9">
        <f t="shared" ca="1" si="7"/>
        <v>17613.37513061651</v>
      </c>
      <c r="H17" s="9">
        <f t="shared" ca="1" si="7"/>
        <v>23239.72</v>
      </c>
      <c r="I17" s="9">
        <f t="shared" ca="1" si="7"/>
        <v>13041.125104826264</v>
      </c>
      <c r="J17" s="9">
        <f t="shared" ca="1" si="7"/>
        <v>12622.134895173738</v>
      </c>
      <c r="K17" s="9">
        <f t="shared" ca="1" si="7"/>
        <v>22685.222617354197</v>
      </c>
      <c r="L17" s="17">
        <f t="shared" ca="1" si="5"/>
        <v>114941.59525380794</v>
      </c>
      <c r="M17" s="17"/>
      <c r="N17" s="17"/>
      <c r="O17" s="9"/>
      <c r="P17" s="14"/>
      <c r="Q17" s="11">
        <f t="shared" ca="1" si="6"/>
        <v>114941.59525380794</v>
      </c>
      <c r="R17" s="17">
        <f t="shared" ca="1" si="4"/>
        <v>114941.59525380794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0.89304564647492923</v>
      </c>
      <c r="J18" s="39">
        <f ca="1">I18</f>
        <v>0.89304564647492923</v>
      </c>
      <c r="K18" s="40">
        <f ca="1">1-(-K13)/K17</f>
        <v>0.88980103882616646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23573.170977156082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23573.170977156082</v>
      </c>
      <c r="M2" s="17"/>
      <c r="N2" s="17">
        <f ca="1">Q2-(L2+O2+P2)</f>
        <v>0</v>
      </c>
      <c r="O2" s="11" cm="1">
        <f t="array" aca="1" ref="O2" ca="1">INDIRECT("'data'!$F$" &amp; $A$1)</f>
        <v>26543.4</v>
      </c>
      <c r="P2" s="13">
        <f ca="1">IF(-(L2-Q2+O2)&lt;0, -(L2-Q2+O2), 0)</f>
        <v>-7416.5709771560832</v>
      </c>
      <c r="Q2" s="17" cm="1">
        <f t="array" aca="1" ref="Q2" ca="1">INDIRECT("'data'!$D$" &amp; $A$1)</f>
        <v>42700</v>
      </c>
      <c r="R2" s="17">
        <f ca="1">SUM(L2:P2)</f>
        <v>42700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21307.582089552241</v>
      </c>
      <c r="G3" s="14">
        <f ca="1">Q3-O3-P3-F3</f>
        <v>33.352910447760223</v>
      </c>
      <c r="H3" s="14"/>
      <c r="I3" s="14"/>
      <c r="J3" s="14"/>
      <c r="K3" s="13"/>
      <c r="L3" s="16">
        <f t="shared" ca="1" si="0"/>
        <v>21340.935000000001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2090.3399999999997</v>
      </c>
      <c r="P3" s="13" cm="1">
        <f t="array" aca="1" ref="P3" ca="1">-INDIRECT("'data'!$I$" &amp; $A$1)*parameters!$B$13</f>
        <v>-6.6149999999999993</v>
      </c>
      <c r="Q3" s="16" cm="1">
        <f t="array" aca="1" ref="Q3" ca="1">INDIRECT("'data'!$G$" &amp; $A$1)*parameters!$B$13</f>
        <v>23424.66</v>
      </c>
      <c r="R3" s="16">
        <f t="shared" ref="R3:R10" ca="1" si="2">SUM(L3:P3)</f>
        <v>23424.66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35.880000000000003</v>
      </c>
      <c r="H4" s="14"/>
      <c r="I4" s="14"/>
      <c r="J4" s="14"/>
      <c r="K4" s="13"/>
      <c r="L4" s="16">
        <f t="shared" ca="1" si="0"/>
        <v>35.880000000000003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-35.880000000000003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5326.8955223880603</v>
      </c>
      <c r="G5" s="14">
        <f ca="1">Q7/parameters!$B$7-(G3+G4)</f>
        <v>1649.0951982251763</v>
      </c>
      <c r="H5" s="14"/>
      <c r="I5" s="14"/>
      <c r="J5" s="14"/>
      <c r="K5" s="13"/>
      <c r="L5" s="16">
        <f t="shared" ca="1" si="0"/>
        <v>6975.9907206132366</v>
      </c>
      <c r="M5" s="16"/>
      <c r="N5" s="16"/>
      <c r="O5" s="11" cm="1">
        <f t="array" aca="1" ref="O5" ca="1">INDIRECT("'data'!$M$" &amp; $A$1)*parameters!$B$15</f>
        <v>909.43999999999994</v>
      </c>
      <c r="P5" s="13" cm="1">
        <f t="array" aca="1" ref="P5" ca="1">-INDIRECT("'data'!$N$" &amp; $A$1)*parameters!$B$15</f>
        <v>-27.439999999999998</v>
      </c>
      <c r="Q5" s="16">
        <f ca="1">SUM(L5:P5)</f>
        <v>7857.9907206132366</v>
      </c>
      <c r="R5" s="16">
        <f t="shared" ca="1" si="2"/>
        <v>7857.9907206132366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24983.14</v>
      </c>
      <c r="I6" s="14"/>
      <c r="J6" s="14"/>
      <c r="K6" s="13"/>
      <c r="L6" s="16">
        <f t="shared" ca="1" si="0"/>
        <v>24983.14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24983.14</v>
      </c>
      <c r="R6" s="16">
        <f t="shared" ca="1" si="2"/>
        <v>24983.14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1644.44</v>
      </c>
      <c r="I7" s="14"/>
      <c r="J7" s="14"/>
      <c r="K7" s="13"/>
      <c r="L7" s="16">
        <f t="shared" ca="1" si="0"/>
        <v>1644.44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1644.44</v>
      </c>
      <c r="R7" s="16">
        <f t="shared" ca="1" si="2"/>
        <v>1644.44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8455.7176177907404</v>
      </c>
      <c r="J8" s="14">
        <f ca="1">Q10/J18</f>
        <v>9137.2423822092605</v>
      </c>
      <c r="K8" s="13"/>
      <c r="L8" s="16">
        <f t="shared" ca="1" si="0"/>
        <v>17592.96</v>
      </c>
      <c r="M8" s="16"/>
      <c r="N8" s="16">
        <f t="shared" ca="1" si="3"/>
        <v>0</v>
      </c>
      <c r="O8" s="11" cm="1">
        <f t="array" aca="1" ref="O8" ca="1">INDIRECT("'data'!$R$" &amp; $A$1)*parameters!$B$15</f>
        <v>9104.2000000000007</v>
      </c>
      <c r="P8" s="13" cm="1">
        <f t="array" aca="1" ref="P8" ca="1">-INDIRECT("'data'!$S$" &amp; $A$1)*parameters!$B$15</f>
        <v>-69.58</v>
      </c>
      <c r="Q8" s="16">
        <f ca="1">SUM(Q6:Q7)</f>
        <v>26627.579999999998</v>
      </c>
      <c r="R8" s="16">
        <f t="shared" ca="1" si="2"/>
        <v>26627.579999999998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2353.9599999999996</v>
      </c>
      <c r="L9" s="16">
        <f t="shared" ca="1" si="0"/>
        <v>2353.9599999999996</v>
      </c>
      <c r="M9" s="16"/>
      <c r="N9" s="16">
        <f t="shared" ca="1" si="3"/>
        <v>0</v>
      </c>
      <c r="O9" s="11" cm="1">
        <f t="array" aca="1" ref="O9" ca="1">INDIRECT("'data'!$U$" &amp; $A$1)*parameters!$B$15</f>
        <v>4856.88</v>
      </c>
      <c r="P9" s="13" cm="1">
        <f t="array" aca="1" ref="P9" ca="1">-INDIRECT("'data'!$V$" &amp; $A$1)*parameters!$B$15</f>
        <v>-278.32</v>
      </c>
      <c r="Q9" s="16" cm="1">
        <f t="array" aca="1" ref="Q9" ca="1">INDIRECT("'data'!$T$" &amp; $A$1)*parameters!$B$15</f>
        <v>6932.5199999999995</v>
      </c>
      <c r="R9" s="16">
        <f t="shared" ca="1" si="2"/>
        <v>6932.52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2111.0761308677093</v>
      </c>
      <c r="L10" s="16">
        <f t="shared" ca="1" si="0"/>
        <v>2111.0761308677093</v>
      </c>
      <c r="M10" s="16"/>
      <c r="N10" s="16">
        <f t="shared" ca="1" si="3"/>
        <v>0</v>
      </c>
      <c r="O10" s="11" cm="1">
        <f t="array" aca="1" ref="O10" ca="1">INDIRECT("'data'!$X$" &amp; $A$1)*parameters!$B$15</f>
        <v>6149.5</v>
      </c>
      <c r="P10" s="13" cm="1">
        <f t="array" aca="1" ref="P10" ca="1">-INDIRECT("'data'!$Y$" &amp; $A$1)*parameters!$B$15</f>
        <v>-769.3</v>
      </c>
      <c r="Q10" s="16" cm="1">
        <f t="array" aca="1" ref="Q10" ca="1">INDIRECT("'data'!$W$" &amp; $A$1)*parameters!$B$15</f>
        <v>7491.2761308677091</v>
      </c>
      <c r="R10" s="16">
        <f t="shared" ca="1" si="2"/>
        <v>7491.27613086771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4135.0678725462294</v>
      </c>
      <c r="N11" s="19"/>
      <c r="O11" s="21" cm="1">
        <f t="array" aca="1" ref="O11" ca="1">INDIRECT("'data'!$Z$" &amp; $A$1)*parameters!$B$15</f>
        <v>997.64</v>
      </c>
      <c r="P11" s="27" cm="1">
        <f t="array" aca="1" ref="P11" ca="1">-INDIRECT("'data'!$AA$" &amp; $A$1)*parameters!$B$15</f>
        <v>-1104.46</v>
      </c>
      <c r="Q11" s="16">
        <f ca="1">K9*parameters!$B$10+K10*parameters!$B$11</f>
        <v>4028.2478725462297</v>
      </c>
      <c r="R11" s="16">
        <f t="shared" ref="R11:R17" ca="1" si="4">SUM(L11:P11)</f>
        <v>4028.2478725462297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-148.51097715608194</v>
      </c>
      <c r="D12" s="9">
        <f ca="1">-(D17-Q4)</f>
        <v>0</v>
      </c>
      <c r="E12" s="9">
        <f ca="1">-(E17-Q5)</f>
        <v>-971.21233625556761</v>
      </c>
      <c r="F12" s="9">
        <f ca="1">-(F17-Q6)</f>
        <v>-1651.3376119403038</v>
      </c>
      <c r="G12" s="9">
        <f ca="1">-(G17-Q7)</f>
        <v>-73.888108672936596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-2844.9490340248899</v>
      </c>
      <c r="M12" s="17"/>
      <c r="N12" s="17"/>
      <c r="O12" s="10"/>
      <c r="P12" s="12"/>
      <c r="Q12" s="9">
        <f t="shared" ref="Q12:Q17" ca="1" si="6">SUM(L12:P12)</f>
        <v>-2844.9490340248899</v>
      </c>
      <c r="R12" s="17">
        <f t="shared" ca="1" si="4"/>
        <v>-2844.9490340248899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-1523.1976177907409</v>
      </c>
      <c r="J13" s="14">
        <f ca="1">-(J17-Q10)</f>
        <v>-1645.9662513415515</v>
      </c>
      <c r="K13" s="13">
        <f ca="1">-(K17-Q11)</f>
        <v>-436.78825832147959</v>
      </c>
      <c r="L13" s="14">
        <f t="shared" ca="1" si="5"/>
        <v>-3605.9521274537719</v>
      </c>
      <c r="M13" s="16">
        <f ca="1">-E15</f>
        <v>-5223.2509294150323</v>
      </c>
      <c r="N13" s="16"/>
      <c r="O13" s="11"/>
      <c r="P13" s="13"/>
      <c r="Q13" s="14">
        <f t="shared" ca="1" si="6"/>
        <v>-8829.2030568688042</v>
      </c>
      <c r="R13" s="16">
        <f t="shared" ca="1" si="4"/>
        <v>-8829.2030568688042</v>
      </c>
    </row>
    <row r="14" spans="1:20">
      <c r="A14" s="18" t="s">
        <v>78</v>
      </c>
      <c r="B14" s="11"/>
      <c r="C14" s="14"/>
      <c r="D14" s="14"/>
      <c r="E14" s="14">
        <f ca="1">-(I13+J13)-K13</f>
        <v>3605.9521274537719</v>
      </c>
      <c r="F14" s="14"/>
      <c r="G14" s="14"/>
      <c r="H14" s="14"/>
      <c r="I14" s="14"/>
      <c r="J14" s="14"/>
      <c r="K14" s="13"/>
      <c r="L14" s="14">
        <f t="shared" ca="1" si="5"/>
        <v>3605.9521274537719</v>
      </c>
      <c r="M14" s="16"/>
      <c r="N14" s="16"/>
      <c r="O14" s="11"/>
      <c r="P14" s="13"/>
      <c r="Q14" s="14">
        <f t="shared" ca="1" si="6"/>
        <v>3605.9521274537719</v>
      </c>
      <c r="R14" s="16">
        <f t="shared" ca="1" si="4"/>
        <v>3605.9521274537719</v>
      </c>
    </row>
    <row r="15" spans="1:20">
      <c r="A15" s="18" t="s">
        <v>79</v>
      </c>
      <c r="B15" s="11"/>
      <c r="C15" s="14"/>
      <c r="D15" s="14"/>
      <c r="E15" s="14">
        <f ca="1">E17-E14</f>
        <v>5223.2509294150323</v>
      </c>
      <c r="F15" s="14"/>
      <c r="G15" s="14"/>
      <c r="H15" s="14"/>
      <c r="I15" s="14"/>
      <c r="J15" s="14"/>
      <c r="K15" s="13"/>
      <c r="L15" s="14">
        <f t="shared" ca="1" si="5"/>
        <v>5223.2509294150323</v>
      </c>
      <c r="M15" s="16"/>
      <c r="N15" s="16"/>
      <c r="O15" s="11"/>
      <c r="P15" s="13"/>
      <c r="Q15" s="14">
        <f t="shared" ca="1" si="6"/>
        <v>5223.2509294150323</v>
      </c>
      <c r="R15" s="16">
        <f t="shared" ca="1" si="4"/>
        <v>5223.2509294150323</v>
      </c>
    </row>
    <row r="16" spans="1:20">
      <c r="A16" s="30" t="s">
        <v>89</v>
      </c>
      <c r="B16" s="21">
        <f ca="1">Q2</f>
        <v>42700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42700</v>
      </c>
      <c r="M16" s="19"/>
      <c r="N16" s="19"/>
      <c r="O16" s="21"/>
      <c r="P16" s="27"/>
      <c r="Q16" s="22">
        <f t="shared" ca="1" si="6"/>
        <v>42700</v>
      </c>
      <c r="R16" s="19">
        <f t="shared" ca="1" si="4"/>
        <v>42700</v>
      </c>
    </row>
    <row r="17" spans="1:18">
      <c r="A17" s="29" t="s">
        <v>88</v>
      </c>
      <c r="B17" s="9">
        <f ca="1">B16</f>
        <v>42700</v>
      </c>
      <c r="C17" s="9">
        <f ca="1">SUM(C$2:C$11)</f>
        <v>23573.170977156082</v>
      </c>
      <c r="D17" s="9">
        <f ca="1">SUM(D$2:D$11)</f>
        <v>0</v>
      </c>
      <c r="E17" s="9">
        <f ca="1">$Q$5/parameters!$B$4</f>
        <v>8829.2030568688042</v>
      </c>
      <c r="F17" s="9">
        <f t="shared" ref="F17:K17" ca="1" si="7">SUM(F$2:F$11)</f>
        <v>26634.477611940303</v>
      </c>
      <c r="G17" s="9">
        <f t="shared" ca="1" si="7"/>
        <v>1718.3281086729367</v>
      </c>
      <c r="H17" s="9">
        <f t="shared" ca="1" si="7"/>
        <v>26627.579999999998</v>
      </c>
      <c r="I17" s="9">
        <f t="shared" ca="1" si="7"/>
        <v>8455.7176177907404</v>
      </c>
      <c r="J17" s="9">
        <f t="shared" ca="1" si="7"/>
        <v>9137.2423822092605</v>
      </c>
      <c r="K17" s="9">
        <f t="shared" ca="1" si="7"/>
        <v>4465.0361308677093</v>
      </c>
      <c r="L17" s="17">
        <f t="shared" ca="1" si="5"/>
        <v>152140.75588550582</v>
      </c>
      <c r="M17" s="17"/>
      <c r="N17" s="17"/>
      <c r="O17" s="9"/>
      <c r="P17" s="14"/>
      <c r="Q17" s="11">
        <f t="shared" ca="1" si="6"/>
        <v>152140.75588550582</v>
      </c>
      <c r="R17" s="17">
        <f t="shared" ca="1" si="4"/>
        <v>152140.75588550582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0.93799999999999983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0.81986181579834827</v>
      </c>
      <c r="J18" s="39">
        <f ca="1">I18</f>
        <v>0.81986181579834827</v>
      </c>
      <c r="K18" s="40">
        <f ca="1">1-(-K13)/K17</f>
        <v>0.90217587371760044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4864.3202173694272</v>
      </c>
      <c r="D2" s="9">
        <f ca="1">Q4/parameters!$B$3</f>
        <v>5535.5539901378688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10399.874207507295</v>
      </c>
      <c r="M2" s="17"/>
      <c r="N2" s="17">
        <f ca="1">Q2-(L2+O2+P2)</f>
        <v>0</v>
      </c>
      <c r="O2" s="11" cm="1">
        <f t="array" aca="1" ref="O2" ca="1">INDIRECT("'data'!$F$" &amp; $A$1)</f>
        <v>1489.15</v>
      </c>
      <c r="P2" s="13">
        <f ca="1">IF(-(L2-Q2+O2)&lt;0, -(L2-Q2+O2), 0)</f>
        <v>-1489.0242075072952</v>
      </c>
      <c r="Q2" s="17" cm="1">
        <f t="array" aca="1" ref="Q2" ca="1">INDIRECT("'data'!$D$" &amp; $A$1)</f>
        <v>10400</v>
      </c>
      <c r="R2" s="17">
        <f ca="1">SUM(L2:P2)</f>
        <v>10400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4746.626865671642</v>
      </c>
      <c r="G3" s="14">
        <f ca="1">Q3-O3-P3-F3</f>
        <v>392.28313432835785</v>
      </c>
      <c r="H3" s="14"/>
      <c r="I3" s="14"/>
      <c r="J3" s="14"/>
      <c r="K3" s="13"/>
      <c r="L3" s="16">
        <f t="shared" ca="1" si="0"/>
        <v>5138.91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-305.23499999999996</v>
      </c>
      <c r="Q3" s="16" cm="1">
        <f t="array" aca="1" ref="Q3" ca="1">INDIRECT("'data'!$G$" &amp; $A$1)*parameters!$B$13</f>
        <v>4833.6750000000002</v>
      </c>
      <c r="R3" s="16">
        <f t="shared" ref="R3:R10" ca="1" si="2">SUM(L3:P3)</f>
        <v>4833.6750000000002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5646.96</v>
      </c>
      <c r="H4" s="14"/>
      <c r="I4" s="14"/>
      <c r="J4" s="14"/>
      <c r="K4" s="13"/>
      <c r="L4" s="16">
        <f t="shared" ca="1" si="0"/>
        <v>5646.96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-146.28</v>
      </c>
      <c r="Q4" s="16" cm="1">
        <f t="array" aca="1" ref="Q4" ca="1">INDIRECT("'data'!$J$" &amp; $A$1)*parameters!$B$14</f>
        <v>5500.68</v>
      </c>
      <c r="R4" s="16">
        <f t="shared" ca="1" si="2"/>
        <v>5500.68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1186.6567164179105</v>
      </c>
      <c r="G5" s="14">
        <f ca="1">Q7/parameters!$B$7-(G3+G4)</f>
        <v>7530.2239503111405</v>
      </c>
      <c r="H5" s="14"/>
      <c r="I5" s="14"/>
      <c r="J5" s="14"/>
      <c r="K5" s="13"/>
      <c r="L5" s="16">
        <f t="shared" ca="1" si="0"/>
        <v>8716.8806667290519</v>
      </c>
      <c r="M5" s="16"/>
      <c r="N5" s="16"/>
      <c r="O5" s="11" cm="1">
        <f t="array" aca="1" ref="O5" ca="1">INDIRECT("'data'!$M$" &amp; $A$1)*parameters!$B$15</f>
        <v>686.98</v>
      </c>
      <c r="P5" s="13" cm="1">
        <f t="array" aca="1" ref="P5" ca="1">-INDIRECT("'data'!$N$" &amp; $A$1)*parameters!$B$15</f>
        <v>-896.69999999999993</v>
      </c>
      <c r="Q5" s="16">
        <f ca="1">SUM(L5:P5)</f>
        <v>8507.1606667290507</v>
      </c>
      <c r="R5" s="16">
        <f t="shared" ca="1" si="2"/>
        <v>8507.1606667290507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5565.42</v>
      </c>
      <c r="I6" s="14"/>
      <c r="J6" s="14"/>
      <c r="K6" s="13"/>
      <c r="L6" s="16">
        <f t="shared" ca="1" si="0"/>
        <v>5565.42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5565.42</v>
      </c>
      <c r="R6" s="16">
        <f t="shared" ca="1" si="2"/>
        <v>5565.42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12985.98</v>
      </c>
      <c r="I7" s="14"/>
      <c r="J7" s="14"/>
      <c r="K7" s="13"/>
      <c r="L7" s="16">
        <f t="shared" ca="1" si="0"/>
        <v>12985.98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12985.98</v>
      </c>
      <c r="R7" s="16">
        <f t="shared" ca="1" si="2"/>
        <v>12985.98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9303.9642828231717</v>
      </c>
      <c r="J8" s="14">
        <f ca="1">Q10/J18</f>
        <v>8491.855717176828</v>
      </c>
      <c r="K8" s="13"/>
      <c r="L8" s="16">
        <f t="shared" ca="1" si="0"/>
        <v>17795.82</v>
      </c>
      <c r="M8" s="16"/>
      <c r="N8" s="16">
        <f t="shared" ca="1" si="3"/>
        <v>0</v>
      </c>
      <c r="O8" s="11" cm="1">
        <f t="array" aca="1" ref="O8" ca="1">INDIRECT("'data'!$R$" &amp; $A$1)*parameters!$B$15</f>
        <v>1265.18</v>
      </c>
      <c r="P8" s="13" cm="1">
        <f t="array" aca="1" ref="P8" ca="1">-INDIRECT("'data'!$S$" &amp; $A$1)*parameters!$B$15</f>
        <v>-509.59999999999997</v>
      </c>
      <c r="Q8" s="16">
        <f ca="1">SUM(Q6:Q7)</f>
        <v>18551.400000000001</v>
      </c>
      <c r="R8" s="16">
        <f t="shared" ca="1" si="2"/>
        <v>18551.400000000001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9002.2799999999988</v>
      </c>
      <c r="L9" s="16">
        <f t="shared" ca="1" si="0"/>
        <v>9002.2799999999988</v>
      </c>
      <c r="M9" s="16"/>
      <c r="N9" s="16">
        <f t="shared" ca="1" si="3"/>
        <v>0</v>
      </c>
      <c r="O9" s="11" cm="1">
        <f t="array" aca="1" ref="O9" ca="1">INDIRECT("'data'!$U$" &amp; $A$1)*parameters!$B$15</f>
        <v>1503.32</v>
      </c>
      <c r="P9" s="13" cm="1">
        <f t="array" aca="1" ref="P9" ca="1">-INDIRECT("'data'!$V$" &amp; $A$1)*parameters!$B$15</f>
        <v>-1540.56</v>
      </c>
      <c r="Q9" s="16" cm="1">
        <f t="array" aca="1" ref="Q9" ca="1">INDIRECT("'data'!$T$" &amp; $A$1)*parameters!$B$15</f>
        <v>8965.0399999999991</v>
      </c>
      <c r="R9" s="16">
        <f t="shared" ca="1" si="2"/>
        <v>8965.0399999999991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12948.254879089614</v>
      </c>
      <c r="L10" s="16">
        <f t="shared" ca="1" si="0"/>
        <v>12948.254879089614</v>
      </c>
      <c r="M10" s="16"/>
      <c r="N10" s="16">
        <f t="shared" ca="1" si="3"/>
        <v>0</v>
      </c>
      <c r="O10" s="11" cm="1">
        <f t="array" aca="1" ref="O10" ca="1">INDIRECT("'data'!$X$" &amp; $A$1)*parameters!$B$15</f>
        <v>1229.9000000000001</v>
      </c>
      <c r="P10" s="13" cm="1">
        <f t="array" aca="1" ref="P10" ca="1">-INDIRECT("'data'!$Y$" &amp; $A$1)*parameters!$B$15</f>
        <v>-5995.64</v>
      </c>
      <c r="Q10" s="16" cm="1">
        <f t="array" aca="1" ref="Q10" ca="1">INDIRECT("'data'!$W$" &amp; $A$1)*parameters!$B$15</f>
        <v>8182.5148790896155</v>
      </c>
      <c r="R10" s="16">
        <f t="shared" ca="1" si="2"/>
        <v>8182.5148790896137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16142.162396017065</v>
      </c>
      <c r="N11" s="19"/>
      <c r="O11" s="21" cm="1">
        <f t="array" aca="1" ref="O11" ca="1">INDIRECT("'data'!$Z$" &amp; $A$1)*parameters!$B$15</f>
        <v>13573.98</v>
      </c>
      <c r="P11" s="27" cm="1">
        <f t="array" aca="1" ref="P11" ca="1">-INDIRECT("'data'!$AA$" &amp; $A$1)*parameters!$B$15</f>
        <v>-10118.5</v>
      </c>
      <c r="Q11" s="16">
        <f ca="1">K9*parameters!$B$10+K10*parameters!$B$11</f>
        <v>19597.642396017065</v>
      </c>
      <c r="R11" s="16">
        <f t="shared" ref="R11:R17" ca="1" si="4">SUM(L11:P11)</f>
        <v>19597.642396017065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-30.645217369426973</v>
      </c>
      <c r="D12" s="9">
        <f ca="1">-(D17-Q4)</f>
        <v>-34.873990137868532</v>
      </c>
      <c r="E12" s="9">
        <f ca="1">-(E17-Q5)</f>
        <v>-1051.446823977747</v>
      </c>
      <c r="F12" s="9">
        <f ca="1">-(F17-Q6)</f>
        <v>-367.86358208955244</v>
      </c>
      <c r="G12" s="9">
        <f ca="1">-(G17-Q7)</f>
        <v>-583.48708463949879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-2068.3166982140938</v>
      </c>
      <c r="M12" s="17"/>
      <c r="N12" s="17"/>
      <c r="O12" s="10"/>
      <c r="P12" s="12"/>
      <c r="Q12" s="9">
        <f t="shared" ref="Q12:Q17" ca="1" si="6">SUM(L12:P12)</f>
        <v>-2068.3166982140938</v>
      </c>
      <c r="R12" s="17">
        <f t="shared" ca="1" si="4"/>
        <v>-2068.3166982140938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-338.92428282317269</v>
      </c>
      <c r="J13" s="14">
        <f ca="1">-(J17-Q10)</f>
        <v>-309.34083808721243</v>
      </c>
      <c r="K13" s="13">
        <f ca="1">-(K17-Q11)</f>
        <v>-2352.8924830725482</v>
      </c>
      <c r="L13" s="14">
        <f t="shared" ca="1" si="5"/>
        <v>-3001.1576039829333</v>
      </c>
      <c r="M13" s="16">
        <f ca="1">-E15</f>
        <v>-6557.4498867238644</v>
      </c>
      <c r="N13" s="16"/>
      <c r="O13" s="11"/>
      <c r="P13" s="13"/>
      <c r="Q13" s="14">
        <f t="shared" ca="1" si="6"/>
        <v>-9558.6074907067978</v>
      </c>
      <c r="R13" s="16">
        <f t="shared" ca="1" si="4"/>
        <v>-9558.6074907067978</v>
      </c>
    </row>
    <row r="14" spans="1:20">
      <c r="A14" s="18" t="s">
        <v>78</v>
      </c>
      <c r="B14" s="11"/>
      <c r="C14" s="14"/>
      <c r="D14" s="14"/>
      <c r="E14" s="14">
        <f ca="1">-(I13+J13)-K13</f>
        <v>3001.1576039829333</v>
      </c>
      <c r="F14" s="14"/>
      <c r="G14" s="14"/>
      <c r="H14" s="14"/>
      <c r="I14" s="14"/>
      <c r="J14" s="14"/>
      <c r="K14" s="13"/>
      <c r="L14" s="14">
        <f t="shared" ca="1" si="5"/>
        <v>3001.1576039829333</v>
      </c>
      <c r="M14" s="16"/>
      <c r="N14" s="16"/>
      <c r="O14" s="11"/>
      <c r="P14" s="13"/>
      <c r="Q14" s="14">
        <f t="shared" ca="1" si="6"/>
        <v>3001.1576039829333</v>
      </c>
      <c r="R14" s="16">
        <f t="shared" ca="1" si="4"/>
        <v>3001.1576039829333</v>
      </c>
    </row>
    <row r="15" spans="1:20">
      <c r="A15" s="18" t="s">
        <v>79</v>
      </c>
      <c r="B15" s="11"/>
      <c r="C15" s="14"/>
      <c r="D15" s="14"/>
      <c r="E15" s="14">
        <f ca="1">E17-E14</f>
        <v>6557.4498867238644</v>
      </c>
      <c r="F15" s="14"/>
      <c r="G15" s="14"/>
      <c r="H15" s="14"/>
      <c r="I15" s="14"/>
      <c r="J15" s="14"/>
      <c r="K15" s="13"/>
      <c r="L15" s="14">
        <f t="shared" ca="1" si="5"/>
        <v>6557.4498867238644</v>
      </c>
      <c r="M15" s="16"/>
      <c r="N15" s="16"/>
      <c r="O15" s="11"/>
      <c r="P15" s="13"/>
      <c r="Q15" s="14">
        <f t="shared" ca="1" si="6"/>
        <v>6557.4498867238644</v>
      </c>
      <c r="R15" s="16">
        <f t="shared" ca="1" si="4"/>
        <v>6557.4498867238644</v>
      </c>
    </row>
    <row r="16" spans="1:20">
      <c r="A16" s="30" t="s">
        <v>89</v>
      </c>
      <c r="B16" s="21">
        <f ca="1">Q2</f>
        <v>10400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10400</v>
      </c>
      <c r="M16" s="19"/>
      <c r="N16" s="19"/>
      <c r="O16" s="21"/>
      <c r="P16" s="27"/>
      <c r="Q16" s="22">
        <f t="shared" ca="1" si="6"/>
        <v>10400</v>
      </c>
      <c r="R16" s="19">
        <f t="shared" ca="1" si="4"/>
        <v>10400</v>
      </c>
    </row>
    <row r="17" spans="1:18">
      <c r="A17" s="29" t="s">
        <v>88</v>
      </c>
      <c r="B17" s="9">
        <f ca="1">B16</f>
        <v>10400</v>
      </c>
      <c r="C17" s="9">
        <f ca="1">SUM(C$2:C$11)</f>
        <v>4864.3202173694272</v>
      </c>
      <c r="D17" s="9">
        <f ca="1">SUM(D$2:D$11)</f>
        <v>5535.5539901378688</v>
      </c>
      <c r="E17" s="9">
        <f ca="1">$Q$5/parameters!$B$4</f>
        <v>9558.6074907067978</v>
      </c>
      <c r="F17" s="9">
        <f t="shared" ref="F17:K17" ca="1" si="7">SUM(F$2:F$11)</f>
        <v>5933.2835820895525</v>
      </c>
      <c r="G17" s="9">
        <f t="shared" ca="1" si="7"/>
        <v>13569.467084639498</v>
      </c>
      <c r="H17" s="9">
        <f t="shared" ca="1" si="7"/>
        <v>18551.400000000001</v>
      </c>
      <c r="I17" s="9">
        <f t="shared" ca="1" si="7"/>
        <v>9303.9642828231717</v>
      </c>
      <c r="J17" s="9">
        <f t="shared" ca="1" si="7"/>
        <v>8491.855717176828</v>
      </c>
      <c r="K17" s="9">
        <f t="shared" ca="1" si="7"/>
        <v>21950.534879089613</v>
      </c>
      <c r="L17" s="17">
        <f t="shared" ca="1" si="5"/>
        <v>108158.98724403277</v>
      </c>
      <c r="M17" s="17"/>
      <c r="N17" s="17"/>
      <c r="O17" s="9"/>
      <c r="P17" s="14"/>
      <c r="Q17" s="11">
        <f t="shared" ca="1" si="6"/>
        <v>108158.98724403277</v>
      </c>
      <c r="R17" s="17">
        <f t="shared" ca="1" si="4"/>
        <v>108158.98724403277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0.96357205675768887</v>
      </c>
      <c r="J18" s="39">
        <f ca="1">I18</f>
        <v>0.96357205675768887</v>
      </c>
      <c r="K18" s="40">
        <f ca="1">1-(-K13)/K17</f>
        <v>0.89280933261840711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1324.7308040656133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1324.7308040656133</v>
      </c>
      <c r="M2" s="17"/>
      <c r="N2" s="17">
        <f ca="1">Q2-(L2+O2+P2)</f>
        <v>407.5691959343867</v>
      </c>
      <c r="O2" s="11" cm="1">
        <f t="array" aca="1" ref="O2" ca="1">INDIRECT("'data'!$F$" &amp; $A$1)</f>
        <v>986.7</v>
      </c>
      <c r="P2" s="13">
        <f ca="1">IF(-(L2-Q2+O2)&lt;0, -(L2-Q2+O2), 0)</f>
        <v>0</v>
      </c>
      <c r="Q2" s="17" cm="1">
        <f t="array" aca="1" ref="Q2" ca="1">INDIRECT("'data'!$D$" &amp; $A$1)</f>
        <v>2719</v>
      </c>
      <c r="R2" s="17">
        <f ca="1">SUM(L2:P2)</f>
        <v>2719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733.01492537313447</v>
      </c>
      <c r="G3" s="14">
        <f ca="1">Q3-O3-P3-F3</f>
        <v>529.50507462686551</v>
      </c>
      <c r="H3" s="14"/>
      <c r="I3" s="14"/>
      <c r="J3" s="14"/>
      <c r="K3" s="13"/>
      <c r="L3" s="16">
        <f t="shared" ca="1" si="0"/>
        <v>1262.52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69.929999999999993</v>
      </c>
      <c r="P3" s="13" cm="1">
        <f t="array" aca="1" ref="P3" ca="1">-INDIRECT("'data'!$I$" &amp; $A$1)*parameters!$B$13</f>
        <v>-16.064999999999998</v>
      </c>
      <c r="Q3" s="16" cm="1">
        <f t="array" aca="1" ref="Q3" ca="1">INDIRECT("'data'!$G$" &amp; $A$1)*parameters!$B$13</f>
        <v>1316.385</v>
      </c>
      <c r="R3" s="16">
        <f t="shared" ref="R3:R10" ca="1" si="2">SUM(L3:P3)</f>
        <v>1316.385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Q6/parameters!$B$5*20%</f>
        <v>183.25373134328362</v>
      </c>
      <c r="G5" s="14">
        <f ca="1">Q7/parameters!$B$7-(G3+G4)</f>
        <v>4559.9411113710457</v>
      </c>
      <c r="H5" s="14"/>
      <c r="I5" s="14"/>
      <c r="J5" s="14"/>
      <c r="K5" s="13"/>
      <c r="L5" s="16">
        <f t="shared" ca="1" si="0"/>
        <v>4743.1948427143298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-2231.46</v>
      </c>
      <c r="Q5" s="16">
        <f ca="1">SUM(L5:P5)</f>
        <v>2511.7348427143297</v>
      </c>
      <c r="R5" s="16">
        <f t="shared" ca="1" si="2"/>
        <v>2511.7348427143297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859.46</v>
      </c>
      <c r="I6" s="14"/>
      <c r="J6" s="14"/>
      <c r="K6" s="13"/>
      <c r="L6" s="16">
        <f t="shared" ca="1" si="0"/>
        <v>859.46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859.46</v>
      </c>
      <c r="R6" s="16">
        <f t="shared" ca="1" si="2"/>
        <v>859.46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4870.6000000000004</v>
      </c>
      <c r="I7" s="14"/>
      <c r="J7" s="14"/>
      <c r="K7" s="13"/>
      <c r="L7" s="16">
        <f t="shared" ca="1" si="0"/>
        <v>4870.6000000000004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4870.6000000000004</v>
      </c>
      <c r="R7" s="16">
        <f t="shared" ca="1" si="2"/>
        <v>4870.6000000000004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5935.8600000000006</v>
      </c>
      <c r="J8" s="14">
        <f ca="1">Q10/J18</f>
        <v>0</v>
      </c>
      <c r="K8" s="13"/>
      <c r="L8" s="16">
        <f t="shared" ca="1" si="0"/>
        <v>5935.8600000000006</v>
      </c>
      <c r="M8" s="16"/>
      <c r="N8" s="16">
        <f t="shared" ca="1" si="3"/>
        <v>0</v>
      </c>
      <c r="O8" s="11" cm="1">
        <f t="array" aca="1" ref="O8" ca="1">INDIRECT("'data'!$R$" &amp; $A$1)*parameters!$B$15</f>
        <v>123.48</v>
      </c>
      <c r="P8" s="13" cm="1">
        <f t="array" aca="1" ref="P8" ca="1">-INDIRECT("'data'!$S$" &amp; $A$1)*parameters!$B$15</f>
        <v>-329.28</v>
      </c>
      <c r="Q8" s="16">
        <f ca="1">SUM(Q6:Q7)</f>
        <v>5730.06</v>
      </c>
      <c r="R8" s="16">
        <f t="shared" ca="1" si="2"/>
        <v>5730.06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7906.6399999999994</v>
      </c>
      <c r="L9" s="16">
        <f t="shared" ca="1" si="0"/>
        <v>7906.6399999999994</v>
      </c>
      <c r="M9" s="16"/>
      <c r="N9" s="16">
        <f t="shared" ca="1" si="3"/>
        <v>0</v>
      </c>
      <c r="O9" s="11" cm="1">
        <f t="array" aca="1" ref="O9" ca="1">INDIRECT("'data'!$U$" &amp; $A$1)*parameters!$B$15</f>
        <v>72.52</v>
      </c>
      <c r="P9" s="13" cm="1">
        <f t="array" aca="1" ref="P9" ca="1">-INDIRECT("'data'!$V$" &amp; $A$1)*parameters!$B$15</f>
        <v>-2435.3000000000002</v>
      </c>
      <c r="Q9" s="16" cm="1">
        <f t="array" aca="1" ref="Q9" ca="1">INDIRECT("'data'!$T$" &amp; $A$1)*parameters!$B$15</f>
        <v>5543.86</v>
      </c>
      <c r="R9" s="16">
        <f t="shared" ca="1" si="2"/>
        <v>5543.86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7833.1400000000012</v>
      </c>
      <c r="L10" s="16">
        <f t="shared" ca="1" si="0"/>
        <v>7833.1400000000012</v>
      </c>
      <c r="M10" s="16"/>
      <c r="N10" s="16">
        <f t="shared" ca="1" si="3"/>
        <v>0</v>
      </c>
      <c r="O10" s="11" cm="1">
        <f t="array" aca="1" ref="O10" ca="1">INDIRECT("'data'!$X$" &amp; $A$1)*parameters!$B$15</f>
        <v>1075.06</v>
      </c>
      <c r="P10" s="13" cm="1">
        <f t="array" aca="1" ref="P10" ca="1">-INDIRECT("'data'!$Y$" &amp; $A$1)*parameters!$B$15</f>
        <v>-8908.2000000000007</v>
      </c>
      <c r="Q10" s="16" cm="1">
        <f t="array" aca="1" ref="Q10" ca="1">INDIRECT("'data'!$W$" &amp; $A$1)*parameters!$B$15</f>
        <v>0</v>
      </c>
      <c r="R10" s="16">
        <f t="shared" ca="1" si="2"/>
        <v>0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14923.342000000001</v>
      </c>
      <c r="N11" s="19"/>
      <c r="O11" s="21" cm="1">
        <f t="array" aca="1" ref="O11" ca="1">INDIRECT("'data'!$Z$" &amp; $A$1)*parameters!$B$15</f>
        <v>852.6</v>
      </c>
      <c r="P11" s="27" cm="1">
        <f t="array" aca="1" ref="P11" ca="1">-INDIRECT("'data'!$AA$" &amp; $A$1)*parameters!$B$15</f>
        <v>-1607.2</v>
      </c>
      <c r="Q11" s="16">
        <f ca="1">K9*parameters!$B$10+K10*parameters!$B$11</f>
        <v>14168.742</v>
      </c>
      <c r="R11" s="16">
        <f t="shared" ref="R11:R17" ca="1" si="4">SUM(L11:P11)</f>
        <v>14168.742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-8.3458040656132653</v>
      </c>
      <c r="D12" s="9">
        <f ca="1">-(D17-Q4)</f>
        <v>0</v>
      </c>
      <c r="E12" s="9">
        <f ca="1">-(E17-Q5)</f>
        <v>-310.4391378635687</v>
      </c>
      <c r="F12" s="9">
        <f ca="1">-(F17-Q6)</f>
        <v>-56.808656716418</v>
      </c>
      <c r="G12" s="9">
        <f ca="1">-(G17-Q7)</f>
        <v>-218.84618599791065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-594.43978464351062</v>
      </c>
      <c r="M12" s="17"/>
      <c r="N12" s="17"/>
      <c r="O12" s="10"/>
      <c r="P12" s="12"/>
      <c r="Q12" s="9">
        <f t="shared" ref="Q12:Q17" ca="1" si="6">SUM(L12:P12)</f>
        <v>-594.43978464351062</v>
      </c>
      <c r="R12" s="17">
        <f t="shared" ca="1" si="4"/>
        <v>-594.43978464351062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-392.00000000000091</v>
      </c>
      <c r="J13" s="14">
        <f ca="1">-(J17-Q10)</f>
        <v>0</v>
      </c>
      <c r="K13" s="13">
        <f ca="1">-(K17-Q11)</f>
        <v>-1571.0380000000005</v>
      </c>
      <c r="L13" s="14">
        <f t="shared" ca="1" si="5"/>
        <v>-1963.0380000000014</v>
      </c>
      <c r="M13" s="16">
        <f ca="1">-E15</f>
        <v>-859.13598057789704</v>
      </c>
      <c r="N13" s="16"/>
      <c r="O13" s="11"/>
      <c r="P13" s="13"/>
      <c r="Q13" s="14">
        <f t="shared" ca="1" si="6"/>
        <v>-2822.1739805778984</v>
      </c>
      <c r="R13" s="16">
        <f t="shared" ca="1" si="4"/>
        <v>-2822.1739805778984</v>
      </c>
    </row>
    <row r="14" spans="1:19">
      <c r="A14" s="18" t="s">
        <v>78</v>
      </c>
      <c r="B14" s="11"/>
      <c r="C14" s="14"/>
      <c r="D14" s="14"/>
      <c r="E14" s="14">
        <f ca="1">-(I13+J13)-K13</f>
        <v>1963.0380000000014</v>
      </c>
      <c r="F14" s="14"/>
      <c r="G14" s="14"/>
      <c r="H14" s="14"/>
      <c r="I14" s="14"/>
      <c r="J14" s="14"/>
      <c r="K14" s="13"/>
      <c r="L14" s="14">
        <f t="shared" ca="1" si="5"/>
        <v>1963.0380000000014</v>
      </c>
      <c r="M14" s="16"/>
      <c r="N14" s="16"/>
      <c r="O14" s="11"/>
      <c r="P14" s="13"/>
      <c r="Q14" s="14">
        <f t="shared" ca="1" si="6"/>
        <v>1963.0380000000014</v>
      </c>
      <c r="R14" s="16">
        <f t="shared" ca="1" si="4"/>
        <v>1963.0380000000014</v>
      </c>
    </row>
    <row r="15" spans="1:19">
      <c r="A15" s="18" t="s">
        <v>79</v>
      </c>
      <c r="B15" s="11"/>
      <c r="C15" s="14"/>
      <c r="D15" s="14"/>
      <c r="E15" s="14">
        <f ca="1">E17-E14</f>
        <v>859.13598057789704</v>
      </c>
      <c r="F15" s="14"/>
      <c r="G15" s="14"/>
      <c r="H15" s="14"/>
      <c r="I15" s="14"/>
      <c r="J15" s="14"/>
      <c r="K15" s="13"/>
      <c r="L15" s="14">
        <f t="shared" ca="1" si="5"/>
        <v>859.13598057789704</v>
      </c>
      <c r="M15" s="16"/>
      <c r="N15" s="16"/>
      <c r="O15" s="11"/>
      <c r="P15" s="13"/>
      <c r="Q15" s="14">
        <f t="shared" ca="1" si="6"/>
        <v>859.13598057789704</v>
      </c>
      <c r="R15" s="16">
        <f t="shared" ca="1" si="4"/>
        <v>859.13598057789704</v>
      </c>
    </row>
    <row r="16" spans="1:19">
      <c r="A16" s="30" t="s">
        <v>89</v>
      </c>
      <c r="B16" s="21">
        <f ca="1">Q2</f>
        <v>2719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2719</v>
      </c>
      <c r="M16" s="19"/>
      <c r="N16" s="19"/>
      <c r="O16" s="21"/>
      <c r="P16" s="27"/>
      <c r="Q16" s="22">
        <f t="shared" ca="1" si="6"/>
        <v>2719</v>
      </c>
      <c r="R16" s="19">
        <f t="shared" ca="1" si="4"/>
        <v>2719</v>
      </c>
    </row>
    <row r="17" spans="1:18">
      <c r="A17" s="29" t="s">
        <v>88</v>
      </c>
      <c r="B17" s="9">
        <f ca="1">B16</f>
        <v>2719</v>
      </c>
      <c r="C17" s="9">
        <f ca="1">SUM(C$2:C$11)</f>
        <v>1324.7308040656133</v>
      </c>
      <c r="D17" s="9">
        <f ca="1">SUM(D$2:D$11)</f>
        <v>0</v>
      </c>
      <c r="E17" s="9">
        <f ca="1">$Q$5/parameters!$B$4</f>
        <v>2822.1739805778984</v>
      </c>
      <c r="F17" s="9">
        <f t="shared" ref="F17:K17" ca="1" si="7">SUM(F$2:F$11)</f>
        <v>916.26865671641804</v>
      </c>
      <c r="G17" s="9">
        <f t="shared" ca="1" si="7"/>
        <v>5089.446185997911</v>
      </c>
      <c r="H17" s="9">
        <f t="shared" ca="1" si="7"/>
        <v>5730.06</v>
      </c>
      <c r="I17" s="9">
        <f t="shared" ca="1" si="7"/>
        <v>5935.8600000000006</v>
      </c>
      <c r="J17" s="9">
        <f t="shared" ca="1" si="7"/>
        <v>0</v>
      </c>
      <c r="K17" s="9">
        <f t="shared" ca="1" si="7"/>
        <v>15739.78</v>
      </c>
      <c r="L17" s="17">
        <f t="shared" ca="1" si="5"/>
        <v>40277.319627357843</v>
      </c>
      <c r="M17" s="17"/>
      <c r="N17" s="17"/>
      <c r="O17" s="9"/>
      <c r="P17" s="14"/>
      <c r="Q17" s="11">
        <f t="shared" ca="1" si="6"/>
        <v>40277.319627357843</v>
      </c>
      <c r="R17" s="17">
        <f t="shared" ca="1" si="4"/>
        <v>40277.319627357843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0.93396070662043906</v>
      </c>
      <c r="J18" s="39">
        <f ca="1">I18</f>
        <v>0.93396070662043906</v>
      </c>
      <c r="K18" s="40">
        <f ca="1">1-(-K13)/K17</f>
        <v>0.90018678787124085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10333.470866458689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10333.470866458689</v>
      </c>
      <c r="M2" s="17"/>
      <c r="N2" s="17">
        <f ca="1">Q2-(L2+O2+P2)</f>
        <v>0</v>
      </c>
      <c r="O2" s="11" cm="1">
        <f t="array" aca="1" ref="O2" ca="1">INDIRECT("'data'!$F$" &amp; $A$1)</f>
        <v>58.5</v>
      </c>
      <c r="P2" s="13">
        <f ca="1">IF(-(L2-Q2+O2)&lt;0, -(L2-Q2+O2), 0)</f>
        <v>-10391.970866458689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8897.313432835821</v>
      </c>
      <c r="G3" s="14">
        <f ca="1">Q3-O3-P3-F3</f>
        <v>1478.7865671641775</v>
      </c>
      <c r="H3" s="14"/>
      <c r="I3" s="14"/>
      <c r="J3" s="14"/>
      <c r="K3" s="13"/>
      <c r="L3" s="16">
        <f t="shared" ca="1" si="0"/>
        <v>10376.099999999999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33.074999999999996</v>
      </c>
      <c r="P3" s="13" cm="1">
        <f t="array" aca="1" ref="P3" ca="1">-INDIRECT("'data'!$I$" &amp; $A$1)*parameters!$B$13</f>
        <v>-140.80500000000001</v>
      </c>
      <c r="Q3" s="16" cm="1">
        <f t="array" aca="1" ref="Q3" ca="1">INDIRECT("'data'!$G$" &amp; $A$1)*parameters!$B$13</f>
        <v>10268.369999999999</v>
      </c>
      <c r="R3" s="16">
        <f t="shared" ref="R3:R10" ca="1" si="2">SUM(L3:P3)</f>
        <v>10268.369999999999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18.400000000000002</v>
      </c>
      <c r="H4" s="14"/>
      <c r="I4" s="14"/>
      <c r="J4" s="14"/>
      <c r="K4" s="13"/>
      <c r="L4" s="16">
        <f t="shared" ca="1" si="0"/>
        <v>18.400000000000002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11.96</v>
      </c>
      <c r="P4" s="13" cm="1">
        <f t="array" aca="1" ref="P4" ca="1">-INDIRECT("'data'!$L$" &amp; $A$1)*parameters!$B$14</f>
        <v>-30.360000000000003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2224.3283582089553</v>
      </c>
      <c r="G5" s="14">
        <f ca="1">Q7/parameters!$B$7-(G3+G4)</f>
        <v>4132.9492740061469</v>
      </c>
      <c r="H5" s="14"/>
      <c r="I5" s="14"/>
      <c r="J5" s="14"/>
      <c r="K5" s="13"/>
      <c r="L5" s="16">
        <f t="shared" ca="1" si="0"/>
        <v>6357.2776322151021</v>
      </c>
      <c r="M5" s="16"/>
      <c r="N5" s="16"/>
      <c r="O5" s="11" cm="1">
        <f t="array" aca="1" ref="O5" ca="1">INDIRECT("'data'!$M$" &amp; $A$1)*parameters!$B$15</f>
        <v>6053.46</v>
      </c>
      <c r="P5" s="13" cm="1">
        <f t="array" aca="1" ref="P5" ca="1">-INDIRECT("'data'!$N$" &amp; $A$1)*parameters!$B$15</f>
        <v>-2423.54</v>
      </c>
      <c r="Q5" s="16">
        <f ca="1">SUM(L5:P5)</f>
        <v>9987.1976322151022</v>
      </c>
      <c r="R5" s="16">
        <f t="shared" ca="1" si="2"/>
        <v>9987.1976322151022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10432.1</v>
      </c>
      <c r="I6" s="14"/>
      <c r="J6" s="14"/>
      <c r="K6" s="13"/>
      <c r="L6" s="16">
        <f t="shared" ca="1" si="0"/>
        <v>10432.1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10432.1</v>
      </c>
      <c r="R6" s="16">
        <f t="shared" ca="1" si="2"/>
        <v>10432.1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5388.04</v>
      </c>
      <c r="I7" s="14"/>
      <c r="J7" s="14"/>
      <c r="K7" s="13"/>
      <c r="L7" s="16">
        <f t="shared" ca="1" si="0"/>
        <v>5388.04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5388.04</v>
      </c>
      <c r="R7" s="16">
        <f t="shared" ca="1" si="2"/>
        <v>5388.04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5350.4643659576659</v>
      </c>
      <c r="J8" s="14">
        <f ca="1">Q10/J18</f>
        <v>11022.395634042332</v>
      </c>
      <c r="K8" s="13"/>
      <c r="L8" s="16">
        <f t="shared" ca="1" si="0"/>
        <v>16372.859999999997</v>
      </c>
      <c r="M8" s="16"/>
      <c r="N8" s="16">
        <f t="shared" ca="1" si="3"/>
        <v>0</v>
      </c>
      <c r="O8" s="11" cm="1">
        <f t="array" aca="1" ref="O8" ca="1">INDIRECT("'data'!$R$" &amp; $A$1)*parameters!$B$15</f>
        <v>1211.28</v>
      </c>
      <c r="P8" s="13" cm="1">
        <f t="array" aca="1" ref="P8" ca="1">-INDIRECT("'data'!$S$" &amp; $A$1)*parameters!$B$15</f>
        <v>-1764</v>
      </c>
      <c r="Q8" s="16">
        <f ca="1">SUM(Q6:Q7)</f>
        <v>15820.14</v>
      </c>
      <c r="R8" s="16">
        <f t="shared" ca="1" si="2"/>
        <v>15820.139999999996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5494.8600000000006</v>
      </c>
      <c r="L9" s="16">
        <f t="shared" ca="1" si="0"/>
        <v>5494.8600000000006</v>
      </c>
      <c r="M9" s="16"/>
      <c r="N9" s="16">
        <f t="shared" ca="1" si="3"/>
        <v>0</v>
      </c>
      <c r="O9" s="11" cm="1">
        <f t="array" aca="1" ref="O9" ca="1">INDIRECT("'data'!$U$" &amp; $A$1)*parameters!$B$15</f>
        <v>2432.36</v>
      </c>
      <c r="P9" s="13" cm="1">
        <f t="array" aca="1" ref="P9" ca="1">-INDIRECT("'data'!$V$" &amp; $A$1)*parameters!$B$15</f>
        <v>-2913.54</v>
      </c>
      <c r="Q9" s="16" cm="1">
        <f t="array" aca="1" ref="Q9" ca="1">INDIRECT("'data'!$T$" &amp; $A$1)*parameters!$B$15</f>
        <v>5013.68</v>
      </c>
      <c r="R9" s="16">
        <f t="shared" ca="1" si="2"/>
        <v>5013.6800000000012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7344.4922048364151</v>
      </c>
      <c r="L10" s="16">
        <f t="shared" ca="1" si="0"/>
        <v>7344.4922048364151</v>
      </c>
      <c r="M10" s="16"/>
      <c r="N10" s="16">
        <f t="shared" ca="1" si="3"/>
        <v>0</v>
      </c>
      <c r="O10" s="11" cm="1">
        <f t="array" aca="1" ref="O10" ca="1">INDIRECT("'data'!$X$" &amp; $A$1)*parameters!$B$15</f>
        <v>10187.1</v>
      </c>
      <c r="P10" s="13" cm="1">
        <f t="array" aca="1" ref="P10" ca="1">-INDIRECT("'data'!$Y$" &amp; $A$1)*parameters!$B$15</f>
        <v>-7203</v>
      </c>
      <c r="Q10" s="16" cm="1">
        <f t="array" aca="1" ref="Q10" ca="1">INDIRECT("'data'!$W$" &amp; $A$1)*parameters!$B$15</f>
        <v>10328.592204836415</v>
      </c>
      <c r="R10" s="16">
        <f t="shared" ca="1" si="2"/>
        <v>10328.592204836415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14691.911696159317</v>
      </c>
      <c r="N11" s="19"/>
      <c r="O11" s="21" cm="1">
        <f t="array" aca="1" ref="O11" ca="1">INDIRECT("'data'!$Z$" &amp; $A$1)*parameters!$B$15</f>
        <v>7731.22</v>
      </c>
      <c r="P11" s="27" cm="1">
        <f t="array" aca="1" ref="P11" ca="1">-INDIRECT("'data'!$AA$" &amp; $A$1)*parameters!$B$15</f>
        <v>-10941.699999999999</v>
      </c>
      <c r="Q11" s="16">
        <f ca="1">K9*parameters!$B$10+K10*parameters!$B$11</f>
        <v>11481.431696159318</v>
      </c>
      <c r="R11" s="16">
        <f t="shared" ref="R11:R17" ca="1" si="4">SUM(L11:P11)</f>
        <v>11481.431696159319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-65.100866458689779</v>
      </c>
      <c r="D12" s="9">
        <f ca="1">-(D17-Q4)</f>
        <v>0</v>
      </c>
      <c r="E12" s="9">
        <f ca="1">-(E17-Q5)</f>
        <v>-1234.3727410602933</v>
      </c>
      <c r="F12" s="9">
        <f ca="1">-(F17-Q6)</f>
        <v>-689.54179104477589</v>
      </c>
      <c r="G12" s="9">
        <f ca="1">-(G17-Q7)</f>
        <v>-242.09584117032409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-2231.111239734083</v>
      </c>
      <c r="M12" s="17"/>
      <c r="N12" s="17"/>
      <c r="O12" s="10"/>
      <c r="P12" s="12"/>
      <c r="Q12" s="9">
        <f t="shared" ref="Q12:Q17" ca="1" si="6">SUM(L12:P12)</f>
        <v>-2231.111239734083</v>
      </c>
      <c r="R12" s="17">
        <f t="shared" ca="1" si="4"/>
        <v>-2231.111239734083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-336.78436595766561</v>
      </c>
      <c r="J13" s="14">
        <f ca="1">-(J17-Q10)</f>
        <v>-693.80342920591647</v>
      </c>
      <c r="K13" s="13">
        <f ca="1">-(K17-Q11)</f>
        <v>-1357.920508677098</v>
      </c>
      <c r="L13" s="14">
        <f t="shared" ca="1" si="5"/>
        <v>-2388.5083038406801</v>
      </c>
      <c r="M13" s="16">
        <f ca="1">-E15</f>
        <v>-8833.0620694347162</v>
      </c>
      <c r="N13" s="16"/>
      <c r="O13" s="11"/>
      <c r="P13" s="13"/>
      <c r="Q13" s="14">
        <f t="shared" ca="1" si="6"/>
        <v>-11221.570373275397</v>
      </c>
      <c r="R13" s="16">
        <f t="shared" ca="1" si="4"/>
        <v>-11221.570373275397</v>
      </c>
    </row>
    <row r="14" spans="1:20">
      <c r="A14" s="18" t="s">
        <v>78</v>
      </c>
      <c r="B14" s="11"/>
      <c r="C14" s="14"/>
      <c r="D14" s="14"/>
      <c r="E14" s="14">
        <f ca="1">-(I13+J13)-K13</f>
        <v>2388.5083038406801</v>
      </c>
      <c r="F14" s="14"/>
      <c r="G14" s="14"/>
      <c r="H14" s="14"/>
      <c r="I14" s="14"/>
      <c r="J14" s="14"/>
      <c r="K14" s="13"/>
      <c r="L14" s="14">
        <f t="shared" ca="1" si="5"/>
        <v>2388.5083038406801</v>
      </c>
      <c r="M14" s="16"/>
      <c r="N14" s="16"/>
      <c r="O14" s="11"/>
      <c r="P14" s="13"/>
      <c r="Q14" s="14">
        <f t="shared" ca="1" si="6"/>
        <v>2388.5083038406801</v>
      </c>
      <c r="R14" s="16">
        <f t="shared" ca="1" si="4"/>
        <v>2388.5083038406801</v>
      </c>
    </row>
    <row r="15" spans="1:20">
      <c r="A15" s="18" t="s">
        <v>79</v>
      </c>
      <c r="B15" s="11"/>
      <c r="C15" s="14"/>
      <c r="D15" s="14"/>
      <c r="E15" s="14">
        <f ca="1">E17-E14</f>
        <v>8833.0620694347162</v>
      </c>
      <c r="F15" s="14"/>
      <c r="G15" s="14"/>
      <c r="H15" s="14"/>
      <c r="I15" s="14"/>
      <c r="J15" s="14"/>
      <c r="K15" s="13"/>
      <c r="L15" s="14">
        <f t="shared" ca="1" si="5"/>
        <v>8833.0620694347162</v>
      </c>
      <c r="M15" s="16"/>
      <c r="N15" s="16"/>
      <c r="O15" s="11"/>
      <c r="P15" s="13"/>
      <c r="Q15" s="14">
        <f t="shared" ca="1" si="6"/>
        <v>8833.0620694347162</v>
      </c>
      <c r="R15" s="16">
        <f t="shared" ca="1" si="4"/>
        <v>8833.0620694347162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10333.470866458689</v>
      </c>
      <c r="D17" s="9">
        <f ca="1">SUM(D$2:D$11)</f>
        <v>0</v>
      </c>
      <c r="E17" s="9">
        <f ca="1">$Q$5/parameters!$B$4</f>
        <v>11221.570373275395</v>
      </c>
      <c r="F17" s="9">
        <f t="shared" ref="F17:K17" ca="1" si="7">SUM(F$2:F$11)</f>
        <v>11121.641791044776</v>
      </c>
      <c r="G17" s="9">
        <f t="shared" ca="1" si="7"/>
        <v>5630.1358411703241</v>
      </c>
      <c r="H17" s="9">
        <f t="shared" ca="1" si="7"/>
        <v>15820.14</v>
      </c>
      <c r="I17" s="9">
        <f t="shared" ca="1" si="7"/>
        <v>5350.4643659576659</v>
      </c>
      <c r="J17" s="9">
        <f t="shared" ca="1" si="7"/>
        <v>11022.395634042332</v>
      </c>
      <c r="K17" s="9">
        <f t="shared" ca="1" si="7"/>
        <v>12839.352204836416</v>
      </c>
      <c r="L17" s="17">
        <f t="shared" ca="1" si="5"/>
        <v>83339.171076785598</v>
      </c>
      <c r="M17" s="17"/>
      <c r="N17" s="17"/>
      <c r="O17" s="9"/>
      <c r="P17" s="14"/>
      <c r="Q17" s="11">
        <f t="shared" ca="1" si="6"/>
        <v>83339.171076785598</v>
      </c>
      <c r="R17" s="17">
        <f t="shared" ca="1" si="4"/>
        <v>83339.171076785598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0.93705511467369884</v>
      </c>
      <c r="J18" s="39">
        <f ca="1">I18</f>
        <v>0.93705511467369884</v>
      </c>
      <c r="K18" s="40">
        <f ca="1">1-(-K13)/K17</f>
        <v>0.89423761518391975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3764.0233470866456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3764.0233470866456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-3764.0233470866456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3515.4626865671644</v>
      </c>
      <c r="G3" s="14">
        <f ca="1">Q3-O3-P3-F3</f>
        <v>477.16231343283562</v>
      </c>
      <c r="H3" s="14"/>
      <c r="I3" s="14"/>
      <c r="J3" s="14"/>
      <c r="K3" s="13"/>
      <c r="L3" s="16">
        <f t="shared" ca="1" si="0"/>
        <v>3992.625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8.504999999999999</v>
      </c>
      <c r="P3" s="13" cm="1">
        <f t="array" aca="1" ref="P3" ca="1">-INDIRECT("'data'!$I$" &amp; $A$1)*parameters!$B$13</f>
        <v>-260.82</v>
      </c>
      <c r="Q3" s="16" cm="1">
        <f t="array" aca="1" ref="Q3" ca="1">INDIRECT("'data'!$G$" &amp; $A$1)*parameters!$B$13</f>
        <v>3740.31</v>
      </c>
      <c r="R3" s="16">
        <f t="shared" ref="R3:R10" ca="1" si="2">SUM(L3:P3)</f>
        <v>3740.31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544.6400000000001</v>
      </c>
      <c r="H4" s="14"/>
      <c r="I4" s="14"/>
      <c r="J4" s="14"/>
      <c r="K4" s="13"/>
      <c r="L4" s="16">
        <f t="shared" ca="1" si="0"/>
        <v>544.6400000000001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3.68</v>
      </c>
      <c r="P4" s="13" cm="1">
        <f t="array" aca="1" ref="P4" ca="1">-INDIRECT("'data'!$L$" &amp; $A$1)*parameters!$B$14</f>
        <v>-548.32000000000005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878.8656716417911</v>
      </c>
      <c r="G5" s="14">
        <f ca="1">Q7/parameters!$B$7-(G3+G4)</f>
        <v>9261.5414692212926</v>
      </c>
      <c r="H5" s="14"/>
      <c r="I5" s="14"/>
      <c r="J5" s="14"/>
      <c r="K5" s="13"/>
      <c r="L5" s="16">
        <f t="shared" ca="1" si="0"/>
        <v>10140.407140863084</v>
      </c>
      <c r="M5" s="16"/>
      <c r="N5" s="16"/>
      <c r="O5" s="11" cm="1">
        <f t="array" aca="1" ref="O5" ca="1">INDIRECT("'data'!$M$" &amp; $A$1)*parameters!$B$15</f>
        <v>588</v>
      </c>
      <c r="P5" s="13" cm="1">
        <f t="array" aca="1" ref="P5" ca="1">-INDIRECT("'data'!$N$" &amp; $A$1)*parameters!$B$15</f>
        <v>-4730.46</v>
      </c>
      <c r="Q5" s="16">
        <f ca="1">SUM(L5:P5)</f>
        <v>5997.9471408630843</v>
      </c>
      <c r="R5" s="16">
        <f t="shared" ca="1" si="2"/>
        <v>5997.9471408630843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4121.88</v>
      </c>
      <c r="I6" s="14"/>
      <c r="J6" s="14"/>
      <c r="K6" s="13"/>
      <c r="L6" s="16">
        <f t="shared" ca="1" si="0"/>
        <v>4121.88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4121.88</v>
      </c>
      <c r="R6" s="16">
        <f t="shared" ca="1" si="2"/>
        <v>4121.88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9841.16</v>
      </c>
      <c r="I7" s="14"/>
      <c r="J7" s="14"/>
      <c r="K7" s="13"/>
      <c r="L7" s="16">
        <f t="shared" ca="1" si="0"/>
        <v>9841.16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9841.16</v>
      </c>
      <c r="R7" s="16">
        <f t="shared" ca="1" si="2"/>
        <v>9841.16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9946.8685780077994</v>
      </c>
      <c r="J8" s="14">
        <f ca="1">Q10/J18</f>
        <v>4840.3514219922017</v>
      </c>
      <c r="K8" s="13"/>
      <c r="L8" s="16">
        <f t="shared" ca="1" si="0"/>
        <v>14787.220000000001</v>
      </c>
      <c r="M8" s="16"/>
      <c r="N8" s="16">
        <f t="shared" ca="1" si="3"/>
        <v>0</v>
      </c>
      <c r="O8" s="11" cm="1">
        <f t="array" aca="1" ref="O8" ca="1">INDIRECT("'data'!$R$" &amp; $A$1)*parameters!$B$15</f>
        <v>109.75999999999999</v>
      </c>
      <c r="P8" s="13" cm="1">
        <f t="array" aca="1" ref="P8" ca="1">-INDIRECT("'data'!$S$" &amp; $A$1)*parameters!$B$15</f>
        <v>-933.93999999999994</v>
      </c>
      <c r="Q8" s="16">
        <f ca="1">SUM(Q6:Q7)</f>
        <v>13963.04</v>
      </c>
      <c r="R8" s="16">
        <f t="shared" ca="1" si="2"/>
        <v>13963.04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3784.7599999999989</v>
      </c>
      <c r="L9" s="16">
        <f t="shared" ca="1" si="0"/>
        <v>3784.7599999999989</v>
      </c>
      <c r="M9" s="16"/>
      <c r="N9" s="16">
        <f t="shared" ca="1" si="3"/>
        <v>0</v>
      </c>
      <c r="O9" s="11" cm="1">
        <f t="array" aca="1" ref="O9" ca="1">INDIRECT("'data'!$U$" &amp; $A$1)*parameters!$B$15</f>
        <v>6259.26</v>
      </c>
      <c r="P9" s="13" cm="1">
        <f t="array" aca="1" ref="P9" ca="1">-INDIRECT("'data'!$V$" &amp; $A$1)*parameters!$B$15</f>
        <v>-1033.9000000000001</v>
      </c>
      <c r="Q9" s="16" cm="1">
        <f t="array" aca="1" ref="Q9" ca="1">INDIRECT("'data'!$T$" &amp; $A$1)*parameters!$B$15</f>
        <v>9010.119999999999</v>
      </c>
      <c r="R9" s="16">
        <f t="shared" ca="1" si="2"/>
        <v>9010.119999999999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7647.9102418207676</v>
      </c>
      <c r="L10" s="16">
        <f t="shared" ca="1" si="0"/>
        <v>7647.9102418207676</v>
      </c>
      <c r="M10" s="16"/>
      <c r="N10" s="16">
        <f t="shared" ca="1" si="3"/>
        <v>0</v>
      </c>
      <c r="O10" s="11" cm="1">
        <f t="array" aca="1" ref="O10" ca="1">INDIRECT("'data'!$X$" &amp; $A$1)*parameters!$B$15</f>
        <v>2222.64</v>
      </c>
      <c r="P10" s="13" cm="1">
        <f t="array" aca="1" ref="P10" ca="1">-INDIRECT("'data'!$Y$" &amp; $A$1)*parameters!$B$15</f>
        <v>-5486.04</v>
      </c>
      <c r="Q10" s="16" cm="1">
        <f t="array" aca="1" ref="Q10" ca="1">INDIRECT("'data'!$W$" &amp; $A$1)*parameters!$B$15</f>
        <v>4384.510241820768</v>
      </c>
      <c r="R10" s="16">
        <f t="shared" ca="1" si="2"/>
        <v>4384.5102418207671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7879.8972079658597</v>
      </c>
      <c r="N11" s="19"/>
      <c r="O11" s="21" cm="1">
        <f t="array" aca="1" ref="O11" ca="1">INDIRECT("'data'!$Z$" &amp; $A$1)*parameters!$B$15</f>
        <v>8763.16</v>
      </c>
      <c r="P11" s="27" cm="1">
        <f t="array" aca="1" ref="P11" ca="1">-INDIRECT("'data'!$AA$" &amp; $A$1)*parameters!$B$15</f>
        <v>-6508.18</v>
      </c>
      <c r="Q11" s="16">
        <f ca="1">K9*parameters!$B$10+K10*parameters!$B$11</f>
        <v>10134.877207965859</v>
      </c>
      <c r="R11" s="16">
        <f t="shared" ref="R11:R17" ca="1" si="4">SUM(L11:P11)</f>
        <v>10134.877207965859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-23.713347086645626</v>
      </c>
      <c r="D12" s="9">
        <f ca="1">-(D17-Q4)</f>
        <v>0</v>
      </c>
      <c r="E12" s="9">
        <f ca="1">-(E17-Q5)</f>
        <v>-741.31930954487507</v>
      </c>
      <c r="F12" s="9">
        <f ca="1">-(F17-Q6)</f>
        <v>-272.44835820895514</v>
      </c>
      <c r="G12" s="9">
        <f ca="1">-(G17-Q7)</f>
        <v>-442.18378265412866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-1479.6647974946045</v>
      </c>
      <c r="M12" s="17"/>
      <c r="N12" s="17"/>
      <c r="O12" s="10"/>
      <c r="P12" s="12"/>
      <c r="Q12" s="9">
        <f t="shared" ref="Q12:Q17" ca="1" si="6">SUM(L12:P12)</f>
        <v>-1479.6647974946045</v>
      </c>
      <c r="R12" s="17">
        <f t="shared" ca="1" si="4"/>
        <v>-1479.6647974946045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-936.74857800780046</v>
      </c>
      <c r="J13" s="14">
        <f ca="1">-(J17-Q10)</f>
        <v>-455.84118017143373</v>
      </c>
      <c r="K13" s="13">
        <f ca="1">-(K17-Q11)</f>
        <v>-1297.7930338549068</v>
      </c>
      <c r="L13" s="14">
        <f t="shared" ca="1" si="5"/>
        <v>-2690.3827920341409</v>
      </c>
      <c r="M13" s="16">
        <f ca="1">-E15</f>
        <v>-4048.8836583738184</v>
      </c>
      <c r="N13" s="16"/>
      <c r="O13" s="11"/>
      <c r="P13" s="13"/>
      <c r="Q13" s="14">
        <f t="shared" ca="1" si="6"/>
        <v>-6739.2664504079594</v>
      </c>
      <c r="R13" s="16">
        <f t="shared" ca="1" si="4"/>
        <v>-6739.2664504079594</v>
      </c>
    </row>
    <row r="14" spans="1:20">
      <c r="A14" s="18" t="s">
        <v>78</v>
      </c>
      <c r="B14" s="11"/>
      <c r="C14" s="14"/>
      <c r="D14" s="14"/>
      <c r="E14" s="14">
        <f ca="1">-(I13+J13)-K13</f>
        <v>2690.3827920341409</v>
      </c>
      <c r="F14" s="14"/>
      <c r="G14" s="14"/>
      <c r="H14" s="14"/>
      <c r="I14" s="14"/>
      <c r="J14" s="14"/>
      <c r="K14" s="13"/>
      <c r="L14" s="14">
        <f t="shared" ca="1" si="5"/>
        <v>2690.3827920341409</v>
      </c>
      <c r="M14" s="16"/>
      <c r="N14" s="16"/>
      <c r="O14" s="11"/>
      <c r="P14" s="13"/>
      <c r="Q14" s="14">
        <f t="shared" ca="1" si="6"/>
        <v>2690.3827920341409</v>
      </c>
      <c r="R14" s="16">
        <f t="shared" ca="1" si="4"/>
        <v>2690.3827920341409</v>
      </c>
    </row>
    <row r="15" spans="1:20">
      <c r="A15" s="18" t="s">
        <v>79</v>
      </c>
      <c r="B15" s="11"/>
      <c r="C15" s="14"/>
      <c r="D15" s="14"/>
      <c r="E15" s="14">
        <f ca="1">E17-E14</f>
        <v>4048.8836583738184</v>
      </c>
      <c r="F15" s="14"/>
      <c r="G15" s="14"/>
      <c r="H15" s="14"/>
      <c r="I15" s="14"/>
      <c r="J15" s="14"/>
      <c r="K15" s="13"/>
      <c r="L15" s="14">
        <f t="shared" ca="1" si="5"/>
        <v>4048.8836583738184</v>
      </c>
      <c r="M15" s="16"/>
      <c r="N15" s="16"/>
      <c r="O15" s="11"/>
      <c r="P15" s="13"/>
      <c r="Q15" s="14">
        <f t="shared" ca="1" si="6"/>
        <v>4048.8836583738184</v>
      </c>
      <c r="R15" s="16">
        <f t="shared" ca="1" si="4"/>
        <v>4048.8836583738184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3764.0233470866456</v>
      </c>
      <c r="D17" s="9">
        <f ca="1">SUM(D$2:D$11)</f>
        <v>0</v>
      </c>
      <c r="E17" s="9">
        <f ca="1">$Q$5/parameters!$B$4</f>
        <v>6739.2664504079594</v>
      </c>
      <c r="F17" s="9">
        <f t="shared" ref="F17:K17" ca="1" si="7">SUM(F$2:F$11)</f>
        <v>4394.3283582089553</v>
      </c>
      <c r="G17" s="9">
        <f t="shared" ca="1" si="7"/>
        <v>10283.343782654129</v>
      </c>
      <c r="H17" s="9">
        <f t="shared" ca="1" si="7"/>
        <v>13963.04</v>
      </c>
      <c r="I17" s="9">
        <f t="shared" ca="1" si="7"/>
        <v>9946.8685780077994</v>
      </c>
      <c r="J17" s="9">
        <f t="shared" ca="1" si="7"/>
        <v>4840.3514219922017</v>
      </c>
      <c r="K17" s="9">
        <f t="shared" ca="1" si="7"/>
        <v>11432.670241820766</v>
      </c>
      <c r="L17" s="17">
        <f t="shared" ca="1" si="5"/>
        <v>65363.892180178453</v>
      </c>
      <c r="M17" s="17"/>
      <c r="N17" s="17"/>
      <c r="O17" s="9"/>
      <c r="P17" s="14"/>
      <c r="Q17" s="11">
        <f t="shared" ca="1" si="6"/>
        <v>65363.892180178453</v>
      </c>
      <c r="R17" s="17">
        <f t="shared" ca="1" si="4"/>
        <v>65363.892180178453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0.93800000000000006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0.90582477584162313</v>
      </c>
      <c r="J18" s="39">
        <f ca="1">I18</f>
        <v>0.90582477584162313</v>
      </c>
      <c r="K18" s="40">
        <f ca="1">1-(-K13)/K17</f>
        <v>0.8864838216790708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F3" sqref="F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6398.2690953003921</v>
      </c>
      <c r="D2" s="9">
        <f ca="1">Q4/parameters!$B$3</f>
        <v>1435.0407567676361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7833.3098520680287</v>
      </c>
      <c r="M2" s="17"/>
      <c r="N2" s="17">
        <f ca="1">Q2-(L2+O2+P2)</f>
        <v>0</v>
      </c>
      <c r="O2" s="11" cm="1">
        <f t="array" aca="1" ref="O2" ca="1">INDIRECT("'data'!$F$" &amp; $A$1)</f>
        <v>26195.65</v>
      </c>
      <c r="P2" s="13">
        <f ca="1">IF(-(L2-Q2+O2)&lt;0, -(L2-Q2+O2), 0)</f>
        <v>-8128.9598520680302</v>
      </c>
      <c r="Q2" s="17" cm="1">
        <f t="array" aca="1" ref="Q2" ca="1">INDIRECT("'data'!$D$" &amp; $A$1)</f>
        <v>25900</v>
      </c>
      <c r="R2" s="17">
        <f ca="1">SUM(L2:P2)</f>
        <v>25900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6374.3567164179103</v>
      </c>
      <c r="G3" s="14">
        <f ca="1">Q3-O3-P3-F3</f>
        <v>16.678283582089534</v>
      </c>
      <c r="H3" s="14"/>
      <c r="I3" s="14"/>
      <c r="J3" s="14"/>
      <c r="K3" s="13"/>
      <c r="L3" s="16">
        <f t="shared" ca="1" si="0"/>
        <v>6391.0349999999999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19.844999999999999</v>
      </c>
      <c r="P3" s="13" cm="1">
        <f t="array" aca="1" ref="P3" ca="1">-INDIRECT("'data'!$I$" &amp; $A$1)*parameters!$B$13</f>
        <v>-52.919999999999995</v>
      </c>
      <c r="Q3" s="16" cm="1">
        <f t="array" aca="1" ref="Q3" ca="1">INDIRECT("'data'!$G$" &amp; $A$1)*parameters!$B$13</f>
        <v>6357.96</v>
      </c>
      <c r="R3" s="16">
        <f t="shared" ref="R3:R10" ca="1" si="2">SUM(L3:P3)</f>
        <v>6357.96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1384.6</v>
      </c>
      <c r="H4" s="14"/>
      <c r="I4" s="14"/>
      <c r="J4" s="14"/>
      <c r="K4" s="13"/>
      <c r="L4" s="16">
        <f t="shared" ca="1" si="0"/>
        <v>1384.6</v>
      </c>
      <c r="M4" s="16"/>
      <c r="N4" s="16">
        <f t="shared" ca="1" si="1"/>
        <v>0</v>
      </c>
      <c r="O4" s="11" cm="1">
        <f t="array" aca="1" ref="O4" ca="1">INDIRECT("'data'!$K$" &amp; $A$1)*parameters!$B$14</f>
        <v>78.2</v>
      </c>
      <c r="P4" s="13" cm="1">
        <f t="array" aca="1" ref="P4" ca="1">-INDIRECT("'data'!$L$" &amp; $A$1)*parameters!$B$14</f>
        <v>-36.800000000000004</v>
      </c>
      <c r="Q4" s="16" cm="1">
        <f t="array" aca="1" ref="Q4" ca="1">INDIRECT("'data'!$J$" &amp; $A$1)*parameters!$B$14</f>
        <v>1426</v>
      </c>
      <c r="R4" s="16">
        <f t="shared" ca="1" si="2"/>
        <v>1426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Q6/parameters!$B$5*21%</f>
        <v>1694.4492537313433</v>
      </c>
      <c r="G5" s="14">
        <f ca="1">Q7/parameters!$B$7-(G3+G4)</f>
        <v>3726.0571396154023</v>
      </c>
      <c r="H5" s="14"/>
      <c r="I5" s="14"/>
      <c r="J5" s="14"/>
      <c r="K5" s="13"/>
      <c r="L5" s="16">
        <f t="shared" ca="1" si="0"/>
        <v>5420.5063933467454</v>
      </c>
      <c r="M5" s="16"/>
      <c r="N5" s="16"/>
      <c r="O5" s="11" cm="1">
        <f t="array" aca="1" ref="O5" ca="1">INDIRECT("'data'!$M$" &amp; $A$1)*parameters!$B$15</f>
        <v>4419.8</v>
      </c>
      <c r="P5" s="13" cm="1">
        <f t="array" aca="1" ref="P5" ca="1">-INDIRECT("'data'!$N$" &amp; $A$1)*parameters!$B$15</f>
        <v>-1489.6</v>
      </c>
      <c r="Q5" s="16">
        <f ca="1">SUM(L5:P5)</f>
        <v>8350.7063933467452</v>
      </c>
      <c r="R5" s="16">
        <f t="shared" ca="1" si="2"/>
        <v>8350.7063933467452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7568.54</v>
      </c>
      <c r="I6" s="14"/>
      <c r="J6" s="14"/>
      <c r="K6" s="13"/>
      <c r="L6" s="16">
        <f t="shared" ca="1" si="0"/>
        <v>7568.54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7568.54</v>
      </c>
      <c r="R6" s="16">
        <f t="shared" ca="1" si="2"/>
        <v>7568.54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4906.8599999999997</v>
      </c>
      <c r="I7" s="14"/>
      <c r="J7" s="14"/>
      <c r="K7" s="13"/>
      <c r="L7" s="16">
        <f t="shared" ca="1" si="0"/>
        <v>4906.8599999999997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4906.8599999999997</v>
      </c>
      <c r="R7" s="16">
        <f t="shared" ca="1" si="2"/>
        <v>4906.8599999999997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2145.2756867008861</v>
      </c>
      <c r="J8" s="14">
        <f ca="1">Q10/J18</f>
        <v>10497.704313299113</v>
      </c>
      <c r="K8" s="13"/>
      <c r="L8" s="16">
        <f t="shared" ca="1" si="0"/>
        <v>12642.98</v>
      </c>
      <c r="M8" s="16"/>
      <c r="N8" s="16">
        <f t="shared" ca="1" si="3"/>
        <v>0</v>
      </c>
      <c r="O8" s="11" cm="1">
        <f t="array" aca="1" ref="O8" ca="1">INDIRECT("'data'!$R$" &amp; $A$1)*parameters!$B$15</f>
        <v>378.28</v>
      </c>
      <c r="P8" s="13" cm="1">
        <f t="array" aca="1" ref="P8" ca="1">-INDIRECT("'data'!$S$" &amp; $A$1)*parameters!$B$15</f>
        <v>-545.86</v>
      </c>
      <c r="Q8" s="16">
        <f ca="1">SUM(Q6:Q7)</f>
        <v>12475.4</v>
      </c>
      <c r="R8" s="16">
        <f t="shared" ca="1" si="2"/>
        <v>12475.4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3392.76</v>
      </c>
      <c r="L9" s="16">
        <f t="shared" ca="1" si="0"/>
        <v>3392.76</v>
      </c>
      <c r="M9" s="16"/>
      <c r="N9" s="16">
        <f t="shared" ca="1" si="3"/>
        <v>0</v>
      </c>
      <c r="O9" s="11" cm="1">
        <f t="array" aca="1" ref="O9" ca="1">INDIRECT("'data'!$U$" &amp; $A$1)*parameters!$B$15</f>
        <v>1490.58</v>
      </c>
      <c r="P9" s="13" cm="1">
        <f t="array" aca="1" ref="P9" ca="1">-INDIRECT("'data'!$V$" &amp; $A$1)*parameters!$B$15</f>
        <v>-2960.58</v>
      </c>
      <c r="Q9" s="16" cm="1">
        <f t="array" aca="1" ref="Q9" ca="1">INDIRECT("'data'!$T$" &amp; $A$1)*parameters!$B$15</f>
        <v>1922.76</v>
      </c>
      <c r="R9" s="16">
        <f t="shared" ca="1" si="2"/>
        <v>1922.7600000000002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10673.04477951636</v>
      </c>
      <c r="L10" s="16">
        <f t="shared" ca="1" si="0"/>
        <v>10673.04477951636</v>
      </c>
      <c r="M10" s="16"/>
      <c r="N10" s="16">
        <f t="shared" ca="1" si="3"/>
        <v>0</v>
      </c>
      <c r="O10" s="11" cm="1">
        <f t="array" aca="1" ref="O10" ca="1">INDIRECT("'data'!$X$" &amp; $A$1)*parameters!$B$15</f>
        <v>3190.88</v>
      </c>
      <c r="P10" s="13" cm="1">
        <f t="array" aca="1" ref="P10" ca="1">-INDIRECT("'data'!$Y$" &amp; $A$1)*parameters!$B$15</f>
        <v>-4455.08</v>
      </c>
      <c r="Q10" s="16" cm="1">
        <f t="array" aca="1" ref="Q10" ca="1">INDIRECT("'data'!$W$" &amp; $A$1)*parameters!$B$15</f>
        <v>9408.8447795163593</v>
      </c>
      <c r="R10" s="16">
        <f t="shared" ca="1" si="2"/>
        <v>9408.8447795163611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18662.552910384071</v>
      </c>
      <c r="N11" s="19"/>
      <c r="O11" s="21" cm="1">
        <f t="array" aca="1" ref="O11" ca="1">INDIRECT("'data'!$Z$" &amp; $A$1)*parameters!$B$15</f>
        <v>5706.54</v>
      </c>
      <c r="P11" s="27" cm="1">
        <f t="array" aca="1" ref="P11" ca="1">-INDIRECT("'data'!$AA$" &amp; $A$1)*parameters!$B$15</f>
        <v>-12001.08</v>
      </c>
      <c r="Q11" s="16">
        <f ca="1">K9*parameters!$B$10+K10*parameters!$B$11</f>
        <v>12368.01291038407</v>
      </c>
      <c r="R11" s="16">
        <f t="shared" ref="R11:R17" ca="1" si="4">SUM(L11:P11)</f>
        <v>12368.012910384072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-40.309095300392073</v>
      </c>
      <c r="D12" s="9">
        <f ca="1">-(D17-Q4)</f>
        <v>-9.0407567676361396</v>
      </c>
      <c r="E12" s="9">
        <f ca="1">-(E17-Q5)</f>
        <v>-1032.1097789529686</v>
      </c>
      <c r="F12" s="9">
        <f ca="1">-(F17-Q6)</f>
        <v>-500.26597014925392</v>
      </c>
      <c r="G12" s="9">
        <f ca="1">-(G17-Q7)</f>
        <v>-220.47542319749209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-1802.2010243677428</v>
      </c>
      <c r="M12" s="17"/>
      <c r="N12" s="17"/>
      <c r="O12" s="10"/>
      <c r="P12" s="12"/>
      <c r="Q12" s="9">
        <f t="shared" ref="Q12:Q17" ca="1" si="6">SUM(L12:P12)</f>
        <v>-1802.2010243677428</v>
      </c>
      <c r="R12" s="17">
        <f t="shared" ca="1" si="4"/>
        <v>-1802.2010243677428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-222.51568670088614</v>
      </c>
      <c r="J13" s="14">
        <f ca="1">-(J17-Q10)</f>
        <v>-1088.8595337827537</v>
      </c>
      <c r="K13" s="13">
        <f ca="1">-(K17-Q11)</f>
        <v>-1697.7918691322902</v>
      </c>
      <c r="L13" s="14">
        <f t="shared" ca="1" si="5"/>
        <v>-3009.1670896159303</v>
      </c>
      <c r="M13" s="16">
        <f ca="1">-E15</f>
        <v>-6373.6490826837835</v>
      </c>
      <c r="N13" s="16"/>
      <c r="O13" s="11"/>
      <c r="P13" s="13"/>
      <c r="Q13" s="14">
        <f t="shared" ca="1" si="6"/>
        <v>-9382.8161722997138</v>
      </c>
      <c r="R13" s="16">
        <f t="shared" ca="1" si="4"/>
        <v>-9382.8161722997138</v>
      </c>
    </row>
    <row r="14" spans="1:20">
      <c r="A14" s="18" t="s">
        <v>78</v>
      </c>
      <c r="B14" s="11"/>
      <c r="C14" s="14"/>
      <c r="D14" s="14"/>
      <c r="E14" s="14">
        <f ca="1">-(I13+J13)-K13</f>
        <v>3009.1670896159303</v>
      </c>
      <c r="F14" s="14"/>
      <c r="G14" s="14"/>
      <c r="H14" s="14"/>
      <c r="I14" s="14"/>
      <c r="J14" s="14"/>
      <c r="K14" s="13"/>
      <c r="L14" s="14">
        <f t="shared" ca="1" si="5"/>
        <v>3009.1670896159303</v>
      </c>
      <c r="M14" s="16"/>
      <c r="N14" s="16"/>
      <c r="O14" s="11"/>
      <c r="P14" s="13"/>
      <c r="Q14" s="14">
        <f t="shared" ca="1" si="6"/>
        <v>3009.1670896159303</v>
      </c>
      <c r="R14" s="16">
        <f t="shared" ca="1" si="4"/>
        <v>3009.1670896159303</v>
      </c>
    </row>
    <row r="15" spans="1:20">
      <c r="A15" s="18" t="s">
        <v>79</v>
      </c>
      <c r="B15" s="11"/>
      <c r="C15" s="14"/>
      <c r="D15" s="14"/>
      <c r="E15" s="14">
        <f ca="1">E17-E14</f>
        <v>6373.6490826837835</v>
      </c>
      <c r="F15" s="14"/>
      <c r="G15" s="14"/>
      <c r="H15" s="14"/>
      <c r="I15" s="14"/>
      <c r="J15" s="14"/>
      <c r="K15" s="13"/>
      <c r="L15" s="14">
        <f t="shared" ca="1" si="5"/>
        <v>6373.6490826837835</v>
      </c>
      <c r="M15" s="16"/>
      <c r="N15" s="16"/>
      <c r="O15" s="11"/>
      <c r="P15" s="13"/>
      <c r="Q15" s="14">
        <f t="shared" ca="1" si="6"/>
        <v>6373.6490826837835</v>
      </c>
      <c r="R15" s="16">
        <f t="shared" ca="1" si="4"/>
        <v>6373.6490826837835</v>
      </c>
    </row>
    <row r="16" spans="1:20">
      <c r="A16" s="30" t="s">
        <v>89</v>
      </c>
      <c r="B16" s="21">
        <f ca="1">Q2</f>
        <v>25900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25900</v>
      </c>
      <c r="M16" s="19"/>
      <c r="N16" s="19"/>
      <c r="O16" s="21"/>
      <c r="P16" s="27"/>
      <c r="Q16" s="22">
        <f t="shared" ca="1" si="6"/>
        <v>25900</v>
      </c>
      <c r="R16" s="19">
        <f t="shared" ca="1" si="4"/>
        <v>25900</v>
      </c>
    </row>
    <row r="17" spans="1:18">
      <c r="A17" s="29" t="s">
        <v>88</v>
      </c>
      <c r="B17" s="9">
        <f ca="1">B16</f>
        <v>25900</v>
      </c>
      <c r="C17" s="9">
        <f ca="1">SUM(C$2:C$11)</f>
        <v>6398.2690953003921</v>
      </c>
      <c r="D17" s="9">
        <f ca="1">SUM(D$2:D$11)</f>
        <v>1435.0407567676361</v>
      </c>
      <c r="E17" s="9">
        <f ca="1">$Q$5/parameters!$B$4</f>
        <v>9382.8161722997138</v>
      </c>
      <c r="F17" s="9">
        <f t="shared" ref="F17:K17" ca="1" si="7">SUM(F$2:F$11)</f>
        <v>8068.8059701492539</v>
      </c>
      <c r="G17" s="9">
        <f t="shared" ca="1" si="7"/>
        <v>5127.3354231974918</v>
      </c>
      <c r="H17" s="9">
        <f t="shared" ca="1" si="7"/>
        <v>12475.4</v>
      </c>
      <c r="I17" s="9">
        <f t="shared" ca="1" si="7"/>
        <v>2145.2756867008861</v>
      </c>
      <c r="J17" s="9">
        <f t="shared" ca="1" si="7"/>
        <v>10497.704313299113</v>
      </c>
      <c r="K17" s="9">
        <f t="shared" ca="1" si="7"/>
        <v>14065.80477951636</v>
      </c>
      <c r="L17" s="17">
        <f t="shared" ca="1" si="5"/>
        <v>95496.452197230828</v>
      </c>
      <c r="M17" s="17"/>
      <c r="N17" s="17"/>
      <c r="O17" s="9"/>
      <c r="P17" s="14"/>
      <c r="Q17" s="11">
        <f t="shared" ca="1" si="6"/>
        <v>95496.452197230828</v>
      </c>
      <c r="R17" s="17">
        <f t="shared" ca="1" si="4"/>
        <v>95496.452197230828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0.89627641422483939</v>
      </c>
      <c r="J18" s="39">
        <f ca="1">I18</f>
        <v>0.89627641422483939</v>
      </c>
      <c r="K18" s="40">
        <f ca="1">1-(-K13)/K17</f>
        <v>0.87929649986293446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S23"/>
  <sheetViews>
    <sheetView zoomScaleNormal="100" workbookViewId="0">
      <selection activeCell="G5" sqref="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1645.2148535775384</v>
      </c>
      <c r="D2" s="9">
        <f ca="1">Q4/parameters!$B$3</f>
        <v>143.50407567676359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1788.7189292543021</v>
      </c>
      <c r="M2" s="17"/>
      <c r="N2" s="17">
        <f ca="1">Q2-(L2+O2+P2)</f>
        <v>0</v>
      </c>
      <c r="O2" s="11" cm="1">
        <f t="array" aca="1" ref="O2" ca="1">INDIRECT("'data'!$F$" &amp; $A$1)</f>
        <v>2055.3000000000002</v>
      </c>
      <c r="P2" s="13">
        <f ca="1">IF(-(L2-Q2+O2)&lt;0, -(L2-Q2+O2), 0)</f>
        <v>-2074.0189292543023</v>
      </c>
      <c r="Q2" s="17" cm="1">
        <f t="array" aca="1" ref="Q2" ca="1">INDIRECT("'data'!$D$" &amp; $A$1)</f>
        <v>1770</v>
      </c>
      <c r="R2" s="17">
        <f ca="1">SUM(L2:P2)</f>
        <v>1770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1371.8641791044779</v>
      </c>
      <c r="G3" s="14">
        <f ca="1">Q3-O3-P3-F3</f>
        <v>14.450820895521929</v>
      </c>
      <c r="H3" s="14"/>
      <c r="I3" s="14"/>
      <c r="J3" s="14"/>
      <c r="K3" s="13"/>
      <c r="L3" s="16">
        <f t="shared" ca="1" si="0"/>
        <v>1386.3149999999998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270.27</v>
      </c>
      <c r="P3" s="13" cm="1">
        <f t="array" aca="1" ref="P3" ca="1">-INDIRECT("'data'!$I$" &amp; $A$1)*parameters!$B$13</f>
        <v>-21.734999999999999</v>
      </c>
      <c r="Q3" s="16" cm="1">
        <f t="array" aca="1" ref="Q3" ca="1">INDIRECT("'data'!$G$" &amp; $A$1)*parameters!$B$13</f>
        <v>1634.85</v>
      </c>
      <c r="R3" s="16">
        <f t="shared" ref="R3:R10" ca="1" si="2">SUM(L3:P3)</f>
        <v>1634.85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157.32</v>
      </c>
      <c r="H4" s="14"/>
      <c r="I4" s="14"/>
      <c r="J4" s="14"/>
      <c r="K4" s="13"/>
      <c r="L4" s="16">
        <f t="shared" ca="1" si="0"/>
        <v>157.32</v>
      </c>
      <c r="M4" s="16"/>
      <c r="N4" s="16">
        <f t="shared" ca="1" si="1"/>
        <v>0</v>
      </c>
      <c r="O4" s="11" cm="1">
        <f t="array" aca="1" ref="O4" ca="1">INDIRECT("'data'!$K$" &amp; $A$1)*parameters!$B$14</f>
        <v>19.32</v>
      </c>
      <c r="P4" s="13" cm="1">
        <f t="array" aca="1" ref="P4" ca="1">-INDIRECT("'data'!$L$" &amp; $A$1)*parameters!$B$14</f>
        <v>-34.04</v>
      </c>
      <c r="Q4" s="16" cm="1">
        <f t="array" aca="1" ref="Q4" ca="1">INDIRECT("'data'!$J$" &amp; $A$1)*parameters!$B$14</f>
        <v>142.6</v>
      </c>
      <c r="R4" s="16">
        <f t="shared" ca="1" si="2"/>
        <v>142.6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Q6/parameters!$B$5*31%</f>
        <v>616.34477611940304</v>
      </c>
      <c r="G5" s="14">
        <f ca="1">Q7/parameters!$B$7-(G3+G4)</f>
        <v>2335.0630349038511</v>
      </c>
      <c r="H5" s="14"/>
      <c r="I5" s="14"/>
      <c r="J5" s="14"/>
      <c r="K5" s="13"/>
      <c r="L5" s="16">
        <f t="shared" ca="1" si="0"/>
        <v>2951.407811023254</v>
      </c>
      <c r="M5" s="16"/>
      <c r="N5" s="48">
        <f ca="1">$E$14*parameters!$B$4-$P$5-$L$5-$O$5</f>
        <v>1462.0180177733316</v>
      </c>
      <c r="O5" s="11" cm="1">
        <f t="array" aca="1" ref="O5" ca="1">INDIRECT("'data'!$M$" &amp; $A$1)*parameters!$B$15</f>
        <v>41.16</v>
      </c>
      <c r="P5" s="13" cm="1">
        <f t="array" aca="1" ref="P5" ca="1">-INDIRECT("'data'!$N$" &amp; $A$1)*parameters!$B$15</f>
        <v>-2094.2599999999998</v>
      </c>
      <c r="Q5" s="16">
        <f ca="1">SUM(L5:P5)</f>
        <v>2360.3258287965859</v>
      </c>
      <c r="R5" s="16">
        <f t="shared" ca="1" si="2"/>
        <v>2360.3258287965859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1864.94</v>
      </c>
      <c r="I6" s="14"/>
      <c r="J6" s="14"/>
      <c r="K6" s="13"/>
      <c r="L6" s="16">
        <f t="shared" ca="1" si="0"/>
        <v>1864.94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1864.94</v>
      </c>
      <c r="R6" s="16">
        <f t="shared" ca="1" si="2"/>
        <v>1864.94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2399.04</v>
      </c>
      <c r="I7" s="14"/>
      <c r="J7" s="14"/>
      <c r="K7" s="13"/>
      <c r="L7" s="16">
        <f t="shared" ca="1" si="0"/>
        <v>2399.04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2399.04</v>
      </c>
      <c r="R7" s="16">
        <f t="shared" ca="1" si="2"/>
        <v>2399.04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3431.6058919114976</v>
      </c>
      <c r="J8" s="14">
        <f ca="1">Q10/J18</f>
        <v>4148.6941080885017</v>
      </c>
      <c r="K8" s="13"/>
      <c r="L8" s="16">
        <f t="shared" ca="1" si="0"/>
        <v>7580.2999999999993</v>
      </c>
      <c r="M8" s="16"/>
      <c r="N8" s="16">
        <f t="shared" ca="1" si="3"/>
        <v>0</v>
      </c>
      <c r="O8" s="11" cm="1">
        <f t="array" aca="1" ref="O8" ca="1">INDIRECT("'data'!$R$" &amp; $A$1)*parameters!$B$15</f>
        <v>306.74</v>
      </c>
      <c r="P8" s="13" cm="1">
        <f t="array" aca="1" ref="P8" ca="1">-INDIRECT("'data'!$S$" &amp; $A$1)*parameters!$B$15</f>
        <v>-3623.06</v>
      </c>
      <c r="Q8" s="16">
        <f ca="1">SUM(Q6:Q7)</f>
        <v>4263.9799999999996</v>
      </c>
      <c r="R8" s="16">
        <f t="shared" ca="1" si="2"/>
        <v>4263.9799999999996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4583.46</v>
      </c>
      <c r="L9" s="16">
        <f t="shared" ca="1" si="0"/>
        <v>4583.46</v>
      </c>
      <c r="M9" s="16"/>
      <c r="N9" s="16">
        <f t="shared" ca="1" si="3"/>
        <v>0</v>
      </c>
      <c r="O9" s="11" cm="1">
        <f t="array" aca="1" ref="O9" ca="1">INDIRECT("'data'!$U$" &amp; $A$1)*parameters!$B$15</f>
        <v>112.7</v>
      </c>
      <c r="P9" s="13" cm="1">
        <f t="array" aca="1" ref="P9" ca="1">-INDIRECT("'data'!$V$" &amp; $A$1)*parameters!$B$15</f>
        <v>-1868.86</v>
      </c>
      <c r="Q9" s="16" cm="1">
        <f t="array" aca="1" ref="Q9" ca="1">INDIRECT("'data'!$T$" &amp; $A$1)*parameters!$B$15</f>
        <v>2827.2999999999997</v>
      </c>
      <c r="R9" s="16">
        <f t="shared" ca="1" si="2"/>
        <v>2827.3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7443.9489615931725</v>
      </c>
      <c r="L10" s="16">
        <f t="shared" ca="1" si="0"/>
        <v>7443.9489615931725</v>
      </c>
      <c r="M10" s="16"/>
      <c r="N10" s="16">
        <f t="shared" ca="1" si="3"/>
        <v>0</v>
      </c>
      <c r="O10" s="11" cm="1">
        <f t="array" aca="1" ref="O10" ca="1">INDIRECT("'data'!$X$" &amp; $A$1)*parameters!$B$15</f>
        <v>439.03999999999996</v>
      </c>
      <c r="P10" s="13" cm="1">
        <f t="array" aca="1" ref="P10" ca="1">-INDIRECT("'data'!$Y$" &amp; $A$1)*parameters!$B$15</f>
        <v>-4464.88</v>
      </c>
      <c r="Q10" s="16" cm="1">
        <f t="array" aca="1" ref="Q10" ca="1">INDIRECT("'data'!$W$" &amp; $A$1)*parameters!$B$15</f>
        <v>3418.1089615931724</v>
      </c>
      <c r="R10" s="16">
        <f t="shared" ca="1" si="2"/>
        <v>3418.1089615931724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13568.908506970129</v>
      </c>
      <c r="N11" s="19"/>
      <c r="O11" s="21" cm="1">
        <f t="array" aca="1" ref="O11" ca="1">INDIRECT("'data'!$Z$" &amp; $A$1)*parameters!$B$15</f>
        <v>1675.8</v>
      </c>
      <c r="P11" s="27" cm="1">
        <f t="array" aca="1" ref="P11" ca="1">-INDIRECT("'data'!$AA$" &amp; $A$1)*parameters!$B$15</f>
        <v>-4534.46</v>
      </c>
      <c r="Q11" s="16">
        <f ca="1">K9*parameters!$B$10+K10*parameters!$B$11</f>
        <v>10710.248506970129</v>
      </c>
      <c r="R11" s="16">
        <f t="shared" ref="R11:R17" ca="1" si="4">SUM(L11:P11)</f>
        <v>10710.248506970129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-10.364853577538497</v>
      </c>
      <c r="D12" s="9">
        <f ca="1">-(D17-Q4)</f>
        <v>-0.9040756767635969</v>
      </c>
      <c r="E12" s="9">
        <f ca="1">-(E17-Q5)</f>
        <v>-291.7256642332859</v>
      </c>
      <c r="F12" s="9">
        <f ca="1">-(F17-Q6)</f>
        <v>-123.26895522388077</v>
      </c>
      <c r="G12" s="9">
        <f ca="1">-(G17-Q7)</f>
        <v>-107.79385579937298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-534.05740451084171</v>
      </c>
      <c r="M12" s="17"/>
      <c r="N12" s="17"/>
      <c r="O12" s="10"/>
      <c r="P12" s="12"/>
      <c r="Q12" s="9">
        <f t="shared" ref="Q12:Q17" ca="1" si="6">SUM(L12:P12)</f>
        <v>-534.05740451084171</v>
      </c>
      <c r="R12" s="17">
        <f t="shared" ca="1" si="4"/>
        <v>-534.05740451084171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-604.30589191149784</v>
      </c>
      <c r="J13" s="14">
        <f ca="1">-(J17-Q10)</f>
        <v>-730.58514649532935</v>
      </c>
      <c r="K13" s="13">
        <f ca="1">-(K17-Q11)</f>
        <v>-1317.1604546230446</v>
      </c>
      <c r="L13" s="14">
        <f t="shared" ca="1" si="5"/>
        <v>-2652.0514930298718</v>
      </c>
      <c r="M13" s="16">
        <f ca="1">-E15</f>
        <v>0</v>
      </c>
      <c r="N13" s="16"/>
      <c r="O13" s="11"/>
      <c r="P13" s="13"/>
      <c r="Q13" s="14">
        <f t="shared" ca="1" si="6"/>
        <v>-2652.0514930298718</v>
      </c>
      <c r="R13" s="16">
        <f t="shared" ca="1" si="4"/>
        <v>-2652.0514930298718</v>
      </c>
    </row>
    <row r="14" spans="1:19">
      <c r="A14" s="18" t="s">
        <v>78</v>
      </c>
      <c r="B14" s="11"/>
      <c r="C14" s="14"/>
      <c r="D14" s="14"/>
      <c r="E14" s="14">
        <f ca="1">-(I13+J13)-K13</f>
        <v>2652.0514930298718</v>
      </c>
      <c r="F14" s="14"/>
      <c r="G14" s="14"/>
      <c r="H14" s="14"/>
      <c r="I14" s="14"/>
      <c r="J14" s="14"/>
      <c r="K14" s="13"/>
      <c r="L14" s="14">
        <f t="shared" ca="1" si="5"/>
        <v>2652.0514930298718</v>
      </c>
      <c r="M14" s="16"/>
      <c r="N14" s="16"/>
      <c r="O14" s="11"/>
      <c r="P14" s="13"/>
      <c r="Q14" s="14">
        <f t="shared" ca="1" si="6"/>
        <v>2652.0514930298718</v>
      </c>
      <c r="R14" s="16">
        <f t="shared" ca="1" si="4"/>
        <v>2652.0514930298718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1770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1770</v>
      </c>
      <c r="M16" s="19"/>
      <c r="N16" s="19"/>
      <c r="O16" s="21"/>
      <c r="P16" s="27"/>
      <c r="Q16" s="22">
        <f t="shared" ca="1" si="6"/>
        <v>1770</v>
      </c>
      <c r="R16" s="19">
        <f t="shared" ca="1" si="4"/>
        <v>1770</v>
      </c>
    </row>
    <row r="17" spans="1:18">
      <c r="A17" s="29" t="s">
        <v>88</v>
      </c>
      <c r="B17" s="9">
        <f ca="1">B16</f>
        <v>1770</v>
      </c>
      <c r="C17" s="9">
        <f ca="1">SUM(C$2:C$11)</f>
        <v>1645.2148535775384</v>
      </c>
      <c r="D17" s="9">
        <f ca="1">SUM(D$2:D$11)</f>
        <v>143.50407567676359</v>
      </c>
      <c r="E17" s="9">
        <f ca="1">$Q$5/parameters!$B$4</f>
        <v>2652.0514930298718</v>
      </c>
      <c r="F17" s="9">
        <f t="shared" ref="F17:K17" ca="1" si="7">SUM(F$2:F$11)</f>
        <v>1988.2089552238808</v>
      </c>
      <c r="G17" s="9">
        <f t="shared" ca="1" si="7"/>
        <v>2506.8338557993729</v>
      </c>
      <c r="H17" s="9">
        <f t="shared" ca="1" si="7"/>
        <v>4263.9799999999996</v>
      </c>
      <c r="I17" s="9">
        <f t="shared" ca="1" si="7"/>
        <v>3431.6058919114976</v>
      </c>
      <c r="J17" s="9">
        <f t="shared" ca="1" si="7"/>
        <v>4148.6941080885017</v>
      </c>
      <c r="K17" s="9">
        <f t="shared" ca="1" si="7"/>
        <v>12027.408961593173</v>
      </c>
      <c r="L17" s="17">
        <f t="shared" ca="1" si="5"/>
        <v>34577.502194900604</v>
      </c>
      <c r="M17" s="17"/>
      <c r="N17" s="17"/>
      <c r="O17" s="9"/>
      <c r="P17" s="14"/>
      <c r="Q17" s="11">
        <f t="shared" ca="1" si="6"/>
        <v>34577.502194900604</v>
      </c>
      <c r="R17" s="17">
        <f t="shared" ca="1" si="4"/>
        <v>34577.502194900604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0.82389997250678371</v>
      </c>
      <c r="J18" s="39">
        <f ca="1">I18</f>
        <v>0.82389997250678371</v>
      </c>
      <c r="K18" s="40">
        <f ca="1">1-(-K13)/K17</f>
        <v>0.89048676578396058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>
      <selection activeCell="G4" sqref="G4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4409.7464023347084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4409.7464023347084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-4409.7464023347084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4235.1044776119397</v>
      </c>
      <c r="G3" s="14">
        <f ca="1">Q3-O3-P3-F3</f>
        <v>310.34552238806009</v>
      </c>
      <c r="H3" s="14"/>
      <c r="I3" s="14"/>
      <c r="J3" s="14"/>
      <c r="K3" s="13"/>
      <c r="L3" s="16">
        <f t="shared" ca="1" si="0"/>
        <v>4545.45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-163.48499999999999</v>
      </c>
      <c r="Q3" s="16" cm="1">
        <f t="array" aca="1" ref="Q3" ca="1">INDIRECT("'data'!$G$" &amp; $A$1)*parameters!$B$13</f>
        <v>4381.9650000000001</v>
      </c>
      <c r="R3" s="16">
        <f t="shared" ref="R3:R10" ca="1" si="2">SUM(L3:P3)</f>
        <v>4381.9650000000001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1058.7761194029852</v>
      </c>
      <c r="G5" s="14">
        <f ca="1">Q7/parameters!$B$7-(G3+G4)</f>
        <v>3265.5792425022219</v>
      </c>
      <c r="H5" s="14"/>
      <c r="I5" s="14"/>
      <c r="J5" s="14"/>
      <c r="K5" s="13"/>
      <c r="L5" s="16">
        <f t="shared" ca="1" si="0"/>
        <v>4324.3553619052072</v>
      </c>
      <c r="M5" s="16"/>
      <c r="N5" s="16"/>
      <c r="O5" s="11" cm="1">
        <f t="array" aca="1" ref="O5" ca="1">INDIRECT("'data'!$M$" &amp; $A$1)*parameters!$B$15</f>
        <v>1964.8999999999999</v>
      </c>
      <c r="P5" s="13" cm="1">
        <f t="array" aca="1" ref="P5" ca="1">-INDIRECT("'data'!$N$" &amp; $A$1)*parameters!$B$15</f>
        <v>-471.38</v>
      </c>
      <c r="Q5" s="16">
        <f ca="1">SUM(L5:P5)</f>
        <v>5817.8753619052068</v>
      </c>
      <c r="R5" s="16">
        <f t="shared" ca="1" si="2"/>
        <v>5817.8753619052068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4965.66</v>
      </c>
      <c r="I6" s="14"/>
      <c r="J6" s="14"/>
      <c r="K6" s="13"/>
      <c r="L6" s="16">
        <f t="shared" ca="1" si="0"/>
        <v>4965.66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4965.66</v>
      </c>
      <c r="R6" s="16">
        <f t="shared" ca="1" si="2"/>
        <v>4965.66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3422.16</v>
      </c>
      <c r="I7" s="14"/>
      <c r="J7" s="14"/>
      <c r="K7" s="13"/>
      <c r="L7" s="16">
        <f t="shared" ca="1" si="0"/>
        <v>3422.16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3422.16</v>
      </c>
      <c r="R7" s="16">
        <f t="shared" ca="1" si="2"/>
        <v>3422.16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5168.2053857211304</v>
      </c>
      <c r="J8" s="14">
        <f ca="1">Q10/J18</f>
        <v>2906.9946142788685</v>
      </c>
      <c r="K8" s="13"/>
      <c r="L8" s="16">
        <f t="shared" ca="1" si="0"/>
        <v>8075.1999999999989</v>
      </c>
      <c r="M8" s="16"/>
      <c r="N8" s="16">
        <f t="shared" ca="1" si="3"/>
        <v>0</v>
      </c>
      <c r="O8" s="11" cm="1">
        <f t="array" aca="1" ref="O8" ca="1">INDIRECT("'data'!$R$" &amp; $A$1)*parameters!$B$15</f>
        <v>705.6</v>
      </c>
      <c r="P8" s="13" cm="1">
        <f t="array" aca="1" ref="P8" ca="1">-INDIRECT("'data'!$S$" &amp; $A$1)*parameters!$B$15</f>
        <v>-392.98</v>
      </c>
      <c r="Q8" s="16">
        <f ca="1">SUM(Q6:Q7)</f>
        <v>8387.82</v>
      </c>
      <c r="R8" s="16">
        <f t="shared" ca="1" si="2"/>
        <v>8387.82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4449.2000000000007</v>
      </c>
      <c r="L9" s="16">
        <f t="shared" ca="1" si="0"/>
        <v>4449.2000000000007</v>
      </c>
      <c r="M9" s="16"/>
      <c r="N9" s="16">
        <f t="shared" ca="1" si="3"/>
        <v>0</v>
      </c>
      <c r="O9" s="11" cm="1">
        <f t="array" aca="1" ref="O9" ca="1">INDIRECT("'data'!$U$" &amp; $A$1)*parameters!$B$15</f>
        <v>2438.2399999999998</v>
      </c>
      <c r="P9" s="13" cm="1">
        <f t="array" aca="1" ref="P9" ca="1">-INDIRECT("'data'!$V$" &amp; $A$1)*parameters!$B$15</f>
        <v>-2139.34</v>
      </c>
      <c r="Q9" s="16" cm="1">
        <f t="array" aca="1" ref="Q9" ca="1">INDIRECT("'data'!$T$" &amp; $A$1)*parameters!$B$15</f>
        <v>4748.1000000000004</v>
      </c>
      <c r="R9" s="16">
        <f t="shared" ca="1" si="2"/>
        <v>4748.1000000000004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7127.7351635846371</v>
      </c>
      <c r="L10" s="16">
        <f t="shared" ca="1" si="0"/>
        <v>7127.7351635846371</v>
      </c>
      <c r="M10" s="16"/>
      <c r="N10" s="16">
        <f t="shared" ca="1" si="3"/>
        <v>0</v>
      </c>
      <c r="O10" s="11" cm="1">
        <f t="array" aca="1" ref="O10" ca="1">INDIRECT("'data'!$X$" &amp; $A$1)*parameters!$B$15</f>
        <v>1280.8599999999999</v>
      </c>
      <c r="P10" s="13" cm="1">
        <f t="array" aca="1" ref="P10" ca="1">-INDIRECT("'data'!$Y$" &amp; $A$1)*parameters!$B$15</f>
        <v>-5737.9</v>
      </c>
      <c r="Q10" s="16" cm="1">
        <f t="array" aca="1" ref="Q10" ca="1">INDIRECT("'data'!$W$" &amp; $A$1)*parameters!$B$15</f>
        <v>2670.6951635846372</v>
      </c>
      <c r="R10" s="16">
        <f t="shared" ca="1" si="2"/>
        <v>2670.6951635846381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8108.0802406827879</v>
      </c>
      <c r="N11" s="19"/>
      <c r="O11" s="21" cm="1">
        <f t="array" aca="1" ref="O11" ca="1">INDIRECT("'data'!$Z$" &amp; $A$1)*parameters!$B$15</f>
        <v>8920.94</v>
      </c>
      <c r="P11" s="27" cm="1">
        <f t="array" aca="1" ref="P11" ca="1">-INDIRECT("'data'!$AA$" &amp; $A$1)*parameters!$B$15</f>
        <v>-6716.92</v>
      </c>
      <c r="Q11" s="16">
        <f ca="1">K9*parameters!$B$10+K10*parameters!$B$11</f>
        <v>10312.100240682788</v>
      </c>
      <c r="R11" s="16">
        <f t="shared" ref="R11:R17" ca="1" si="4">SUM(L11:P11)</f>
        <v>10312.100240682788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-27.781402334708218</v>
      </c>
      <c r="D12" s="9">
        <f ca="1">-(D17-Q4)</f>
        <v>0</v>
      </c>
      <c r="E12" s="9">
        <f ca="1">-(E17-Q5)</f>
        <v>-719.06324697704804</v>
      </c>
      <c r="F12" s="9">
        <f ca="1">-(F17-Q6)</f>
        <v>-328.22059701492526</v>
      </c>
      <c r="G12" s="9">
        <f ca="1">-(G17-Q7)</f>
        <v>-153.76476489028209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-1228.8300112169636</v>
      </c>
      <c r="M12" s="17"/>
      <c r="N12" s="17"/>
      <c r="O12" s="10"/>
      <c r="P12" s="12"/>
      <c r="Q12" s="9">
        <f t="shared" ref="Q12:Q17" ca="1" si="6">SUM(L12:P12)</f>
        <v>-1228.8300112169636</v>
      </c>
      <c r="R12" s="17">
        <f t="shared" ca="1" si="4"/>
        <v>-1228.8300112169636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-420.10538572113001</v>
      </c>
      <c r="J13" s="14">
        <f ca="1">-(J17-Q10)</f>
        <v>-236.29945069423138</v>
      </c>
      <c r="K13" s="13">
        <f ca="1">-(K17-Q11)</f>
        <v>-1264.8349229018495</v>
      </c>
      <c r="L13" s="14">
        <f t="shared" ca="1" si="5"/>
        <v>-1921.2397593172109</v>
      </c>
      <c r="M13" s="16">
        <f ca="1">-E15</f>
        <v>-4615.6988495650439</v>
      </c>
      <c r="N13" s="16"/>
      <c r="O13" s="11"/>
      <c r="P13" s="13"/>
      <c r="Q13" s="14">
        <f t="shared" ca="1" si="6"/>
        <v>-6536.9386088822548</v>
      </c>
      <c r="R13" s="16">
        <f t="shared" ca="1" si="4"/>
        <v>-6536.9386088822548</v>
      </c>
    </row>
    <row r="14" spans="1:20">
      <c r="A14" s="18" t="s">
        <v>78</v>
      </c>
      <c r="B14" s="11"/>
      <c r="C14" s="14"/>
      <c r="D14" s="14"/>
      <c r="E14" s="14">
        <f ca="1">-(I13+J13)-K13</f>
        <v>1921.2397593172109</v>
      </c>
      <c r="F14" s="14"/>
      <c r="G14" s="14"/>
      <c r="H14" s="14"/>
      <c r="I14" s="14"/>
      <c r="J14" s="14"/>
      <c r="K14" s="13"/>
      <c r="L14" s="14">
        <f t="shared" ca="1" si="5"/>
        <v>1921.2397593172109</v>
      </c>
      <c r="M14" s="16"/>
      <c r="N14" s="16"/>
      <c r="O14" s="11"/>
      <c r="P14" s="13"/>
      <c r="Q14" s="14">
        <f t="shared" ca="1" si="6"/>
        <v>1921.2397593172109</v>
      </c>
      <c r="R14" s="16">
        <f t="shared" ca="1" si="4"/>
        <v>1921.2397593172109</v>
      </c>
    </row>
    <row r="15" spans="1:20">
      <c r="A15" s="18" t="s">
        <v>79</v>
      </c>
      <c r="B15" s="11"/>
      <c r="C15" s="14"/>
      <c r="D15" s="14"/>
      <c r="E15" s="14">
        <f ca="1">E17-E14</f>
        <v>4615.6988495650439</v>
      </c>
      <c r="F15" s="14"/>
      <c r="G15" s="14"/>
      <c r="H15" s="14"/>
      <c r="I15" s="14"/>
      <c r="J15" s="14"/>
      <c r="K15" s="13"/>
      <c r="L15" s="14">
        <f t="shared" ca="1" si="5"/>
        <v>4615.6988495650439</v>
      </c>
      <c r="M15" s="16"/>
      <c r="N15" s="16"/>
      <c r="O15" s="11"/>
      <c r="P15" s="13"/>
      <c r="Q15" s="14">
        <f t="shared" ca="1" si="6"/>
        <v>4615.6988495650439</v>
      </c>
      <c r="R15" s="16">
        <f t="shared" ca="1" si="4"/>
        <v>4615.6988495650439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4409.7464023347084</v>
      </c>
      <c r="D17" s="9">
        <f ca="1">SUM(D$2:D$11)</f>
        <v>0</v>
      </c>
      <c r="E17" s="9">
        <f ca="1">$Q$5/parameters!$B$4</f>
        <v>6536.9386088822548</v>
      </c>
      <c r="F17" s="9">
        <f t="shared" ref="F17:K17" ca="1" si="7">SUM(F$2:F$11)</f>
        <v>5293.8805970149251</v>
      </c>
      <c r="G17" s="9">
        <f t="shared" ca="1" si="7"/>
        <v>3575.9247648902819</v>
      </c>
      <c r="H17" s="9">
        <f t="shared" ca="1" si="7"/>
        <v>8387.82</v>
      </c>
      <c r="I17" s="9">
        <f t="shared" ca="1" si="7"/>
        <v>5168.2053857211304</v>
      </c>
      <c r="J17" s="9">
        <f t="shared" ca="1" si="7"/>
        <v>2906.9946142788685</v>
      </c>
      <c r="K17" s="9">
        <f t="shared" ca="1" si="7"/>
        <v>11576.935163584638</v>
      </c>
      <c r="L17" s="17">
        <f t="shared" ca="1" si="5"/>
        <v>47856.445536706808</v>
      </c>
      <c r="M17" s="17"/>
      <c r="N17" s="17"/>
      <c r="O17" s="9"/>
      <c r="P17" s="14"/>
      <c r="Q17" s="11">
        <f t="shared" ca="1" si="6"/>
        <v>47856.445536706808</v>
      </c>
      <c r="R17" s="17">
        <f t="shared" ca="1" si="4"/>
        <v>47856.445536706808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0.91871348865472535</v>
      </c>
      <c r="J18" s="39">
        <f ca="1">I18</f>
        <v>0.91871348865472535</v>
      </c>
      <c r="K18" s="40">
        <f ca="1">1-(-K13)/K17</f>
        <v>0.89074527022657946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T23"/>
  <sheetViews>
    <sheetView tabSelected="1" workbookViewId="0">
      <selection activeCell="G4" sqref="G4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523.04518466337925</v>
      </c>
      <c r="D2" s="9">
        <f ca="1">Q4/parameters!$B$3</f>
        <v>2668.2499748415016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3191.2951595048808</v>
      </c>
      <c r="M2" s="17"/>
      <c r="N2" s="17">
        <f ca="1">Q2-(L2+O2+P2)</f>
        <v>0</v>
      </c>
      <c r="O2" s="11" cm="1">
        <f t="array" aca="1" ref="O2" ca="1">INDIRECT("'data'!$F$" &amp; $A$1)</f>
        <v>170.95000000000002</v>
      </c>
      <c r="P2" s="13">
        <f ca="1">IF(-(L2-Q2+O2)&lt;0, -(L2-Q2+O2), 0)</f>
        <v>-2312.2451595048806</v>
      </c>
      <c r="Q2" s="17" cm="1">
        <f t="array" aca="1" ref="Q2" ca="1">INDIRECT("'data'!$D$" &amp; $A$1)</f>
        <v>1050</v>
      </c>
      <c r="R2" s="17">
        <f ca="1">SUM(L2:P2)</f>
        <v>1050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430.44776119402985</v>
      </c>
      <c r="G3" s="14">
        <f ca="1">Q3-O3-P3-F3</f>
        <v>196.08723880597012</v>
      </c>
      <c r="H3" s="14"/>
      <c r="I3" s="14"/>
      <c r="J3" s="14"/>
      <c r="K3" s="13"/>
      <c r="L3" s="16">
        <f t="shared" ca="1" si="0"/>
        <v>626.53499999999997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-106.785</v>
      </c>
      <c r="Q3" s="16" cm="1">
        <f t="array" aca="1" ref="Q3" ca="1">INDIRECT("'data'!$G$" &amp; $A$1)*parameters!$B$13</f>
        <v>519.75</v>
      </c>
      <c r="R3" s="16">
        <f t="shared" ref="R3:R10" ca="1" si="2">SUM(L3:P3)</f>
        <v>519.75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38">
        <f ca="1">Q7/parameters!$B$7-G3-G5</f>
        <v>1358.7415906996366</v>
      </c>
      <c r="H4" s="14"/>
      <c r="I4" s="14"/>
      <c r="J4" s="14"/>
      <c r="K4" s="13"/>
      <c r="L4" s="16">
        <f t="shared" ca="1" si="0"/>
        <v>1358.7415906996366</v>
      </c>
      <c r="M4" s="16"/>
      <c r="N4" s="16">
        <f t="shared" ca="1" si="1"/>
        <v>1354.3384093003635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-61.64</v>
      </c>
      <c r="Q4" s="16" cm="1">
        <f t="array" aca="1" ref="Q4" ca="1">INDIRECT("'data'!$J$" &amp; $A$1)*parameters!$B$14</f>
        <v>2651.44</v>
      </c>
      <c r="R4" s="16">
        <f t="shared" ca="1" si="2"/>
        <v>2651.44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107.61194029850748</v>
      </c>
      <c r="G5" s="38">
        <f ca="1">E14*parameters!$B$4-O5-P5-F5</f>
        <v>4558.6507943188444</v>
      </c>
      <c r="H5" s="14"/>
      <c r="I5" s="14"/>
      <c r="J5" s="14"/>
      <c r="K5" s="13"/>
      <c r="L5" s="16">
        <f t="shared" ca="1" si="0"/>
        <v>4666.2627346173522</v>
      </c>
      <c r="M5" s="16"/>
      <c r="N5" s="16"/>
      <c r="O5" s="11" cm="1">
        <f t="array" aca="1" ref="O5" ca="1">INDIRECT("'data'!$M$" &amp; $A$1)*parameters!$B$15</f>
        <v>22.54</v>
      </c>
      <c r="P5" s="13" cm="1">
        <f t="array" aca="1" ref="P5" ca="1">-INDIRECT("'data'!$N$" &amp; $A$1)*parameters!$B$15</f>
        <v>-2911.58</v>
      </c>
      <c r="Q5" s="16">
        <f ca="1">SUM(L5:P5)</f>
        <v>1777.2227346173522</v>
      </c>
      <c r="R5" s="16">
        <f t="shared" ca="1" si="2"/>
        <v>1777.2227346173522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504.7</v>
      </c>
      <c r="I6" s="14"/>
      <c r="J6" s="14"/>
      <c r="K6" s="13"/>
      <c r="L6" s="16">
        <f t="shared" ca="1" si="0"/>
        <v>504.7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504.7</v>
      </c>
      <c r="R6" s="16">
        <f t="shared" ca="1" si="2"/>
        <v>504.7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5850.5999999999995</v>
      </c>
      <c r="I7" s="14"/>
      <c r="J7" s="14"/>
      <c r="K7" s="13"/>
      <c r="L7" s="16">
        <f t="shared" ca="1" si="0"/>
        <v>5850.5999999999995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5850.5999999999995</v>
      </c>
      <c r="R7" s="16">
        <f t="shared" ca="1" si="2"/>
        <v>5850.5999999999995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8328.2225862745818</v>
      </c>
      <c r="J8" s="14">
        <f ca="1">Q10/J18</f>
        <v>942.57741372541761</v>
      </c>
      <c r="K8" s="13"/>
      <c r="L8" s="16">
        <f t="shared" ca="1" si="0"/>
        <v>9270.7999999999993</v>
      </c>
      <c r="M8" s="16"/>
      <c r="N8" s="16">
        <f t="shared" ca="1" si="3"/>
        <v>0</v>
      </c>
      <c r="O8" s="11" cm="1">
        <f t="array" aca="1" ref="O8" ca="1">INDIRECT("'data'!$R$" &amp; $A$1)*parameters!$B$15</f>
        <v>107.8</v>
      </c>
      <c r="P8" s="13" cm="1">
        <f t="array" aca="1" ref="P8" ca="1">-INDIRECT("'data'!$S$" &amp; $A$1)*parameters!$B$15</f>
        <v>-3023.2999999999997</v>
      </c>
      <c r="Q8" s="16">
        <f ca="1">SUM(Q6:Q7)</f>
        <v>6355.2999999999993</v>
      </c>
      <c r="R8" s="16">
        <f t="shared" ca="1" si="2"/>
        <v>6355.2999999999993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8380.9599999999991</v>
      </c>
      <c r="L9" s="16">
        <f t="shared" ca="1" si="0"/>
        <v>8380.9599999999991</v>
      </c>
      <c r="M9" s="16"/>
      <c r="N9" s="16">
        <f t="shared" ca="1" si="3"/>
        <v>0</v>
      </c>
      <c r="O9" s="11" cm="1">
        <f t="array" aca="1" ref="O9" ca="1">INDIRECT("'data'!$U$" &amp; $A$1)*parameters!$B$15</f>
        <v>263.62</v>
      </c>
      <c r="P9" s="13" cm="1">
        <f t="array" aca="1" ref="P9" ca="1">-INDIRECT("'data'!$V$" &amp; $A$1)*parameters!$B$15</f>
        <v>-1502.34</v>
      </c>
      <c r="Q9" s="16" cm="1">
        <f t="array" aca="1" ref="Q9" ca="1">INDIRECT("'data'!$T$" &amp; $A$1)*parameters!$B$15</f>
        <v>7142.24</v>
      </c>
      <c r="R9" s="16">
        <f t="shared" ca="1" si="2"/>
        <v>7142.24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1241.5094452347084</v>
      </c>
      <c r="L10" s="16">
        <f t="shared" ca="1" si="0"/>
        <v>1241.5094452347084</v>
      </c>
      <c r="M10" s="16"/>
      <c r="N10" s="16">
        <f t="shared" ca="1" si="3"/>
        <v>0</v>
      </c>
      <c r="O10" s="11" cm="1">
        <f t="array" aca="1" ref="O10" ca="1">INDIRECT("'data'!$X$" &amp; $A$1)*parameters!$B$15</f>
        <v>754.6</v>
      </c>
      <c r="P10" s="13" cm="1">
        <f t="array" aca="1" ref="P10" ca="1">-INDIRECT("'data'!$Y$" &amp; $A$1)*parameters!$B$15</f>
        <v>-1187.76</v>
      </c>
      <c r="Q10" s="16" cm="1">
        <f t="array" aca="1" ref="Q10" ca="1">INDIRECT("'data'!$W$" &amp; $A$1)*parameters!$B$15</f>
        <v>808.34944523470836</v>
      </c>
      <c r="R10" s="16">
        <f t="shared" ca="1" si="2"/>
        <v>808.34944523470836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10023.800522901849</v>
      </c>
      <c r="N11" s="19"/>
      <c r="O11" s="21" cm="1">
        <f t="array" aca="1" ref="O11" ca="1">INDIRECT("'data'!$Z$" &amp; $A$1)*parameters!$B$15</f>
        <v>236.18</v>
      </c>
      <c r="P11" s="27" cm="1">
        <f t="array" aca="1" ref="P11" ca="1">-INDIRECT("'data'!$AA$" &amp; $A$1)*parameters!$B$15</f>
        <v>-1314.18</v>
      </c>
      <c r="Q11" s="16">
        <f ca="1">K9*parameters!$B$10+K10*parameters!$B$11</f>
        <v>8945.800522901849</v>
      </c>
      <c r="R11" s="16">
        <f t="shared" ref="R11:R17" ca="1" si="4">SUM(L11:P11)</f>
        <v>8945.800522901849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-3.2951846633792456</v>
      </c>
      <c r="D12" s="9">
        <f ca="1">-(D17-Q4)</f>
        <v>-16.809974841501571</v>
      </c>
      <c r="E12" s="9">
        <f ca="1">-(E17-Q5)</f>
        <v>-219.65674248079631</v>
      </c>
      <c r="F12" s="9">
        <f ca="1">-(F17-Q6)</f>
        <v>-33.35970149253734</v>
      </c>
      <c r="G12" s="9">
        <f ca="1">-(G17-Q7)</f>
        <v>-262.8796238244513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-536.00122730266571</v>
      </c>
      <c r="M12" s="17"/>
      <c r="N12" s="17"/>
      <c r="O12" s="10"/>
      <c r="P12" s="12"/>
      <c r="Q12" s="9">
        <f t="shared" ref="Q12:Q17" ca="1" si="6">SUM(L12:P12)</f>
        <v>-536.00122730266571</v>
      </c>
      <c r="R12" s="17">
        <f t="shared" ca="1" si="4"/>
        <v>-536.00122730266571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-1185.982586274582</v>
      </c>
      <c r="J13" s="14">
        <f ca="1">-(J17-Q10)</f>
        <v>-134.22796849070926</v>
      </c>
      <c r="K13" s="13">
        <f ca="1">-(K17-Q11)</f>
        <v>-676.66892233285762</v>
      </c>
      <c r="L13" s="14">
        <f t="shared" ca="1" si="5"/>
        <v>-1996.879477098149</v>
      </c>
      <c r="M13" s="16">
        <f ca="1">-E15</f>
        <v>0</v>
      </c>
      <c r="N13" s="16"/>
      <c r="O13" s="11"/>
      <c r="P13" s="13"/>
      <c r="Q13" s="14">
        <f t="shared" ca="1" si="6"/>
        <v>-1996.879477098149</v>
      </c>
      <c r="R13" s="16">
        <f t="shared" ca="1" si="4"/>
        <v>-1996.879477098149</v>
      </c>
    </row>
    <row r="14" spans="1:20">
      <c r="A14" s="18" t="s">
        <v>78</v>
      </c>
      <c r="B14" s="11"/>
      <c r="C14" s="14"/>
      <c r="D14" s="14"/>
      <c r="E14" s="14">
        <f ca="1">-(I13+J13)-K13</f>
        <v>1996.879477098149</v>
      </c>
      <c r="F14" s="14"/>
      <c r="G14" s="14"/>
      <c r="H14" s="14"/>
      <c r="I14" s="14"/>
      <c r="J14" s="14"/>
      <c r="K14" s="13"/>
      <c r="L14" s="14">
        <f t="shared" ca="1" si="5"/>
        <v>1996.879477098149</v>
      </c>
      <c r="M14" s="16"/>
      <c r="N14" s="16"/>
      <c r="O14" s="11"/>
      <c r="P14" s="13"/>
      <c r="Q14" s="14">
        <f t="shared" ca="1" si="6"/>
        <v>1996.879477098149</v>
      </c>
      <c r="R14" s="16">
        <f t="shared" ca="1" si="4"/>
        <v>1996.879477098149</v>
      </c>
    </row>
    <row r="15" spans="1:20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0">
      <c r="A16" s="30" t="s">
        <v>89</v>
      </c>
      <c r="B16" s="21">
        <f ca="1">Q2</f>
        <v>1050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1050</v>
      </c>
      <c r="M16" s="19"/>
      <c r="N16" s="19"/>
      <c r="O16" s="21"/>
      <c r="P16" s="27"/>
      <c r="Q16" s="22">
        <f t="shared" ca="1" si="6"/>
        <v>1050</v>
      </c>
      <c r="R16" s="19">
        <f t="shared" ca="1" si="4"/>
        <v>1050</v>
      </c>
    </row>
    <row r="17" spans="1:18">
      <c r="A17" s="29" t="s">
        <v>88</v>
      </c>
      <c r="B17" s="9">
        <f ca="1">B16</f>
        <v>1050</v>
      </c>
      <c r="C17" s="9">
        <f ca="1">SUM(C$2:C$11)</f>
        <v>523.04518466337925</v>
      </c>
      <c r="D17" s="9">
        <f ca="1">SUM(D$2:D$11)</f>
        <v>2668.2499748415016</v>
      </c>
      <c r="E17" s="9">
        <f ca="1">$Q$5/parameters!$B$4</f>
        <v>1996.8794770981485</v>
      </c>
      <c r="F17" s="9">
        <f t="shared" ref="F17:K17" ca="1" si="7">SUM(F$2:F$11)</f>
        <v>538.05970149253733</v>
      </c>
      <c r="G17" s="9">
        <f t="shared" ca="1" si="7"/>
        <v>6113.4796238244508</v>
      </c>
      <c r="H17" s="9">
        <f t="shared" ca="1" si="7"/>
        <v>6355.2999999999993</v>
      </c>
      <c r="I17" s="9">
        <f t="shared" ca="1" si="7"/>
        <v>8328.2225862745818</v>
      </c>
      <c r="J17" s="9">
        <f t="shared" ca="1" si="7"/>
        <v>942.57741372541761</v>
      </c>
      <c r="K17" s="9">
        <f t="shared" ca="1" si="7"/>
        <v>9622.4694452347067</v>
      </c>
      <c r="L17" s="17">
        <f t="shared" ca="1" si="5"/>
        <v>38138.283407154726</v>
      </c>
      <c r="M17" s="17"/>
      <c r="N17" s="17"/>
      <c r="O17" s="9"/>
      <c r="P17" s="14"/>
      <c r="Q17" s="11">
        <f t="shared" ca="1" si="6"/>
        <v>38138.283407154726</v>
      </c>
      <c r="R17" s="17">
        <f t="shared" ca="1" si="4"/>
        <v>38138.283407154726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0.99369999999999992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0.85759475398398288</v>
      </c>
      <c r="J18" s="39">
        <f ca="1">I18</f>
        <v>0.85759475398398288</v>
      </c>
      <c r="K18" s="40">
        <f ca="1">1-(-K13)/K17</f>
        <v>0.92967824671368937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4012.9367325247727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4012.9367325247727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-4012.9367325247727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120.96</v>
      </c>
      <c r="H3" s="14"/>
      <c r="I3" s="14"/>
      <c r="J3" s="14"/>
      <c r="K3" s="13"/>
      <c r="L3" s="16">
        <f t="shared" ca="1" si="0"/>
        <v>120.96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-120.96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4042.855231109867</v>
      </c>
      <c r="H4" s="14"/>
      <c r="I4" s="14"/>
      <c r="J4" s="14"/>
      <c r="K4" s="13"/>
      <c r="L4" s="16">
        <f t="shared" ca="1" si="0"/>
        <v>4042.855231109867</v>
      </c>
      <c r="M4" s="16"/>
      <c r="N4" s="16">
        <f t="shared" ca="1" si="1"/>
        <v>0</v>
      </c>
      <c r="O4" s="11" cm="1">
        <f t="array" aca="1" ref="O4" ca="1">INDIRECT("'data'!$K$" &amp; $A$1)*parameters!$B$14</f>
        <v>60.720000000000006</v>
      </c>
      <c r="P4" s="13" cm="1">
        <f t="array" aca="1" ref="P4" ca="1">-INDIRECT("'data'!$L$" &amp; $A$1)*parameters!$B$14</f>
        <v>-115.92</v>
      </c>
      <c r="Q4" s="16" cm="1">
        <f t="array" aca="1" ref="Q4" ca="1">INDIRECT("'data'!$J$" &amp; $A$1)*parameters!$B$14</f>
        <v>3987.6552311098667</v>
      </c>
      <c r="R4" s="16">
        <f t="shared" ca="1" si="2"/>
        <v>3987.6552311098667</v>
      </c>
      <c r="S4" s="7"/>
    </row>
    <row r="5" spans="1:22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2278.3791262569048</v>
      </c>
      <c r="H5" s="14"/>
      <c r="I5" s="14"/>
      <c r="J5" s="14"/>
      <c r="K5" s="13"/>
      <c r="L5" s="16">
        <f t="shared" ca="1" si="0"/>
        <v>2278.3791262569048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2278.3791262569048</v>
      </c>
      <c r="R5" s="16">
        <f t="shared" ca="1" si="2"/>
        <v>2278.3791262569048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6165.18</v>
      </c>
      <c r="I7" s="14"/>
      <c r="J7" s="14"/>
      <c r="K7" s="13"/>
      <c r="L7" s="16">
        <f t="shared" ca="1" si="0"/>
        <v>6165.18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6165.18</v>
      </c>
      <c r="R7" s="16">
        <f t="shared" ca="1" si="2"/>
        <v>6165.18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3000</v>
      </c>
      <c r="J8" s="14">
        <f ca="1">Q10/J18</f>
        <v>1943.1009957325746</v>
      </c>
      <c r="K8" s="13"/>
      <c r="L8" s="16">
        <f t="shared" ca="1" si="0"/>
        <v>4943.100995732575</v>
      </c>
      <c r="M8" s="16"/>
      <c r="N8" s="16">
        <f t="shared" ca="1" si="3"/>
        <v>2365.7390042674251</v>
      </c>
      <c r="O8" s="11" cm="1">
        <f t="array" aca="1" ref="O8" ca="1">INDIRECT("'data'!$R$" &amp; $A$1)*parameters!$B$15</f>
        <v>28.419999999999998</v>
      </c>
      <c r="P8" s="13" cm="1">
        <f t="array" aca="1" ref="P8" ca="1">-INDIRECT("'data'!$S$" &amp; $A$1)*parameters!$B$15</f>
        <v>-1172.08</v>
      </c>
      <c r="Q8" s="16">
        <f ca="1">SUM(Q6:Q7)</f>
        <v>6165.18</v>
      </c>
      <c r="R8" s="16">
        <f t="shared" ca="1" si="2"/>
        <v>6165.18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4439.3999999999996</v>
      </c>
      <c r="L9" s="16">
        <f t="shared" ca="1" si="0"/>
        <v>4439.3999999999996</v>
      </c>
      <c r="M9" s="16"/>
      <c r="N9" s="16">
        <f t="shared" ca="1" si="3"/>
        <v>0</v>
      </c>
      <c r="O9" s="11" cm="1">
        <f t="array" aca="1" ref="O9" ca="1">INDIRECT("'data'!$U$" &amp; $A$1)*parameters!$B$15</f>
        <v>0.98</v>
      </c>
      <c r="P9" s="13" cm="1">
        <f t="array" aca="1" ref="P9" ca="1">-INDIRECT("'data'!$V$" &amp; $A$1)*parameters!$B$15</f>
        <v>-1500.3799999999999</v>
      </c>
      <c r="Q9" s="16" cm="1">
        <f t="array" aca="1" ref="Q9" ca="1">INDIRECT("'data'!$T$" &amp; $A$1)*parameters!$B$15</f>
        <v>2940</v>
      </c>
      <c r="R9" s="16">
        <f t="shared" ca="1" si="2"/>
        <v>2939.9999999999991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4507.1189758179225</v>
      </c>
      <c r="L10" s="16">
        <f t="shared" ca="1" si="0"/>
        <v>4507.1189758179225</v>
      </c>
      <c r="M10" s="16"/>
      <c r="N10" s="16">
        <f t="shared" ca="1" si="3"/>
        <v>0</v>
      </c>
      <c r="O10" s="11" cm="1">
        <f t="array" aca="1" ref="O10" ca="1">INDIRECT("'data'!$X$" &amp; $A$1)*parameters!$B$15</f>
        <v>78.400000000000006</v>
      </c>
      <c r="P10" s="13" cm="1">
        <f t="array" aca="1" ref="P10" ca="1">-INDIRECT("'data'!$Y$" &amp; $A$1)*parameters!$B$15</f>
        <v>-2681.2799999999997</v>
      </c>
      <c r="Q10" s="16" cm="1">
        <f t="array" aca="1" ref="Q10" ca="1">INDIRECT("'data'!$W$" &amp; $A$1)*parameters!$B$15</f>
        <v>1904.2389758179231</v>
      </c>
      <c r="R10" s="16">
        <f t="shared" ca="1" si="2"/>
        <v>1904.2389758179224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12891.338319203413</v>
      </c>
      <c r="N11" s="19"/>
      <c r="O11" s="21" cm="1">
        <f t="array" aca="1" ref="O11" ca="1">INDIRECT("'data'!$Z$" &amp; $A$1)*parameters!$B$15</f>
        <v>751.66</v>
      </c>
      <c r="P11" s="27" cm="1">
        <f t="array" aca="1" ref="P11" ca="1">-INDIRECT("'data'!$AA$" &amp; $A$1)*parameters!$B$15</f>
        <v>-5593.84</v>
      </c>
      <c r="Q11" s="16">
        <f ca="1">K9*parameters!$B$10+K10*parameters!$B$11</f>
        <v>8049.1583192034122</v>
      </c>
      <c r="R11" s="16">
        <f t="shared" ref="R11:R17" ca="1" si="4">SUM(L11:P11)</f>
        <v>8049.1583192034122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-25.281501414905961</v>
      </c>
      <c r="E12" s="9">
        <f ca="1">-(E17-Q5)</f>
        <v>-281.59742009916818</v>
      </c>
      <c r="F12" s="9">
        <f ca="1">-(F17-Q6)</f>
        <v>0</v>
      </c>
      <c r="G12" s="9">
        <f ca="1">-(G17-Q7)</f>
        <v>-277.01435736677104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-583.89327888084517</v>
      </c>
      <c r="M12" s="17"/>
      <c r="N12" s="17"/>
      <c r="O12" s="10"/>
      <c r="P12" s="12"/>
      <c r="Q12" s="9">
        <f t="shared" ref="Q12:Q17" ca="1" si="6">SUM(L12:P12)</f>
        <v>-583.89327888084517</v>
      </c>
      <c r="R12" s="17">
        <f t="shared" ca="1" si="4"/>
        <v>-583.89327888084517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-60</v>
      </c>
      <c r="J13" s="14">
        <f ca="1">-(J17-Q10)</f>
        <v>-38.862019914651455</v>
      </c>
      <c r="K13" s="13">
        <f ca="1">-(K17-Q11)</f>
        <v>-897.36065661450994</v>
      </c>
      <c r="L13" s="14">
        <f t="shared" ca="1" si="5"/>
        <v>-996.22267652916139</v>
      </c>
      <c r="M13" s="16">
        <f ca="1">-E15</f>
        <v>-1563.7538698269116</v>
      </c>
      <c r="N13" s="16"/>
      <c r="O13" s="11"/>
      <c r="P13" s="13"/>
      <c r="Q13" s="14">
        <f t="shared" ca="1" si="6"/>
        <v>-2559.976546356073</v>
      </c>
      <c r="R13" s="16">
        <f t="shared" ca="1" si="4"/>
        <v>-2559.976546356073</v>
      </c>
    </row>
    <row r="14" spans="1:22">
      <c r="A14" s="18" t="s">
        <v>78</v>
      </c>
      <c r="B14" s="11"/>
      <c r="C14" s="14"/>
      <c r="D14" s="14"/>
      <c r="E14" s="14">
        <f ca="1">-(I13+J13)-K13</f>
        <v>996.22267652916139</v>
      </c>
      <c r="F14" s="14"/>
      <c r="G14" s="14"/>
      <c r="H14" s="14"/>
      <c r="I14" s="14"/>
      <c r="J14" s="14"/>
      <c r="K14" s="13"/>
      <c r="L14" s="14">
        <f t="shared" ca="1" si="5"/>
        <v>996.22267652916139</v>
      </c>
      <c r="M14" s="16"/>
      <c r="N14" s="16"/>
      <c r="O14" s="11"/>
      <c r="P14" s="13"/>
      <c r="Q14" s="14">
        <f t="shared" ca="1" si="6"/>
        <v>996.22267652916139</v>
      </c>
      <c r="R14" s="16">
        <f t="shared" ca="1" si="4"/>
        <v>996.22267652916139</v>
      </c>
    </row>
    <row r="15" spans="1:22">
      <c r="A15" s="18" t="s">
        <v>79</v>
      </c>
      <c r="B15" s="11"/>
      <c r="C15" s="14"/>
      <c r="D15" s="14"/>
      <c r="E15" s="14">
        <f ca="1">E17-E14</f>
        <v>1563.7538698269116</v>
      </c>
      <c r="F15" s="14"/>
      <c r="G15" s="14"/>
      <c r="H15" s="14"/>
      <c r="I15" s="14"/>
      <c r="J15" s="14"/>
      <c r="K15" s="13"/>
      <c r="L15" s="14">
        <f t="shared" ca="1" si="5"/>
        <v>1563.7538698269116</v>
      </c>
      <c r="M15" s="16"/>
      <c r="N15" s="16"/>
      <c r="O15" s="11"/>
      <c r="P15" s="13"/>
      <c r="Q15" s="14">
        <f t="shared" ca="1" si="6"/>
        <v>1563.7538698269116</v>
      </c>
      <c r="R15" s="16">
        <f t="shared" ca="1" si="4"/>
        <v>1563.7538698269116</v>
      </c>
    </row>
    <row r="16" spans="1:22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4012.9367325247727</v>
      </c>
      <c r="E17" s="9">
        <f ca="1">$Q$5/parameters!$B$4</f>
        <v>2559.976546356073</v>
      </c>
      <c r="F17" s="9">
        <f t="shared" ref="F17:K17" ca="1" si="7">SUM(F$2:F$11)</f>
        <v>0</v>
      </c>
      <c r="G17" s="9">
        <f t="shared" ca="1" si="7"/>
        <v>6442.1943573667713</v>
      </c>
      <c r="H17" s="9">
        <f t="shared" ca="1" si="7"/>
        <v>6165.18</v>
      </c>
      <c r="I17" s="9">
        <f t="shared" ca="1" si="7"/>
        <v>3000</v>
      </c>
      <c r="J17" s="9">
        <f t="shared" ca="1" si="7"/>
        <v>1943.1009957325746</v>
      </c>
      <c r="K17" s="9">
        <f t="shared" ca="1" si="7"/>
        <v>8946.5189758179222</v>
      </c>
      <c r="L17" s="17">
        <f t="shared" ca="1" si="5"/>
        <v>33069.907607798115</v>
      </c>
      <c r="M17" s="17"/>
      <c r="N17" s="17"/>
      <c r="O17" s="9"/>
      <c r="P17" s="14"/>
      <c r="Q17" s="11">
        <f t="shared" ca="1" si="6"/>
        <v>33069.907607798115</v>
      </c>
      <c r="R17" s="17">
        <f t="shared" ca="1" si="4"/>
        <v>33069.907607798115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 t="str">
        <f t="shared" ca="1" si="8"/>
        <v/>
      </c>
      <c r="G18" s="39">
        <f t="shared" ca="1" si="8"/>
        <v>0.95700000000000007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0.89969722759879689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5733.5262151554789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5733.5262151554789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-4953.5262151554789</v>
      </c>
      <c r="Q2" s="17" cm="1">
        <f t="array" aca="1" ref="Q2" ca="1">INDIRECT("'data'!$D$" &amp; $A$1)</f>
        <v>780</v>
      </c>
      <c r="R2" s="17">
        <f ca="1">SUM(L2:P2)</f>
        <v>780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5705.1044776119406</v>
      </c>
      <c r="G3" s="14">
        <f ca="1">Q3-O3-P3-F3</f>
        <v>7.4205223880589983</v>
      </c>
      <c r="H3" s="14"/>
      <c r="I3" s="14"/>
      <c r="J3" s="14"/>
      <c r="K3" s="13"/>
      <c r="L3" s="16">
        <f t="shared" ca="1" si="0"/>
        <v>5712.5249999999996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1.89</v>
      </c>
      <c r="P3" s="13" cm="1">
        <f t="array" aca="1" ref="P3" ca="1">-INDIRECT("'data'!$I$" &amp; $A$1)*parameters!$B$13</f>
        <v>-17.009999999999998</v>
      </c>
      <c r="Q3" s="16" cm="1">
        <f t="array" aca="1" ref="Q3" ca="1">INDIRECT("'data'!$G$" &amp; $A$1)*parameters!$B$13</f>
        <v>5697.4049999999997</v>
      </c>
      <c r="R3" s="16">
        <f t="shared" ref="R3:R10" ca="1" si="2">SUM(L3:P3)</f>
        <v>5697.4049999999997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38.64</v>
      </c>
      <c r="H4" s="14"/>
      <c r="I4" s="14"/>
      <c r="J4" s="14"/>
      <c r="K4" s="13"/>
      <c r="L4" s="16">
        <f t="shared" ca="1" si="0"/>
        <v>38.64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-38.64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Q6/parameters!$B$5*24%</f>
        <v>1801.6119402985075</v>
      </c>
      <c r="G5" s="14">
        <f ca="1">Q7/parameters!$B$7-(G3+G4)</f>
        <v>661.54658315008101</v>
      </c>
      <c r="H5" s="14"/>
      <c r="I5" s="14"/>
      <c r="J5" s="14"/>
      <c r="K5" s="13"/>
      <c r="L5" s="16">
        <f t="shared" ca="1" si="0"/>
        <v>2463.1585234485883</v>
      </c>
      <c r="M5" s="16"/>
      <c r="N5" s="16"/>
      <c r="O5" s="11" cm="1">
        <f t="array" aca="1" ref="O5" ca="1">INDIRECT("'data'!$M$" &amp; $A$1)*parameters!$B$15</f>
        <v>1055.46</v>
      </c>
      <c r="P5" s="13" cm="1">
        <f t="array" aca="1" ref="P5" ca="1">-INDIRECT("'data'!$N$" &amp; $A$1)*parameters!$B$15</f>
        <v>-1164.24</v>
      </c>
      <c r="Q5" s="16">
        <f ca="1">SUM(L5:P5)</f>
        <v>2354.3785234485886</v>
      </c>
      <c r="R5" s="16">
        <f t="shared" ca="1" si="2"/>
        <v>2354.3785234485886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7041.3</v>
      </c>
      <c r="I6" s="14"/>
      <c r="J6" s="14"/>
      <c r="K6" s="13"/>
      <c r="L6" s="16">
        <f t="shared" ca="1" si="0"/>
        <v>7041.3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7041.3</v>
      </c>
      <c r="R6" s="16">
        <f t="shared" ca="1" si="2"/>
        <v>7041.3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677.18</v>
      </c>
      <c r="I7" s="14"/>
      <c r="J7" s="14"/>
      <c r="K7" s="13"/>
      <c r="L7" s="16">
        <f t="shared" ca="1" si="0"/>
        <v>677.18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677.18</v>
      </c>
      <c r="R7" s="16">
        <f t="shared" ca="1" si="2"/>
        <v>677.18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2082.3743660638861</v>
      </c>
      <c r="J8" s="14">
        <f ca="1">Q10/J18</f>
        <v>5677.2656339361138</v>
      </c>
      <c r="K8" s="13"/>
      <c r="L8" s="16">
        <f t="shared" ca="1" si="0"/>
        <v>7759.6399999999994</v>
      </c>
      <c r="M8" s="16"/>
      <c r="N8" s="16">
        <f t="shared" ca="1" si="3"/>
        <v>0</v>
      </c>
      <c r="O8" s="11" cm="1">
        <f t="array" aca="1" ref="O8" ca="1">INDIRECT("'data'!$R$" &amp; $A$1)*parameters!$B$15</f>
        <v>242.06</v>
      </c>
      <c r="P8" s="13" cm="1">
        <f t="array" aca="1" ref="P8" ca="1">-INDIRECT("'data'!$S$" &amp; $A$1)*parameters!$B$15</f>
        <v>-283.21999999999997</v>
      </c>
      <c r="Q8" s="16">
        <f ca="1">SUM(Q6:Q7)</f>
        <v>7718.4800000000005</v>
      </c>
      <c r="R8" s="16">
        <f t="shared" ca="1" si="2"/>
        <v>7718.48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1631.7</v>
      </c>
      <c r="L9" s="16">
        <f t="shared" ca="1" si="0"/>
        <v>1631.7</v>
      </c>
      <c r="M9" s="16"/>
      <c r="N9" s="16">
        <f t="shared" ca="1" si="3"/>
        <v>0</v>
      </c>
      <c r="O9" s="11" cm="1">
        <f t="array" aca="1" ref="O9" ca="1">INDIRECT("'data'!$U$" &amp; $A$1)*parameters!$B$15</f>
        <v>1426.8799999999999</v>
      </c>
      <c r="P9" s="13" cm="1">
        <f t="array" aca="1" ref="P9" ca="1">-INDIRECT("'data'!$V$" &amp; $A$1)*parameters!$B$15</f>
        <v>-1218.1399999999999</v>
      </c>
      <c r="Q9" s="16" cm="1">
        <f t="array" aca="1" ref="Q9" ca="1">INDIRECT("'data'!$T$" &amp; $A$1)*parameters!$B$15</f>
        <v>1840.44</v>
      </c>
      <c r="R9" s="16">
        <f t="shared" ca="1" si="2"/>
        <v>1840.44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2150.1897012802274</v>
      </c>
      <c r="L10" s="16">
        <f t="shared" ca="1" si="0"/>
        <v>2150.1897012802274</v>
      </c>
      <c r="M10" s="16"/>
      <c r="N10" s="16">
        <f t="shared" ca="1" si="3"/>
        <v>0</v>
      </c>
      <c r="O10" s="11" cm="1">
        <f t="array" aca="1" ref="O10" ca="1">INDIRECT("'data'!$X$" &amp; $A$1)*parameters!$B$15</f>
        <v>4637.3599999999997</v>
      </c>
      <c r="P10" s="13" cm="1">
        <f t="array" aca="1" ref="P10" ca="1">-INDIRECT("'data'!$Y$" &amp; $A$1)*parameters!$B$15</f>
        <v>-1769.8799999999999</v>
      </c>
      <c r="Q10" s="16" cm="1">
        <f t="array" aca="1" ref="Q10" ca="1">INDIRECT("'data'!$W$" &amp; $A$1)*parameters!$B$15</f>
        <v>5017.6697012802269</v>
      </c>
      <c r="R10" s="16">
        <f t="shared" ca="1" si="2"/>
        <v>5017.6697012802269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3372.1811431009955</v>
      </c>
      <c r="N11" s="19"/>
      <c r="O11" s="21" cm="1">
        <f t="array" aca="1" ref="O11" ca="1">INDIRECT("'data'!$Z$" &amp; $A$1)*parameters!$B$15</f>
        <v>3587.7799999999997</v>
      </c>
      <c r="P11" s="27" cm="1">
        <f t="array" aca="1" ref="P11" ca="1">-INDIRECT("'data'!$AA$" &amp; $A$1)*parameters!$B$15</f>
        <v>-3577</v>
      </c>
      <c r="Q11" s="16">
        <f ca="1">K9*parameters!$B$10+K10*parameters!$B$11</f>
        <v>3382.9611431009953</v>
      </c>
      <c r="R11" s="16">
        <f t="shared" ref="R11:R17" ca="1" si="4">SUM(L11:P11)</f>
        <v>3382.9611431009953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-36.121215155479149</v>
      </c>
      <c r="D12" s="9">
        <f ca="1">-(D17-Q4)</f>
        <v>0</v>
      </c>
      <c r="E12" s="9">
        <f ca="1">-(E17-Q5)</f>
        <v>-290.99060402173563</v>
      </c>
      <c r="F12" s="9">
        <f ca="1">-(F17-Q6)</f>
        <v>-465.41641791044822</v>
      </c>
      <c r="G12" s="9">
        <f ca="1">-(G17-Q7)</f>
        <v>-30.42710553814004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-822.95534262580304</v>
      </c>
      <c r="M12" s="17"/>
      <c r="N12" s="17"/>
      <c r="O12" s="10"/>
      <c r="P12" s="12"/>
      <c r="Q12" s="9">
        <f t="shared" ref="Q12:Q17" ca="1" si="6">SUM(L12:P12)</f>
        <v>-822.95534262580304</v>
      </c>
      <c r="R12" s="17">
        <f t="shared" ca="1" si="4"/>
        <v>-822.95534262580304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-241.93436606388605</v>
      </c>
      <c r="J13" s="14">
        <f ca="1">-(J17-Q10)</f>
        <v>-659.59593265588683</v>
      </c>
      <c r="K13" s="13">
        <f ca="1">-(K17-Q11)</f>
        <v>-398.92855817923191</v>
      </c>
      <c r="L13" s="14">
        <f t="shared" ca="1" si="5"/>
        <v>-1300.4588568990048</v>
      </c>
      <c r="M13" s="16">
        <f ca="1">-E15</f>
        <v>-1344.9102705713194</v>
      </c>
      <c r="N13" s="16"/>
      <c r="O13" s="11"/>
      <c r="P13" s="13"/>
      <c r="Q13" s="14">
        <f t="shared" ca="1" si="6"/>
        <v>-2645.3691274703242</v>
      </c>
      <c r="R13" s="16">
        <f t="shared" ca="1" si="4"/>
        <v>-2645.3691274703242</v>
      </c>
    </row>
    <row r="14" spans="1:20">
      <c r="A14" s="18" t="s">
        <v>78</v>
      </c>
      <c r="B14" s="11"/>
      <c r="C14" s="14"/>
      <c r="D14" s="14"/>
      <c r="E14" s="14">
        <f ca="1">-(I13+J13)-K13</f>
        <v>1300.4588568990048</v>
      </c>
      <c r="F14" s="14"/>
      <c r="G14" s="14"/>
      <c r="H14" s="14"/>
      <c r="I14" s="14"/>
      <c r="J14" s="14"/>
      <c r="K14" s="13"/>
      <c r="L14" s="14">
        <f t="shared" ca="1" si="5"/>
        <v>1300.4588568990048</v>
      </c>
      <c r="M14" s="16"/>
      <c r="N14" s="16"/>
      <c r="O14" s="11"/>
      <c r="P14" s="13"/>
      <c r="Q14" s="14">
        <f t="shared" ca="1" si="6"/>
        <v>1300.4588568990048</v>
      </c>
      <c r="R14" s="16">
        <f t="shared" ca="1" si="4"/>
        <v>1300.4588568990048</v>
      </c>
    </row>
    <row r="15" spans="1:20">
      <c r="A15" s="18" t="s">
        <v>79</v>
      </c>
      <c r="B15" s="11"/>
      <c r="C15" s="14"/>
      <c r="D15" s="14"/>
      <c r="E15" s="14">
        <f ca="1">E17-E14</f>
        <v>1344.9102705713194</v>
      </c>
      <c r="F15" s="14"/>
      <c r="G15" s="14"/>
      <c r="H15" s="14"/>
      <c r="I15" s="14"/>
      <c r="J15" s="14"/>
      <c r="K15" s="13"/>
      <c r="L15" s="14">
        <f t="shared" ca="1" si="5"/>
        <v>1344.9102705713194</v>
      </c>
      <c r="M15" s="16"/>
      <c r="N15" s="16"/>
      <c r="O15" s="11"/>
      <c r="P15" s="13"/>
      <c r="Q15" s="14">
        <f t="shared" ca="1" si="6"/>
        <v>1344.9102705713194</v>
      </c>
      <c r="R15" s="16">
        <f t="shared" ca="1" si="4"/>
        <v>1344.9102705713194</v>
      </c>
    </row>
    <row r="16" spans="1:20">
      <c r="A16" s="30" t="s">
        <v>89</v>
      </c>
      <c r="B16" s="21">
        <f ca="1">Q2</f>
        <v>780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780</v>
      </c>
      <c r="M16" s="19"/>
      <c r="N16" s="19"/>
      <c r="O16" s="21"/>
      <c r="P16" s="27"/>
      <c r="Q16" s="22">
        <f t="shared" ca="1" si="6"/>
        <v>780</v>
      </c>
      <c r="R16" s="19">
        <f t="shared" ca="1" si="4"/>
        <v>780</v>
      </c>
    </row>
    <row r="17" spans="1:18">
      <c r="A17" s="29" t="s">
        <v>88</v>
      </c>
      <c r="B17" s="9">
        <f ca="1">B16</f>
        <v>780</v>
      </c>
      <c r="C17" s="9">
        <f ca="1">SUM(C$2:C$11)</f>
        <v>5733.5262151554789</v>
      </c>
      <c r="D17" s="9">
        <f ca="1">SUM(D$2:D$11)</f>
        <v>0</v>
      </c>
      <c r="E17" s="9">
        <f ca="1">$Q$5/parameters!$B$4</f>
        <v>2645.3691274703242</v>
      </c>
      <c r="F17" s="9">
        <f t="shared" ref="F17:K17" ca="1" si="7">SUM(F$2:F$11)</f>
        <v>7506.7164179104484</v>
      </c>
      <c r="G17" s="9">
        <f t="shared" ca="1" si="7"/>
        <v>707.60710553813999</v>
      </c>
      <c r="H17" s="9">
        <f t="shared" ca="1" si="7"/>
        <v>7718.4800000000005</v>
      </c>
      <c r="I17" s="9">
        <f t="shared" ca="1" si="7"/>
        <v>2082.3743660638861</v>
      </c>
      <c r="J17" s="9">
        <f t="shared" ca="1" si="7"/>
        <v>5677.2656339361138</v>
      </c>
      <c r="K17" s="9">
        <f t="shared" ca="1" si="7"/>
        <v>3781.8897012802272</v>
      </c>
      <c r="L17" s="17">
        <f t="shared" ca="1" si="5"/>
        <v>36633.228567354621</v>
      </c>
      <c r="M17" s="17"/>
      <c r="N17" s="17"/>
      <c r="O17" s="9"/>
      <c r="P17" s="14"/>
      <c r="Q17" s="11">
        <f t="shared" ca="1" si="6"/>
        <v>36633.228567354621</v>
      </c>
      <c r="R17" s="17">
        <f t="shared" ca="1" si="4"/>
        <v>36633.228567354621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0.88381802522800379</v>
      </c>
      <c r="J18" s="39">
        <f ca="1">I18</f>
        <v>0.88381802522800379</v>
      </c>
      <c r="K18" s="40">
        <f ca="1">1-(-K13)/K17</f>
        <v>0.8945160780220035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4172.949582368924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4172.949582368924</v>
      </c>
      <c r="M2" s="17"/>
      <c r="N2" s="17">
        <f ca="1">Q2-(L2+O2+P2)</f>
        <v>0</v>
      </c>
      <c r="O2" s="11" cm="1">
        <f t="array" aca="1" ref="O2" ca="1">INDIRECT("'data'!$F$" &amp; $A$1)</f>
        <v>1.3</v>
      </c>
      <c r="P2" s="13">
        <f ca="1">IF(-(L2-Q2+O2)&lt;0, -(L2-Q2+O2), 0)</f>
        <v>-4174.2495823689242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4138.9850746268658</v>
      </c>
      <c r="G3" s="14">
        <f ca="1">Q3-O3-P3-F3</f>
        <v>63.429925373134211</v>
      </c>
      <c r="H3" s="14"/>
      <c r="I3" s="14"/>
      <c r="J3" s="14"/>
      <c r="K3" s="13"/>
      <c r="L3" s="16">
        <f t="shared" ca="1" si="0"/>
        <v>4202.415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163.48499999999999</v>
      </c>
      <c r="P3" s="13" cm="1">
        <f t="array" aca="1" ref="P3" ca="1">-INDIRECT("'data'!$I$" &amp; $A$1)*parameters!$B$13</f>
        <v>-219.23999999999998</v>
      </c>
      <c r="Q3" s="16" cm="1">
        <f t="array" aca="1" ref="Q3" ca="1">INDIRECT("'data'!$G$" &amp; $A$1)*parameters!$B$13</f>
        <v>4146.66</v>
      </c>
      <c r="R3" s="16">
        <f t="shared" ref="R3:R10" ca="1" si="2">SUM(L3:P3)</f>
        <v>4146.66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11.040000000000001</v>
      </c>
      <c r="H4" s="14"/>
      <c r="I4" s="14"/>
      <c r="J4" s="14"/>
      <c r="K4" s="13"/>
      <c r="L4" s="16">
        <f t="shared" ca="1" si="0"/>
        <v>11.040000000000001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-11.040000000000001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1034.7462686567167</v>
      </c>
      <c r="G5" s="14">
        <f ca="1">Q7/parameters!$B$7-(G3+G4)</f>
        <v>2361.7056232162076</v>
      </c>
      <c r="H5" s="14"/>
      <c r="I5" s="14"/>
      <c r="J5" s="14"/>
      <c r="K5" s="13"/>
      <c r="L5" s="16">
        <f t="shared" ca="1" si="0"/>
        <v>3396.4518918729245</v>
      </c>
      <c r="M5" s="16"/>
      <c r="N5" s="16"/>
      <c r="O5" s="11" cm="1">
        <f t="array" aca="1" ref="O5" ca="1">INDIRECT("'data'!$M$" &amp; $A$1)*parameters!$B$15</f>
        <v>3852.38</v>
      </c>
      <c r="P5" s="13" cm="1">
        <f t="array" aca="1" ref="P5" ca="1">-INDIRECT("'data'!$N$" &amp; $A$1)*parameters!$B$15</f>
        <v>-4664.8</v>
      </c>
      <c r="Q5" s="16">
        <f ca="1">SUM(L5:P5)</f>
        <v>2584.0318918729245</v>
      </c>
      <c r="R5" s="16">
        <f t="shared" ca="1" si="2"/>
        <v>2584.0318918729245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4852.96</v>
      </c>
      <c r="I6" s="14"/>
      <c r="J6" s="14"/>
      <c r="K6" s="13"/>
      <c r="L6" s="16">
        <f t="shared" ca="1" si="0"/>
        <v>4852.96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4852.96</v>
      </c>
      <c r="R6" s="16">
        <f t="shared" ca="1" si="2"/>
        <v>4852.96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2331.42</v>
      </c>
      <c r="I7" s="14"/>
      <c r="J7" s="14"/>
      <c r="K7" s="13"/>
      <c r="L7" s="16">
        <f t="shared" ca="1" si="0"/>
        <v>2331.42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2331.42</v>
      </c>
      <c r="R7" s="16">
        <f t="shared" ca="1" si="2"/>
        <v>2331.42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849.56452172533261</v>
      </c>
      <c r="J8" s="14">
        <f ca="1">Q10/J18</f>
        <v>7920.4554782746682</v>
      </c>
      <c r="K8" s="13"/>
      <c r="L8" s="16">
        <f t="shared" ca="1" si="0"/>
        <v>8770.02</v>
      </c>
      <c r="M8" s="16"/>
      <c r="N8" s="16">
        <f t="shared" ca="1" si="3"/>
        <v>0</v>
      </c>
      <c r="O8" s="11" cm="1">
        <f t="array" aca="1" ref="O8" ca="1">INDIRECT("'data'!$R$" &amp; $A$1)*parameters!$B$15</f>
        <v>191.1</v>
      </c>
      <c r="P8" s="13" cm="1">
        <f t="array" aca="1" ref="P8" ca="1">-INDIRECT("'data'!$S$" &amp; $A$1)*parameters!$B$15</f>
        <v>-1776.74</v>
      </c>
      <c r="Q8" s="16">
        <f ca="1">SUM(Q6:Q7)</f>
        <v>7184.38</v>
      </c>
      <c r="R8" s="16">
        <f t="shared" ca="1" si="2"/>
        <v>7184.380000000001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958.43999999999994</v>
      </c>
      <c r="L9" s="16">
        <f t="shared" ca="1" si="0"/>
        <v>958.43999999999994</v>
      </c>
      <c r="M9" s="16"/>
      <c r="N9" s="16">
        <f t="shared" ca="1" si="3"/>
        <v>0</v>
      </c>
      <c r="O9" s="11" cm="1">
        <f t="array" aca="1" ref="O9" ca="1">INDIRECT("'data'!$U$" &amp; $A$1)*parameters!$B$15</f>
        <v>1362.2</v>
      </c>
      <c r="P9" s="13" cm="1">
        <f t="array" aca="1" ref="P9" ca="1">-INDIRECT("'data'!$V$" &amp; $A$1)*parameters!$B$15</f>
        <v>-1544.48</v>
      </c>
      <c r="Q9" s="16" cm="1">
        <f t="array" aca="1" ref="Q9" ca="1">INDIRECT("'data'!$T$" &amp; $A$1)*parameters!$B$15</f>
        <v>776.16</v>
      </c>
      <c r="R9" s="16">
        <f t="shared" ca="1" si="2"/>
        <v>776.15999999999985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1915.6881081081074</v>
      </c>
      <c r="L10" s="16">
        <f t="shared" ca="1" si="0"/>
        <v>1915.6881081081074</v>
      </c>
      <c r="M10" s="16"/>
      <c r="N10" s="16">
        <f t="shared" ca="1" si="3"/>
        <v>0</v>
      </c>
      <c r="O10" s="11" cm="1">
        <f t="array" aca="1" ref="O10" ca="1">INDIRECT("'data'!$X$" &amp; $A$1)*parameters!$B$15</f>
        <v>11989.32</v>
      </c>
      <c r="P10" s="13" cm="1">
        <f t="array" aca="1" ref="P10" ca="1">-INDIRECT("'data'!$Y$" &amp; $A$1)*parameters!$B$15</f>
        <v>-6668.9</v>
      </c>
      <c r="Q10" s="16" cm="1">
        <f t="array" aca="1" ref="Q10" ca="1">INDIRECT("'data'!$W$" &amp; $A$1)*parameters!$B$15</f>
        <v>7236.1081081081074</v>
      </c>
      <c r="R10" s="16">
        <f t="shared" ca="1" si="2"/>
        <v>7236.1081081081084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2744.4253729729717</v>
      </c>
      <c r="N11" s="19"/>
      <c r="O11" s="21" cm="1">
        <f t="array" aca="1" ref="O11" ca="1">INDIRECT("'data'!$Z$" &amp; $A$1)*parameters!$B$15</f>
        <v>7414.68</v>
      </c>
      <c r="P11" s="27" cm="1">
        <f t="array" aca="1" ref="P11" ca="1">-INDIRECT("'data'!$AA$" &amp; $A$1)*parameters!$B$15</f>
        <v>-7610.68</v>
      </c>
      <c r="Q11" s="16">
        <f ca="1">K9*parameters!$B$10+K10*parameters!$B$11</f>
        <v>2548.4253729729721</v>
      </c>
      <c r="R11" s="16">
        <f t="shared" ref="R11:R17" ca="1" si="4">SUM(L11:P11)</f>
        <v>2548.4253729729717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-26.28958236892413</v>
      </c>
      <c r="D12" s="9">
        <f ca="1">-(D17-Q4)</f>
        <v>0</v>
      </c>
      <c r="E12" s="9">
        <f ca="1">-(E17-Q5)</f>
        <v>-319.37472820901303</v>
      </c>
      <c r="F12" s="9">
        <f ca="1">-(F17-Q6)</f>
        <v>-320.77134328358261</v>
      </c>
      <c r="G12" s="9">
        <f ca="1">-(G17-Q7)</f>
        <v>-104.75554858934174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-771.19120245086151</v>
      </c>
      <c r="M12" s="17"/>
      <c r="N12" s="17"/>
      <c r="O12" s="10"/>
      <c r="P12" s="12"/>
      <c r="Q12" s="9">
        <f t="shared" ref="Q12:Q17" ca="1" si="6">SUM(L12:P12)</f>
        <v>-771.19120245086151</v>
      </c>
      <c r="R12" s="17">
        <f t="shared" ca="1" si="4"/>
        <v>-771.19120245086151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-73.404521725332643</v>
      </c>
      <c r="J13" s="14">
        <f ca="1">-(J17-Q10)</f>
        <v>-684.34737016656072</v>
      </c>
      <c r="K13" s="13">
        <f ca="1">-(K17-Q11)</f>
        <v>-325.7027351351353</v>
      </c>
      <c r="L13" s="14">
        <f t="shared" ca="1" si="5"/>
        <v>-1083.4546270270287</v>
      </c>
      <c r="M13" s="16">
        <f ca="1">-E15</f>
        <v>-1819.9519930549088</v>
      </c>
      <c r="N13" s="16"/>
      <c r="O13" s="11"/>
      <c r="P13" s="13"/>
      <c r="Q13" s="14">
        <f t="shared" ca="1" si="6"/>
        <v>-2903.4066200819375</v>
      </c>
      <c r="R13" s="16">
        <f t="shared" ca="1" si="4"/>
        <v>-2903.4066200819375</v>
      </c>
    </row>
    <row r="14" spans="1:20">
      <c r="A14" s="18" t="s">
        <v>78</v>
      </c>
      <c r="B14" s="11"/>
      <c r="C14" s="14"/>
      <c r="D14" s="14"/>
      <c r="E14" s="14">
        <f ca="1">-(I13+J13)-K13</f>
        <v>1083.4546270270287</v>
      </c>
      <c r="F14" s="14"/>
      <c r="G14" s="14"/>
      <c r="H14" s="14"/>
      <c r="I14" s="14"/>
      <c r="J14" s="14"/>
      <c r="K14" s="13"/>
      <c r="L14" s="14">
        <f t="shared" ca="1" si="5"/>
        <v>1083.4546270270287</v>
      </c>
      <c r="M14" s="16"/>
      <c r="N14" s="16"/>
      <c r="O14" s="11"/>
      <c r="P14" s="13"/>
      <c r="Q14" s="14">
        <f t="shared" ca="1" si="6"/>
        <v>1083.4546270270287</v>
      </c>
      <c r="R14" s="16">
        <f t="shared" ca="1" si="4"/>
        <v>1083.4546270270287</v>
      </c>
    </row>
    <row r="15" spans="1:20">
      <c r="A15" s="18" t="s">
        <v>79</v>
      </c>
      <c r="B15" s="11"/>
      <c r="C15" s="14"/>
      <c r="D15" s="14"/>
      <c r="E15" s="14">
        <f ca="1">E17-E14</f>
        <v>1819.9519930549088</v>
      </c>
      <c r="F15" s="14"/>
      <c r="G15" s="14"/>
      <c r="H15" s="14"/>
      <c r="I15" s="14"/>
      <c r="J15" s="14"/>
      <c r="K15" s="13"/>
      <c r="L15" s="14">
        <f t="shared" ca="1" si="5"/>
        <v>1819.9519930549088</v>
      </c>
      <c r="M15" s="16"/>
      <c r="N15" s="16"/>
      <c r="O15" s="11"/>
      <c r="P15" s="13"/>
      <c r="Q15" s="14">
        <f t="shared" ca="1" si="6"/>
        <v>1819.9519930549088</v>
      </c>
      <c r="R15" s="16">
        <f t="shared" ca="1" si="4"/>
        <v>1819.9519930549088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4172.949582368924</v>
      </c>
      <c r="D17" s="9">
        <f ca="1">SUM(D$2:D$11)</f>
        <v>0</v>
      </c>
      <c r="E17" s="9">
        <f ca="1">$Q$5/parameters!$B$4</f>
        <v>2903.4066200819375</v>
      </c>
      <c r="F17" s="9">
        <f t="shared" ref="F17:K17" ca="1" si="7">SUM(F$2:F$11)</f>
        <v>5173.7313432835826</v>
      </c>
      <c r="G17" s="9">
        <f t="shared" ca="1" si="7"/>
        <v>2436.1755485893418</v>
      </c>
      <c r="H17" s="9">
        <f t="shared" ca="1" si="7"/>
        <v>7184.38</v>
      </c>
      <c r="I17" s="9">
        <f t="shared" ca="1" si="7"/>
        <v>849.56452172533261</v>
      </c>
      <c r="J17" s="9">
        <f t="shared" ca="1" si="7"/>
        <v>7920.4554782746682</v>
      </c>
      <c r="K17" s="9">
        <f t="shared" ca="1" si="7"/>
        <v>2874.1281081081074</v>
      </c>
      <c r="L17" s="17">
        <f t="shared" ca="1" si="5"/>
        <v>33514.791202431894</v>
      </c>
      <c r="M17" s="17"/>
      <c r="N17" s="17"/>
      <c r="O17" s="9"/>
      <c r="P17" s="14"/>
      <c r="Q17" s="11">
        <f t="shared" ca="1" si="6"/>
        <v>33514.791202431894</v>
      </c>
      <c r="R17" s="17">
        <f t="shared" ca="1" si="4"/>
        <v>33514.791202431894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0.91359747276609482</v>
      </c>
      <c r="J18" s="39">
        <f ca="1">I18</f>
        <v>0.91359747276609482</v>
      </c>
      <c r="K18" s="40">
        <f ca="1">1-(-K13)/K17</f>
        <v>0.88667772524950916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9229.3700311965385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9229.3700311965385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-9229.3700311965385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8845.4507462686561</v>
      </c>
      <c r="G3" s="14">
        <f ca="1">Q3-O3-P3-F3</f>
        <v>373.969253731344</v>
      </c>
      <c r="H3" s="14"/>
      <c r="I3" s="14"/>
      <c r="J3" s="14"/>
      <c r="K3" s="13"/>
      <c r="L3" s="16">
        <f t="shared" ca="1" si="0"/>
        <v>9219.42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1.89</v>
      </c>
      <c r="P3" s="13" cm="1">
        <f t="array" aca="1" ref="P3" ca="1">-INDIRECT("'data'!$I$" &amp; $A$1)*parameters!$B$13</f>
        <v>-50.085000000000001</v>
      </c>
      <c r="Q3" s="16" cm="1">
        <f t="array" aca="1" ref="Q3" ca="1">INDIRECT("'data'!$G$" &amp; $A$1)*parameters!$B$13</f>
        <v>9171.2250000000004</v>
      </c>
      <c r="R3" s="16">
        <f t="shared" ref="R3:R10" ca="1" si="2">SUM(L3:P3)</f>
        <v>9171.2250000000004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Q6/parameters!$B$5*16%</f>
        <v>1684.84776119403</v>
      </c>
      <c r="G5" s="14">
        <f ca="1">Q7/parameters!$B$7-(G3+G4)</f>
        <v>1628.0161172195442</v>
      </c>
      <c r="H5" s="14"/>
      <c r="I5" s="14"/>
      <c r="J5" s="14"/>
      <c r="K5" s="13"/>
      <c r="L5" s="16">
        <f t="shared" ca="1" si="0"/>
        <v>3312.8638784135742</v>
      </c>
      <c r="M5" s="16"/>
      <c r="N5" s="16"/>
      <c r="O5" s="11" cm="1">
        <f t="array" aca="1" ref="O5" ca="1">INDIRECT("'data'!$M$" &amp; $A$1)*parameters!$B$15</f>
        <v>6847.26</v>
      </c>
      <c r="P5" s="13" cm="1">
        <f t="array" aca="1" ref="P5" ca="1">-INDIRECT("'data'!$N$" &amp; $A$1)*parameters!$B$15</f>
        <v>-343.98</v>
      </c>
      <c r="Q5" s="16">
        <f ca="1">SUM(L5:P5)</f>
        <v>9816.1438784135753</v>
      </c>
      <c r="R5" s="16">
        <f t="shared" ca="1" si="2"/>
        <v>9816.1438784135753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9877.42</v>
      </c>
      <c r="I6" s="14"/>
      <c r="J6" s="14"/>
      <c r="K6" s="13"/>
      <c r="L6" s="16">
        <f t="shared" ca="1" si="0"/>
        <v>9877.42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9877.42</v>
      </c>
      <c r="R6" s="16">
        <f t="shared" ca="1" si="2"/>
        <v>9877.42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1915.8999999999999</v>
      </c>
      <c r="I7" s="14"/>
      <c r="J7" s="14"/>
      <c r="K7" s="13"/>
      <c r="L7" s="16">
        <f t="shared" ca="1" si="0"/>
        <v>1915.8999999999999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1915.8999999999999</v>
      </c>
      <c r="R7" s="16">
        <f t="shared" ca="1" si="2"/>
        <v>1915.8999999999999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3351.6266841253359</v>
      </c>
      <c r="J8" s="14">
        <f ca="1">Q10/J18</f>
        <v>5313.5333158746644</v>
      </c>
      <c r="K8" s="13"/>
      <c r="L8" s="16">
        <f t="shared" ca="1" si="0"/>
        <v>8665.16</v>
      </c>
      <c r="M8" s="16"/>
      <c r="N8" s="16">
        <f t="shared" ca="1" si="3"/>
        <v>0</v>
      </c>
      <c r="O8" s="11" cm="1">
        <f t="array" aca="1" ref="O8" ca="1">INDIRECT("'data'!$R$" &amp; $A$1)*parameters!$B$15</f>
        <v>3463.32</v>
      </c>
      <c r="P8" s="13" cm="1">
        <f t="array" aca="1" ref="P8" ca="1">-INDIRECT("'data'!$S$" &amp; $A$1)*parameters!$B$15</f>
        <v>-335.15999999999997</v>
      </c>
      <c r="Q8" s="16">
        <f ca="1">SUM(Q6:Q7)</f>
        <v>11793.32</v>
      </c>
      <c r="R8" s="16">
        <f t="shared" ca="1" si="2"/>
        <v>11793.32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3351.5999999999995</v>
      </c>
      <c r="L9" s="16">
        <f t="shared" ca="1" si="0"/>
        <v>3351.5999999999995</v>
      </c>
      <c r="M9" s="16"/>
      <c r="N9" s="16">
        <f t="shared" ca="1" si="3"/>
        <v>0</v>
      </c>
      <c r="O9" s="11" cm="1">
        <f t="array" aca="1" ref="O9" ca="1">INDIRECT("'data'!$U$" &amp; $A$1)*parameters!$B$15</f>
        <v>1949.22</v>
      </c>
      <c r="P9" s="13" cm="1">
        <f t="array" aca="1" ref="P9" ca="1">-INDIRECT("'data'!$V$" &amp; $A$1)*parameters!$B$15</f>
        <v>-2266.7399999999998</v>
      </c>
      <c r="Q9" s="16" cm="1">
        <f t="array" aca="1" ref="Q9" ca="1">INDIRECT("'data'!$T$" &amp; $A$1)*parameters!$B$15</f>
        <v>3034.08</v>
      </c>
      <c r="R9" s="16">
        <f t="shared" ca="1" si="2"/>
        <v>3034.08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6039.0276529160737</v>
      </c>
      <c r="L10" s="16">
        <f t="shared" ca="1" si="0"/>
        <v>6039.0276529160737</v>
      </c>
      <c r="M10" s="16"/>
      <c r="N10" s="16">
        <f t="shared" ca="1" si="3"/>
        <v>0</v>
      </c>
      <c r="O10" s="11" cm="1">
        <f t="array" aca="1" ref="O10" ca="1">INDIRECT("'data'!$X$" &amp; $A$1)*parameters!$B$15</f>
        <v>2377.48</v>
      </c>
      <c r="P10" s="13" cm="1">
        <f t="array" aca="1" ref="P10" ca="1">-INDIRECT("'data'!$Y$" &amp; $A$1)*parameters!$B$15</f>
        <v>-3606.4</v>
      </c>
      <c r="Q10" s="16" cm="1">
        <f t="array" aca="1" ref="Q10" ca="1">INDIRECT("'data'!$W$" &amp; $A$1)*parameters!$B$15</f>
        <v>4810.1076529160737</v>
      </c>
      <c r="R10" s="16">
        <f t="shared" ca="1" si="2"/>
        <v>4810.1076529160746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13754.647781507821</v>
      </c>
      <c r="N11" s="19"/>
      <c r="O11" s="21" cm="1">
        <f t="array" aca="1" ref="O11" ca="1">INDIRECT("'data'!$Z$" &amp; $A$1)*parameters!$B$15</f>
        <v>5731.04</v>
      </c>
      <c r="P11" s="27" cm="1">
        <f t="array" aca="1" ref="P11" ca="1">-INDIRECT("'data'!$AA$" &amp; $A$1)*parameters!$B$15</f>
        <v>-11141.619999999999</v>
      </c>
      <c r="Q11" s="16">
        <f ca="1">K9*parameters!$B$10+K10*parameters!$B$11</f>
        <v>8344.0677815078234</v>
      </c>
      <c r="R11" s="16">
        <f t="shared" ref="R11:R17" ca="1" si="4">SUM(L11:P11)</f>
        <v>8344.0677815078234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-58.145031196538184</v>
      </c>
      <c r="D12" s="9">
        <f ca="1">-(D17-Q4)</f>
        <v>0</v>
      </c>
      <c r="E12" s="9">
        <f ca="1">-(E17-Q5)</f>
        <v>-1213.2312658713399</v>
      </c>
      <c r="F12" s="9">
        <f ca="1">-(F17-Q6)</f>
        <v>-652.87850746268668</v>
      </c>
      <c r="G12" s="9">
        <f ca="1">-(G17-Q7)</f>
        <v>-86.085370950888318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-2010.3401754814531</v>
      </c>
      <c r="M12" s="17"/>
      <c r="N12" s="17"/>
      <c r="O12" s="10"/>
      <c r="P12" s="12"/>
      <c r="Q12" s="9">
        <f t="shared" ref="Q12:Q17" ca="1" si="6">SUM(L12:P12)</f>
        <v>-2010.3401754814531</v>
      </c>
      <c r="R12" s="17">
        <f t="shared" ca="1" si="4"/>
        <v>-2010.3401754814531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-317.54668412533601</v>
      </c>
      <c r="J13" s="14">
        <f ca="1">-(J17-Q10)</f>
        <v>-503.42566295859069</v>
      </c>
      <c r="K13" s="13">
        <f ca="1">-(K17-Q11)</f>
        <v>-1046.5598714082498</v>
      </c>
      <c r="L13" s="14">
        <f t="shared" ca="1" si="5"/>
        <v>-1867.5322184921765</v>
      </c>
      <c r="M13" s="16">
        <f ca="1">-E15</f>
        <v>-9161.8429257927382</v>
      </c>
      <c r="N13" s="16"/>
      <c r="O13" s="11"/>
      <c r="P13" s="13"/>
      <c r="Q13" s="14">
        <f t="shared" ca="1" si="6"/>
        <v>-11029.375144284915</v>
      </c>
      <c r="R13" s="16">
        <f t="shared" ca="1" si="4"/>
        <v>-11029.375144284915</v>
      </c>
    </row>
    <row r="14" spans="1:20">
      <c r="A14" s="18" t="s">
        <v>78</v>
      </c>
      <c r="B14" s="11"/>
      <c r="C14" s="14"/>
      <c r="D14" s="14"/>
      <c r="E14" s="14">
        <f ca="1">-(I13+J13)-K13</f>
        <v>1867.5322184921765</v>
      </c>
      <c r="F14" s="14"/>
      <c r="G14" s="14"/>
      <c r="H14" s="14"/>
      <c r="I14" s="14"/>
      <c r="J14" s="14"/>
      <c r="K14" s="13"/>
      <c r="L14" s="14">
        <f t="shared" ca="1" si="5"/>
        <v>1867.5322184921765</v>
      </c>
      <c r="M14" s="16"/>
      <c r="N14" s="16"/>
      <c r="O14" s="11"/>
      <c r="P14" s="13"/>
      <c r="Q14" s="14">
        <f t="shared" ca="1" si="6"/>
        <v>1867.5322184921765</v>
      </c>
      <c r="R14" s="16">
        <f t="shared" ca="1" si="4"/>
        <v>1867.5322184921765</v>
      </c>
    </row>
    <row r="15" spans="1:20">
      <c r="A15" s="18" t="s">
        <v>79</v>
      </c>
      <c r="B15" s="11"/>
      <c r="C15" s="14"/>
      <c r="D15" s="14"/>
      <c r="E15" s="14">
        <f ca="1">E17-E14</f>
        <v>9161.8429257927382</v>
      </c>
      <c r="F15" s="14"/>
      <c r="G15" s="14"/>
      <c r="H15" s="14"/>
      <c r="I15" s="14"/>
      <c r="J15" s="14"/>
      <c r="K15" s="13"/>
      <c r="L15" s="14">
        <f t="shared" ca="1" si="5"/>
        <v>9161.8429257927382</v>
      </c>
      <c r="M15" s="16"/>
      <c r="N15" s="16"/>
      <c r="O15" s="11"/>
      <c r="P15" s="13"/>
      <c r="Q15" s="14">
        <f t="shared" ca="1" si="6"/>
        <v>9161.8429257927382</v>
      </c>
      <c r="R15" s="16">
        <f t="shared" ca="1" si="4"/>
        <v>9161.8429257927382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9229.3700311965385</v>
      </c>
      <c r="D17" s="9">
        <f ca="1">SUM(D$2:D$11)</f>
        <v>0</v>
      </c>
      <c r="E17" s="9">
        <f ca="1">$Q$5/parameters!$B$4</f>
        <v>11029.375144284915</v>
      </c>
      <c r="F17" s="9">
        <f t="shared" ref="F17:K17" ca="1" si="7">SUM(F$2:F$11)</f>
        <v>10530.298507462687</v>
      </c>
      <c r="G17" s="9">
        <f t="shared" ca="1" si="7"/>
        <v>2001.9853709508882</v>
      </c>
      <c r="H17" s="9">
        <f t="shared" ca="1" si="7"/>
        <v>11793.32</v>
      </c>
      <c r="I17" s="9">
        <f t="shared" ca="1" si="7"/>
        <v>3351.6266841253359</v>
      </c>
      <c r="J17" s="9">
        <f t="shared" ca="1" si="7"/>
        <v>5313.5333158746644</v>
      </c>
      <c r="K17" s="9">
        <f t="shared" ca="1" si="7"/>
        <v>9390.6276529160732</v>
      </c>
      <c r="L17" s="17">
        <f t="shared" ca="1" si="5"/>
        <v>62640.136706811107</v>
      </c>
      <c r="M17" s="17"/>
      <c r="N17" s="17"/>
      <c r="O17" s="9"/>
      <c r="P17" s="14"/>
      <c r="Q17" s="11">
        <f t="shared" ca="1" si="6"/>
        <v>62640.136706811107</v>
      </c>
      <c r="R17" s="17">
        <f t="shared" ca="1" si="4"/>
        <v>62640.136706811107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0.90525595060172848</v>
      </c>
      <c r="J18" s="39">
        <f ca="1">I18</f>
        <v>0.90525595060172848</v>
      </c>
      <c r="K18" s="40">
        <f ca="1">1-(-K13)/K17</f>
        <v>0.88855272404680408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sheetPr>
    <tabColor theme="2" tint="-9.9978637043366805E-2"/>
  </sheetPr>
  <dimension ref="A1:S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f ca="1">Q3/parameters!$B$2</f>
        <v>5138.4379024139971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5138.4379024139971</v>
      </c>
      <c r="M2" s="17"/>
      <c r="N2" s="17">
        <f ca="1">Q2-(L2+O2+P2)</f>
        <v>0</v>
      </c>
      <c r="O2" s="11" cm="1">
        <f t="array" aca="1" ref="O2" ca="1">INDIRECT("'data'!$F$" &amp; $A$1)</f>
        <v>14170</v>
      </c>
      <c r="P2" s="13">
        <f ca="1">IF(-(L2-Q2+O2)&lt;0, -(L2-Q2+O2), 0)</f>
        <v>-19308.437902413996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5287.4656716417912</v>
      </c>
      <c r="G3" s="14">
        <f ca="1">Q3-O3-P3-F3</f>
        <v>56.740071986998373</v>
      </c>
      <c r="H3" s="14"/>
      <c r="I3" s="14"/>
      <c r="J3" s="14"/>
      <c r="K3" s="13"/>
      <c r="L3" s="16">
        <f t="shared" ca="1" si="0"/>
        <v>5344.2057436287896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162.54</v>
      </c>
      <c r="P3" s="13" cm="1">
        <f t="array" aca="1" ref="P3" ca="1">-INDIRECT("'data'!$I$" &amp; $A$1)*parameters!$B$13</f>
        <v>-400.68</v>
      </c>
      <c r="Q3" s="16" cm="1">
        <f t="array" aca="1" ref="Q3" ca="1">INDIRECT("'data'!$G$" &amp; $A$1)*parameters!$B$13</f>
        <v>5106.0657436287893</v>
      </c>
      <c r="R3" s="16">
        <f t="shared" ref="R3:R10" ca="1" si="2">SUM(L3:P3)</f>
        <v>5106.0657436287893</v>
      </c>
    </row>
    <row r="4" spans="1:19">
      <c r="A4" s="18" t="s">
        <v>65</v>
      </c>
      <c r="B4" s="11"/>
      <c r="C4" s="14"/>
      <c r="D4" s="14"/>
      <c r="E4" s="14"/>
      <c r="F4" s="14"/>
      <c r="G4" s="38">
        <v>0</v>
      </c>
      <c r="H4" s="14"/>
      <c r="I4" s="14"/>
      <c r="J4" s="14"/>
      <c r="K4" s="13"/>
      <c r="L4" s="16">
        <f t="shared" si="0"/>
        <v>0</v>
      </c>
      <c r="M4" s="16"/>
      <c r="N4" s="16">
        <f t="shared" ca="1" si="1"/>
        <v>166.51999999999998</v>
      </c>
      <c r="O4" s="11" cm="1">
        <f t="array" aca="1" ref="O4" ca="1">INDIRECT("'data'!$K$" &amp; $A$1)*parameters!$B$14</f>
        <v>7.36</v>
      </c>
      <c r="P4" s="13" cm="1">
        <f t="array" aca="1" ref="P4" ca="1">-INDIRECT("'data'!$L$" &amp; $A$1)*parameters!$B$14</f>
        <v>-173.88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>
      <c r="A5" s="18" t="s">
        <v>107</v>
      </c>
      <c r="B5" s="11"/>
      <c r="C5" s="14"/>
      <c r="D5" s="14"/>
      <c r="E5" s="14"/>
      <c r="F5" s="14">
        <f ca="1">Q6/parameters!$B$5*26%</f>
        <v>1857.7582089552241</v>
      </c>
      <c r="G5" s="14">
        <f ca="1">Q7/parameters!$B$7-(G3+G4)</f>
        <v>71.264107741319293</v>
      </c>
      <c r="H5" s="14"/>
      <c r="I5" s="14"/>
      <c r="J5" s="14"/>
      <c r="K5" s="13"/>
      <c r="L5" s="16">
        <f t="shared" ca="1" si="0"/>
        <v>1929.0223166965434</v>
      </c>
      <c r="M5" s="16"/>
      <c r="N5" s="16"/>
      <c r="O5" s="11" cm="1">
        <f t="array" aca="1" ref="O5" ca="1">INDIRECT("'data'!$M$" &amp; $A$1)*parameters!$B$15</f>
        <v>3914.12</v>
      </c>
      <c r="P5" s="13" cm="1">
        <f t="array" aca="1" ref="P5" ca="1">-INDIRECT("'data'!$N$" &amp; $A$1)*parameters!$B$15</f>
        <v>-1847.3</v>
      </c>
      <c r="Q5" s="16">
        <f ca="1">SUM(L5:P5)</f>
        <v>3995.8423166965431</v>
      </c>
      <c r="R5" s="16">
        <f t="shared" ca="1" si="2"/>
        <v>3995.8423166965431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6702.22</v>
      </c>
      <c r="I6" s="14"/>
      <c r="J6" s="14"/>
      <c r="K6" s="13"/>
      <c r="L6" s="16">
        <f t="shared" ca="1" si="0"/>
        <v>6702.22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6702.22</v>
      </c>
      <c r="R6" s="16">
        <f t="shared" ca="1" si="2"/>
        <v>6702.22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122.5</v>
      </c>
      <c r="I7" s="14"/>
      <c r="J7" s="14"/>
      <c r="K7" s="13"/>
      <c r="L7" s="16">
        <f t="shared" ca="1" si="0"/>
        <v>122.5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122.5</v>
      </c>
      <c r="R7" s="16">
        <f t="shared" ca="1" si="2"/>
        <v>122.5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201.91415722896312</v>
      </c>
      <c r="J8" s="14">
        <f ca="1">Q10/J18</f>
        <v>6723.7458427710362</v>
      </c>
      <c r="K8" s="13"/>
      <c r="L8" s="16">
        <f t="shared" ca="1" si="0"/>
        <v>6925.6599999999989</v>
      </c>
      <c r="M8" s="16"/>
      <c r="N8" s="16">
        <f t="shared" ca="1" si="3"/>
        <v>0</v>
      </c>
      <c r="O8" s="11" cm="1">
        <f t="array" aca="1" ref="O8" ca="1">INDIRECT("'data'!$R$" &amp; $A$1)*parameters!$B$15</f>
        <v>622.29999999999995</v>
      </c>
      <c r="P8" s="13" cm="1">
        <f t="array" aca="1" ref="P8" ca="1">-INDIRECT("'data'!$S$" &amp; $A$1)*parameters!$B$15</f>
        <v>-723.24</v>
      </c>
      <c r="Q8" s="16">
        <f ca="1">SUM(Q6:Q7)</f>
        <v>6824.72</v>
      </c>
      <c r="R8" s="16">
        <f t="shared" ca="1" si="2"/>
        <v>6824.7199999999993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1727.74</v>
      </c>
      <c r="L9" s="16">
        <f t="shared" ca="1" si="0"/>
        <v>1727.74</v>
      </c>
      <c r="M9" s="16"/>
      <c r="N9" s="16">
        <f t="shared" ca="1" si="3"/>
        <v>-2.5579538487363607E-13</v>
      </c>
      <c r="O9" s="11" cm="1">
        <f t="array" aca="1" ref="O9" ca="1">INDIRECT("'data'!$U$" &amp; $A$1)*parameters!$B$15</f>
        <v>683.06</v>
      </c>
      <c r="P9" s="13" cm="1">
        <f t="array" aca="1" ref="P9" ca="1">-INDIRECT("'data'!$V$" &amp; $A$1)*parameters!$B$15</f>
        <v>-2225.58</v>
      </c>
      <c r="Q9" s="16" cm="1">
        <f t="array" aca="1" ref="Q9" ca="1">INDIRECT("'data'!$T$" &amp; $A$1)*parameters!$B$15</f>
        <v>185.22</v>
      </c>
      <c r="R9" s="16">
        <f t="shared" ca="1" si="2"/>
        <v>185.2199999999998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1689.2300426742527</v>
      </c>
      <c r="L10" s="16">
        <f t="shared" ca="1" si="0"/>
        <v>1689.2300426742527</v>
      </c>
      <c r="M10" s="16"/>
      <c r="N10" s="16">
        <f t="shared" ca="1" si="3"/>
        <v>0</v>
      </c>
      <c r="O10" s="11" cm="1">
        <f t="array" aca="1" ref="O10" ca="1">INDIRECT("'data'!$X$" &amp; $A$1)*parameters!$B$15</f>
        <v>7660.66</v>
      </c>
      <c r="P10" s="13" cm="1">
        <f t="array" aca="1" ref="P10" ca="1">-INDIRECT("'data'!$Y$" &amp; $A$1)*parameters!$B$15</f>
        <v>-3182.06</v>
      </c>
      <c r="Q10" s="16" cm="1">
        <f t="array" aca="1" ref="Q10" ca="1">INDIRECT("'data'!$W$" &amp; $A$1)*parameters!$B$15</f>
        <v>6167.8300426742526</v>
      </c>
      <c r="R10" s="16">
        <f t="shared" ca="1" si="2"/>
        <v>6167.8300426742535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3041.5334366998568</v>
      </c>
      <c r="N11" s="19"/>
      <c r="O11" s="21" cm="1">
        <f t="array" aca="1" ref="O11" ca="1">INDIRECT("'data'!$Z$" &amp; $A$1)*parameters!$B$15</f>
        <v>6726.72</v>
      </c>
      <c r="P11" s="27" cm="1">
        <f t="array" aca="1" ref="P11" ca="1">-INDIRECT("'data'!$AA$" &amp; $A$1)*parameters!$B$15</f>
        <v>-6691.44</v>
      </c>
      <c r="Q11" s="16">
        <f ca="1">K9*parameters!$B$10+K10*parameters!$B$11</f>
        <v>3076.8134366998574</v>
      </c>
      <c r="R11" s="16">
        <f t="shared" ref="R11:R17" ca="1" si="4">SUM(L11:P11)</f>
        <v>3076.8134366998574</v>
      </c>
    </row>
    <row r="12" spans="1:19">
      <c r="A12" s="29" t="s">
        <v>86</v>
      </c>
      <c r="B12" s="10">
        <f ca="1">-(B17-Q2)</f>
        <v>0</v>
      </c>
      <c r="C12" s="9">
        <f ca="1">-(C17-Q3)</f>
        <v>-32.37215878520783</v>
      </c>
      <c r="D12" s="9">
        <f ca="1">-(D17-Q4)</f>
        <v>0</v>
      </c>
      <c r="E12" s="9">
        <f ca="1">-(E17-Q5)</f>
        <v>-493.86815150181974</v>
      </c>
      <c r="F12" s="9">
        <f ca="1">-(F17-Q6)</f>
        <v>-443.00388059701527</v>
      </c>
      <c r="G12" s="9">
        <f ca="1">-(G17-Q7)</f>
        <v>-5.5041797283176663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-974.74837061236053</v>
      </c>
      <c r="M12" s="17"/>
      <c r="N12" s="17"/>
      <c r="O12" s="10"/>
      <c r="P12" s="12"/>
      <c r="Q12" s="9">
        <f t="shared" ref="Q12:Q17" ca="1" si="6">SUM(L12:P12)</f>
        <v>-974.74837061236053</v>
      </c>
      <c r="R12" s="17">
        <f t="shared" ca="1" si="4"/>
        <v>-974.74837061236053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-16.694157228963121</v>
      </c>
      <c r="J13" s="14">
        <f ca="1">-(J17-Q10)</f>
        <v>-555.91580009678364</v>
      </c>
      <c r="K13" s="13">
        <f ca="1">-(K17-Q11)</f>
        <v>-340.15660597439546</v>
      </c>
      <c r="L13" s="14">
        <f t="shared" ca="1" si="5"/>
        <v>-912.76656330014225</v>
      </c>
      <c r="M13" s="16">
        <f ca="1">-E15</f>
        <v>-3576.9439048982204</v>
      </c>
      <c r="N13" s="16"/>
      <c r="O13" s="11"/>
      <c r="P13" s="13"/>
      <c r="Q13" s="14">
        <f t="shared" ca="1" si="6"/>
        <v>-4489.7104681983628</v>
      </c>
      <c r="R13" s="16">
        <f t="shared" ca="1" si="4"/>
        <v>-4489.7104681983628</v>
      </c>
    </row>
    <row r="14" spans="1:19">
      <c r="A14" s="18" t="s">
        <v>78</v>
      </c>
      <c r="B14" s="11"/>
      <c r="C14" s="14"/>
      <c r="D14" s="14"/>
      <c r="E14" s="14">
        <f ca="1">-(I13+J13)-K13</f>
        <v>912.76656330014225</v>
      </c>
      <c r="F14" s="14"/>
      <c r="G14" s="14"/>
      <c r="H14" s="14"/>
      <c r="I14" s="14"/>
      <c r="J14" s="14"/>
      <c r="K14" s="13"/>
      <c r="L14" s="14">
        <f t="shared" ca="1" si="5"/>
        <v>912.76656330014225</v>
      </c>
      <c r="M14" s="16"/>
      <c r="N14" s="16"/>
      <c r="O14" s="11"/>
      <c r="P14" s="13"/>
      <c r="Q14" s="14">
        <f t="shared" ca="1" si="6"/>
        <v>912.76656330014225</v>
      </c>
      <c r="R14" s="16">
        <f t="shared" ca="1" si="4"/>
        <v>912.76656330014225</v>
      </c>
    </row>
    <row r="15" spans="1:19">
      <c r="A15" s="18" t="s">
        <v>79</v>
      </c>
      <c r="B15" s="11"/>
      <c r="C15" s="14"/>
      <c r="D15" s="14"/>
      <c r="E15" s="14">
        <f ca="1">E17-E14</f>
        <v>3576.9439048982204</v>
      </c>
      <c r="F15" s="14"/>
      <c r="G15" s="14"/>
      <c r="H15" s="14"/>
      <c r="I15" s="14"/>
      <c r="J15" s="14"/>
      <c r="K15" s="13"/>
      <c r="L15" s="14">
        <f t="shared" ca="1" si="5"/>
        <v>3576.9439048982204</v>
      </c>
      <c r="M15" s="16"/>
      <c r="N15" s="16"/>
      <c r="O15" s="11"/>
      <c r="P15" s="13"/>
      <c r="Q15" s="14">
        <f t="shared" ca="1" si="6"/>
        <v>3576.9439048982204</v>
      </c>
      <c r="R15" s="16">
        <f t="shared" ca="1" si="4"/>
        <v>3576.9439048982204</v>
      </c>
    </row>
    <row r="16" spans="1:19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5138.4379024139971</v>
      </c>
      <c r="D17" s="9">
        <f ca="1">SUM(D$2:D$11)</f>
        <v>0</v>
      </c>
      <c r="E17" s="9">
        <f ca="1">$Q$5/parameters!$B$4</f>
        <v>4489.7104681983628</v>
      </c>
      <c r="F17" s="9">
        <f t="shared" ref="F17:K17" ca="1" si="7">SUM(F$2:F$11)</f>
        <v>7145.2238805970155</v>
      </c>
      <c r="G17" s="9">
        <f t="shared" ca="1" si="7"/>
        <v>128.00417972831767</v>
      </c>
      <c r="H17" s="9">
        <f t="shared" ca="1" si="7"/>
        <v>6824.72</v>
      </c>
      <c r="I17" s="9">
        <f t="shared" ca="1" si="7"/>
        <v>201.91415722896312</v>
      </c>
      <c r="J17" s="9">
        <f t="shared" ca="1" si="7"/>
        <v>6723.7458427710362</v>
      </c>
      <c r="K17" s="9">
        <f t="shared" ca="1" si="7"/>
        <v>3416.9700426742529</v>
      </c>
      <c r="L17" s="17">
        <f t="shared" ca="1" si="5"/>
        <v>34068.726473611947</v>
      </c>
      <c r="M17" s="17"/>
      <c r="N17" s="17"/>
      <c r="O17" s="9"/>
      <c r="P17" s="14"/>
      <c r="Q17" s="11">
        <f t="shared" ca="1" si="6"/>
        <v>34068.726473611947</v>
      </c>
      <c r="R17" s="17">
        <f t="shared" ca="1" si="4"/>
        <v>34068.726473611947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0.9173205214628285</v>
      </c>
      <c r="J18" s="39">
        <f ca="1">I18</f>
        <v>0.9173205214628285</v>
      </c>
      <c r="K18" s="40">
        <f ca="1">1-(-K13)/K17</f>
        <v>0.90045080825227963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3121.1532655731103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3121.1532655731103</v>
      </c>
      <c r="M2" s="17"/>
      <c r="N2" s="17">
        <f ca="1">Q2-(L2+O2+P2)</f>
        <v>0</v>
      </c>
      <c r="O2" s="11" cm="1">
        <f t="array" aca="1" ref="O2" ca="1">INDIRECT("'data'!$F$" &amp; $A$1)</f>
        <v>490296.3</v>
      </c>
      <c r="P2" s="13">
        <f ca="1">IF(-(L2-Q2+O2)&lt;0, -(L2-Q2+O2), 0)</f>
        <v>-36008.453265573073</v>
      </c>
      <c r="Q2" s="17" cm="1">
        <f t="array" aca="1" ref="Q2" ca="1">INDIRECT("'data'!$D$" &amp; $A$1)</f>
        <v>457409</v>
      </c>
      <c r="R2" s="17">
        <f ca="1">SUM(L2:P2)</f>
        <v>457409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2986.3880597014927</v>
      </c>
      <c r="G3" s="14">
        <f ca="1">Q3-O3-P3-F3</f>
        <v>127.38694029850694</v>
      </c>
      <c r="H3" s="14"/>
      <c r="I3" s="14"/>
      <c r="J3" s="14"/>
      <c r="K3" s="13"/>
      <c r="L3" s="16">
        <f t="shared" ca="1" si="0"/>
        <v>3113.7749999999996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-12.285</v>
      </c>
      <c r="Q3" s="16" cm="1">
        <f t="array" aca="1" ref="Q3" ca="1">INDIRECT("'data'!$G$" &amp; $A$1)*parameters!$B$13</f>
        <v>3101.49</v>
      </c>
      <c r="R3" s="16">
        <f t="shared" ref="R3:R10" ca="1" si="2">SUM(L3:P3)</f>
        <v>3101.49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Q6/parameters!$B$5*20%</f>
        <v>746.59701492537317</v>
      </c>
      <c r="G5" s="14">
        <f ca="1">Q7/parameters!$B$7-(G3+G4)</f>
        <v>931.46363441413678</v>
      </c>
      <c r="H5" s="14"/>
      <c r="I5" s="14"/>
      <c r="J5" s="14"/>
      <c r="K5" s="13"/>
      <c r="L5" s="16">
        <f t="shared" ca="1" si="0"/>
        <v>1678.0606493395098</v>
      </c>
      <c r="M5" s="16"/>
      <c r="N5" s="16"/>
      <c r="O5" s="11" cm="1">
        <f t="array" aca="1" ref="O5" ca="1">INDIRECT("'data'!$M$" &amp; $A$1)*parameters!$B$15</f>
        <v>2314.7599999999998</v>
      </c>
      <c r="P5" s="13" cm="1">
        <f t="array" aca="1" ref="P5" ca="1">-INDIRECT("'data'!$N$" &amp; $A$1)*parameters!$B$15</f>
        <v>-22.54</v>
      </c>
      <c r="Q5" s="16">
        <f ca="1">SUM(L5:P5)</f>
        <v>3970.2806493395096</v>
      </c>
      <c r="R5" s="16">
        <f t="shared" ca="1" si="2"/>
        <v>3970.2806493395096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3501.54</v>
      </c>
      <c r="I6" s="14"/>
      <c r="J6" s="14"/>
      <c r="K6" s="13"/>
      <c r="L6" s="16">
        <f t="shared" ca="1" si="0"/>
        <v>3501.54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3501.54</v>
      </c>
      <c r="R6" s="16">
        <f t="shared" ca="1" si="2"/>
        <v>3501.54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1013.3199999999999</v>
      </c>
      <c r="I7" s="14"/>
      <c r="J7" s="14"/>
      <c r="K7" s="13"/>
      <c r="L7" s="16">
        <f t="shared" ca="1" si="0"/>
        <v>1013.3199999999999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1013.3199999999999</v>
      </c>
      <c r="R7" s="16">
        <f t="shared" ca="1" si="2"/>
        <v>1013.3199999999999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1873.0712139939812</v>
      </c>
      <c r="J8" s="14">
        <f ca="1">Q10/J18</f>
        <v>2615.3287860060186</v>
      </c>
      <c r="K8" s="13"/>
      <c r="L8" s="16">
        <f t="shared" ca="1" si="0"/>
        <v>4488.3999999999996</v>
      </c>
      <c r="M8" s="16"/>
      <c r="N8" s="16">
        <f t="shared" ca="1" si="3"/>
        <v>0</v>
      </c>
      <c r="O8" s="11" cm="1">
        <f t="array" aca="1" ref="O8" ca="1">INDIRECT("'data'!$R$" &amp; $A$1)*parameters!$B$15</f>
        <v>57.82</v>
      </c>
      <c r="P8" s="13" cm="1">
        <f t="array" aca="1" ref="P8" ca="1">-INDIRECT("'data'!$S$" &amp; $A$1)*parameters!$B$15</f>
        <v>-31.36</v>
      </c>
      <c r="Q8" s="16">
        <f ca="1">SUM(Q6:Q7)</f>
        <v>4514.8599999999997</v>
      </c>
      <c r="R8" s="16">
        <f t="shared" ca="1" si="2"/>
        <v>4514.8599999999997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2386.3000000000002</v>
      </c>
      <c r="L9" s="16">
        <f t="shared" ca="1" si="0"/>
        <v>2386.3000000000002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97.02</v>
      </c>
      <c r="P9" s="13" cm="1">
        <f t="array" aca="1" ref="P9" ca="1">-INDIRECT("'data'!$V$" &amp; $A$1)*parameters!$B$15</f>
        <v>-837.9</v>
      </c>
      <c r="Q9" s="16" cm="1">
        <f t="array" aca="1" ref="Q9" ca="1">INDIRECT("'data'!$T$" &amp; $A$1)*parameters!$B$15</f>
        <v>1645.42</v>
      </c>
      <c r="R9" s="16">
        <f t="shared" ca="1" si="2"/>
        <v>1645.42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2651.2443243243242</v>
      </c>
      <c r="L10" s="16">
        <f t="shared" ca="1" si="0"/>
        <v>2651.2443243243242</v>
      </c>
      <c r="M10" s="16"/>
      <c r="N10" s="16">
        <f t="shared" ca="1" si="3"/>
        <v>0</v>
      </c>
      <c r="O10" s="11" cm="1">
        <f t="array" aca="1" ref="O10" ca="1">INDIRECT("'data'!$X$" &amp; $A$1)*parameters!$B$15</f>
        <v>438.06</v>
      </c>
      <c r="P10" s="13" cm="1">
        <f t="array" aca="1" ref="P10" ca="1">-INDIRECT("'data'!$Y$" &amp; $A$1)*parameters!$B$15</f>
        <v>-791.84</v>
      </c>
      <c r="Q10" s="16" cm="1">
        <f t="array" aca="1" ref="Q10" ca="1">INDIRECT("'data'!$W$" &amp; $A$1)*parameters!$B$15</f>
        <v>2297.464324324324</v>
      </c>
      <c r="R10" s="16">
        <f t="shared" ca="1" si="2"/>
        <v>2297.464324324324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9253.6521189189189</v>
      </c>
      <c r="N11" s="19"/>
      <c r="O11" s="21" cm="1">
        <f t="array" aca="1" ref="O11" ca="1">INDIRECT("'data'!$Z$" &amp; $A$1)*parameters!$B$15</f>
        <v>812.42</v>
      </c>
      <c r="P11" s="27" cm="1">
        <f t="array" aca="1" ref="P11" ca="1">-INDIRECT("'data'!$AA$" &amp; $A$1)*parameters!$B$15</f>
        <v>-5542.88</v>
      </c>
      <c r="Q11" s="16">
        <f ca="1">K9*parameters!$B$10+K10*parameters!$B$11</f>
        <v>4523.1921189189188</v>
      </c>
      <c r="R11" s="16">
        <f t="shared" ref="R11:R17" ca="1" si="4">SUM(L11:P11)</f>
        <v>4523.1921189189188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-19.663265573110493</v>
      </c>
      <c r="D12" s="9">
        <f ca="1">-(D17-Q4)</f>
        <v>0</v>
      </c>
      <c r="E12" s="9">
        <f ca="1">-(E17-Q5)</f>
        <v>-490.70884430038905</v>
      </c>
      <c r="F12" s="9">
        <f ca="1">-(F17-Q6)</f>
        <v>-231.44507462686579</v>
      </c>
      <c r="G12" s="9">
        <f ca="1">-(G17-Q7)</f>
        <v>-45.530574712643784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-787.34775921300911</v>
      </c>
      <c r="M12" s="17"/>
      <c r="N12" s="17"/>
      <c r="O12" s="10"/>
      <c r="P12" s="12"/>
      <c r="Q12" s="9">
        <f t="shared" ref="Q12:Q17" ca="1" si="6">SUM(L12:P12)</f>
        <v>-787.34775921300911</v>
      </c>
      <c r="R12" s="17">
        <f t="shared" ca="1" si="4"/>
        <v>-787.34775921300911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-227.65121399398117</v>
      </c>
      <c r="J13" s="14">
        <f ca="1">-(J17-Q10)</f>
        <v>-317.86446168169459</v>
      </c>
      <c r="K13" s="13">
        <f ca="1">-(K17-Q11)</f>
        <v>-514.35220540540558</v>
      </c>
      <c r="L13" s="14">
        <f t="shared" ca="1" si="5"/>
        <v>-1059.8678810810814</v>
      </c>
      <c r="M13" s="16">
        <f ca="1">-E15</f>
        <v>-3401.1216125588171</v>
      </c>
      <c r="N13" s="16"/>
      <c r="O13" s="11"/>
      <c r="P13" s="13"/>
      <c r="Q13" s="14">
        <f t="shared" ca="1" si="6"/>
        <v>-4460.9894936398987</v>
      </c>
      <c r="R13" s="16">
        <f t="shared" ca="1" si="4"/>
        <v>-4460.9894936398987</v>
      </c>
    </row>
    <row r="14" spans="1:19">
      <c r="A14" s="18" t="s">
        <v>78</v>
      </c>
      <c r="B14" s="11"/>
      <c r="C14" s="14"/>
      <c r="D14" s="14"/>
      <c r="E14" s="14">
        <f ca="1">-(I13+J13)-K13</f>
        <v>1059.8678810810814</v>
      </c>
      <c r="F14" s="14"/>
      <c r="G14" s="14"/>
      <c r="H14" s="14"/>
      <c r="I14" s="14"/>
      <c r="J14" s="14"/>
      <c r="K14" s="13"/>
      <c r="L14" s="14">
        <f t="shared" ca="1" si="5"/>
        <v>1059.8678810810814</v>
      </c>
      <c r="M14" s="16"/>
      <c r="N14" s="16"/>
      <c r="O14" s="11"/>
      <c r="P14" s="13"/>
      <c r="Q14" s="14">
        <f t="shared" ca="1" si="6"/>
        <v>1059.8678810810814</v>
      </c>
      <c r="R14" s="16">
        <f t="shared" ca="1" si="4"/>
        <v>1059.8678810810814</v>
      </c>
    </row>
    <row r="15" spans="1:19">
      <c r="A15" s="18" t="s">
        <v>79</v>
      </c>
      <c r="B15" s="11"/>
      <c r="C15" s="14"/>
      <c r="D15" s="14"/>
      <c r="E15" s="14">
        <f ca="1">E17-E14</f>
        <v>3401.1216125588171</v>
      </c>
      <c r="F15" s="14"/>
      <c r="G15" s="14"/>
      <c r="H15" s="14"/>
      <c r="I15" s="14"/>
      <c r="J15" s="14"/>
      <c r="K15" s="13"/>
      <c r="L15" s="14">
        <f t="shared" ca="1" si="5"/>
        <v>3401.1216125588171</v>
      </c>
      <c r="M15" s="16"/>
      <c r="N15" s="16"/>
      <c r="O15" s="11"/>
      <c r="P15" s="13"/>
      <c r="Q15" s="14">
        <f t="shared" ca="1" si="6"/>
        <v>3401.1216125588171</v>
      </c>
      <c r="R15" s="16">
        <f t="shared" ca="1" si="4"/>
        <v>3401.1216125588171</v>
      </c>
    </row>
    <row r="16" spans="1:19">
      <c r="A16" s="30" t="s">
        <v>89</v>
      </c>
      <c r="B16" s="21">
        <f ca="1">Q2</f>
        <v>457409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457409</v>
      </c>
      <c r="M16" s="19"/>
      <c r="N16" s="19"/>
      <c r="O16" s="21"/>
      <c r="P16" s="27"/>
      <c r="Q16" s="22">
        <f t="shared" ca="1" si="6"/>
        <v>457409</v>
      </c>
      <c r="R16" s="19">
        <f t="shared" ca="1" si="4"/>
        <v>457409</v>
      </c>
    </row>
    <row r="17" spans="1:18">
      <c r="A17" s="29" t="s">
        <v>88</v>
      </c>
      <c r="B17" s="9">
        <f ca="1">B16</f>
        <v>457409</v>
      </c>
      <c r="C17" s="9">
        <f ca="1">SUM(C$2:C$11)</f>
        <v>3121.1532655731103</v>
      </c>
      <c r="D17" s="9">
        <f ca="1">SUM(D$2:D$11)</f>
        <v>0</v>
      </c>
      <c r="E17" s="9">
        <f ca="1">$Q$5/parameters!$B$4</f>
        <v>4460.9894936398987</v>
      </c>
      <c r="F17" s="9">
        <f t="shared" ref="F17:K17" ca="1" si="7">SUM(F$2:F$11)</f>
        <v>3732.9850746268658</v>
      </c>
      <c r="G17" s="9">
        <f t="shared" ca="1" si="7"/>
        <v>1058.8505747126437</v>
      </c>
      <c r="H17" s="9">
        <f t="shared" ca="1" si="7"/>
        <v>4514.8599999999997</v>
      </c>
      <c r="I17" s="9">
        <f t="shared" ca="1" si="7"/>
        <v>1873.0712139939812</v>
      </c>
      <c r="J17" s="9">
        <f t="shared" ca="1" si="7"/>
        <v>2615.3287860060186</v>
      </c>
      <c r="K17" s="9">
        <f t="shared" ca="1" si="7"/>
        <v>5037.5443243243244</v>
      </c>
      <c r="L17" s="17">
        <f t="shared" ca="1" si="5"/>
        <v>483823.78273287683</v>
      </c>
      <c r="M17" s="17"/>
      <c r="N17" s="17"/>
      <c r="O17" s="9"/>
      <c r="P17" s="14"/>
      <c r="Q17" s="11">
        <f t="shared" ca="1" si="6"/>
        <v>483823.78273287683</v>
      </c>
      <c r="R17" s="17">
        <f t="shared" ca="1" si="4"/>
        <v>483823.78273287683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0.87846099374483655</v>
      </c>
      <c r="J18" s="39">
        <f ca="1">I18</f>
        <v>0.87846099374483655</v>
      </c>
      <c r="K18" s="40">
        <f ca="1">1-(-K13)/K17</f>
        <v>0.89789624223814757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4186.263459796719</v>
      </c>
      <c r="D2" s="9">
        <f ca="1">Q4/parameters!$B$3</f>
        <v>1492.4423870383414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5678.7058468350606</v>
      </c>
      <c r="M2" s="17"/>
      <c r="N2" s="17">
        <f ca="1">Q2-(L2+O2+P2)</f>
        <v>3701.9441531649427</v>
      </c>
      <c r="O2" s="11" cm="1">
        <f t="array" aca="1" ref="O2" ca="1">INDIRECT("'data'!$F$" &amp; $A$1)</f>
        <v>42119.35</v>
      </c>
      <c r="P2" s="13">
        <f ca="1">IF(-(L2-Q2+O2)&lt;0, -(L2-Q2+O2), 0)</f>
        <v>0</v>
      </c>
      <c r="Q2" s="17" cm="1">
        <f t="array" aca="1" ref="Q2" ca="1">INDIRECT("'data'!$D$" &amp; $A$1)</f>
        <v>51500</v>
      </c>
      <c r="R2" s="17">
        <f ca="1">SUM(L2:P2)</f>
        <v>51500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3028.1791044776119</v>
      </c>
      <c r="G3" s="14">
        <f ca="1">Q3-O3-P3-F3</f>
        <v>432.41089552238736</v>
      </c>
      <c r="H3" s="14"/>
      <c r="I3" s="14"/>
      <c r="J3" s="14"/>
      <c r="K3" s="13"/>
      <c r="L3" s="16">
        <f t="shared" ca="1" si="0"/>
        <v>3460.5899999999992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699.3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4159.8899999999994</v>
      </c>
      <c r="R3" s="16">
        <f t="shared" ref="R3:R10" ca="1" si="2">SUM(L3:P3)</f>
        <v>4159.8899999999994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1442.56</v>
      </c>
      <c r="H4" s="14"/>
      <c r="I4" s="14"/>
      <c r="J4" s="14"/>
      <c r="K4" s="13"/>
      <c r="L4" s="16">
        <f t="shared" ca="1" si="0"/>
        <v>1442.56</v>
      </c>
      <c r="M4" s="16"/>
      <c r="N4" s="16">
        <f t="shared" ca="1" si="1"/>
        <v>0</v>
      </c>
      <c r="O4" s="11" cm="1">
        <f t="array" aca="1" ref="O4" ca="1">INDIRECT("'data'!$K$" &amp; $A$1)*parameters!$B$14</f>
        <v>41.4</v>
      </c>
      <c r="P4" s="13" cm="1">
        <f t="array" aca="1" ref="P4" ca="1">-INDIRECT("'data'!$L$" &amp; $A$1)*parameters!$B$14</f>
        <v>-0.92</v>
      </c>
      <c r="Q4" s="16" cm="1">
        <f t="array" aca="1" ref="Q4" ca="1">INDIRECT("'data'!$J$" &amp; $A$1)*parameters!$B$14</f>
        <v>1483.04</v>
      </c>
      <c r="R4" s="16">
        <f t="shared" ca="1" si="2"/>
        <v>1483.04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757.04477611940308</v>
      </c>
      <c r="G5" s="14">
        <f ca="1">Q7/parameters!$B$7-(G3+G4)</f>
        <v>981.05836257583633</v>
      </c>
      <c r="H5" s="14"/>
      <c r="I5" s="14"/>
      <c r="J5" s="14"/>
      <c r="K5" s="13"/>
      <c r="L5" s="16">
        <f t="shared" ca="1" si="0"/>
        <v>1738.1031386952395</v>
      </c>
      <c r="M5" s="16"/>
      <c r="N5" s="16"/>
      <c r="O5" s="11" cm="1">
        <f t="array" aca="1" ref="O5" ca="1">INDIRECT("'data'!$M$" &amp; $A$1)*parameters!$B$15</f>
        <v>1456.28</v>
      </c>
      <c r="P5" s="13" cm="1">
        <f t="array" aca="1" ref="P5" ca="1">-INDIRECT("'data'!$N$" &amp; $A$1)*parameters!$B$15</f>
        <v>-98.98</v>
      </c>
      <c r="Q5" s="16">
        <f ca="1">SUM(L5:P5)</f>
        <v>3095.4031386952397</v>
      </c>
      <c r="R5" s="16">
        <f t="shared" ca="1" si="2"/>
        <v>3095.4031386952397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3550.54</v>
      </c>
      <c r="I6" s="14"/>
      <c r="J6" s="14"/>
      <c r="K6" s="13"/>
      <c r="L6" s="16">
        <f t="shared" ca="1" si="0"/>
        <v>3550.54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3550.54</v>
      </c>
      <c r="R6" s="16">
        <f t="shared" ca="1" si="2"/>
        <v>3550.54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2733.22</v>
      </c>
      <c r="I7" s="14"/>
      <c r="J7" s="14"/>
      <c r="K7" s="13"/>
      <c r="L7" s="16">
        <f t="shared" ca="1" si="0"/>
        <v>2733.22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2733.22</v>
      </c>
      <c r="R7" s="16">
        <f t="shared" ca="1" si="2"/>
        <v>2733.22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2548.0382834345837</v>
      </c>
      <c r="J8" s="14">
        <f ca="1">Q10/J18</f>
        <v>3803.3417165654168</v>
      </c>
      <c r="K8" s="13"/>
      <c r="L8" s="16">
        <f t="shared" ca="1" si="0"/>
        <v>6351.380000000001</v>
      </c>
      <c r="M8" s="16"/>
      <c r="N8" s="16">
        <f t="shared" ca="1" si="3"/>
        <v>0</v>
      </c>
      <c r="O8" s="11" cm="1">
        <f t="array" aca="1" ref="O8" ca="1">INDIRECT("'data'!$R$" &amp; $A$1)*parameters!$B$15</f>
        <v>68.599999999999994</v>
      </c>
      <c r="P8" s="13" cm="1">
        <f t="array" aca="1" ref="P8" ca="1">-INDIRECT("'data'!$S$" &amp; $A$1)*parameters!$B$15</f>
        <v>-136.22</v>
      </c>
      <c r="Q8" s="16">
        <f ca="1">SUM(Q6:Q7)</f>
        <v>6283.76</v>
      </c>
      <c r="R8" s="16">
        <f t="shared" ca="1" si="2"/>
        <v>6283.7600000000011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1980.5800000000002</v>
      </c>
      <c r="L9" s="16">
        <f t="shared" ca="1" si="0"/>
        <v>1980.5800000000002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435.12</v>
      </c>
      <c r="P9" s="13" cm="1">
        <f t="array" aca="1" ref="P9" ca="1">-INDIRECT("'data'!$V$" &amp; $A$1)*parameters!$B$15</f>
        <v>-259.7</v>
      </c>
      <c r="Q9" s="16" cm="1">
        <f t="array" aca="1" ref="Q9" ca="1">INDIRECT("'data'!$T$" &amp; $A$1)*parameters!$B$15</f>
        <v>2156</v>
      </c>
      <c r="R9" s="16">
        <f t="shared" ca="1" si="2"/>
        <v>2156.0000000000005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2453.76386913229</v>
      </c>
      <c r="L10" s="16">
        <f t="shared" ca="1" si="0"/>
        <v>2453.76386913229</v>
      </c>
      <c r="M10" s="16"/>
      <c r="N10" s="16">
        <f t="shared" ca="1" si="3"/>
        <v>0</v>
      </c>
      <c r="O10" s="11" cm="1">
        <f t="array" aca="1" ref="O10" ca="1">INDIRECT("'data'!$X$" &amp; $A$1)*parameters!$B$15</f>
        <v>1597.3999999999999</v>
      </c>
      <c r="P10" s="13" cm="1">
        <f t="array" aca="1" ref="P10" ca="1">-INDIRECT("'data'!$Y$" &amp; $A$1)*parameters!$B$15</f>
        <v>-833</v>
      </c>
      <c r="Q10" s="16" cm="1">
        <f t="array" aca="1" ref="Q10" ca="1">INDIRECT("'data'!$W$" &amp; $A$1)*parameters!$B$15</f>
        <v>3218.1638691322901</v>
      </c>
      <c r="R10" s="16">
        <f t="shared" ca="1" si="2"/>
        <v>3218.1638691322896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4030.78212745377</v>
      </c>
      <c r="N11" s="19"/>
      <c r="O11" s="21" cm="1">
        <f t="array" aca="1" ref="O11" ca="1">INDIRECT("'data'!$Z$" &amp; $A$1)*parameters!$B$15</f>
        <v>1758.12</v>
      </c>
      <c r="P11" s="27" cm="1">
        <f t="array" aca="1" ref="P11" ca="1">-INDIRECT("'data'!$AA$" &amp; $A$1)*parameters!$B$15</f>
        <v>-1816.92</v>
      </c>
      <c r="Q11" s="16">
        <f ca="1">K9*parameters!$B$10+K10*parameters!$B$11</f>
        <v>3971.9821274537699</v>
      </c>
      <c r="R11" s="16">
        <f t="shared" ref="R11:R17" ca="1" si="4">SUM(L11:P11)</f>
        <v>3971.9821274537699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-26.373459796719544</v>
      </c>
      <c r="D12" s="9">
        <f ca="1">-(D17-Q4)</f>
        <v>-9.4023870383414305</v>
      </c>
      <c r="E12" s="9">
        <f ca="1">-(E17-Q5)</f>
        <v>-382.5779160185125</v>
      </c>
      <c r="F12" s="9">
        <f ca="1">-(F17-Q6)</f>
        <v>-234.6838805970151</v>
      </c>
      <c r="G12" s="9">
        <f ca="1">-(G17-Q7)</f>
        <v>-122.80925809822384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-775.84690154881241</v>
      </c>
      <c r="M12" s="17"/>
      <c r="N12" s="17"/>
      <c r="O12" s="10"/>
      <c r="P12" s="12"/>
      <c r="Q12" s="9">
        <f t="shared" ref="Q12:Q17" ca="1" si="6">SUM(L12:P12)</f>
        <v>-775.84690154881241</v>
      </c>
      <c r="R12" s="17">
        <f t="shared" ca="1" si="4"/>
        <v>-775.84690154881241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-392.03828343458372</v>
      </c>
      <c r="J13" s="14">
        <f ca="1">-(J17-Q10)</f>
        <v>-585.17784743312677</v>
      </c>
      <c r="K13" s="13">
        <f ca="1">-(K17-Q11)</f>
        <v>-462.36174167852005</v>
      </c>
      <c r="L13" s="14">
        <f t="shared" ca="1" si="5"/>
        <v>-1439.5778725462305</v>
      </c>
      <c r="M13" s="16">
        <f ca="1">-E15</f>
        <v>-2038.4031821675217</v>
      </c>
      <c r="N13" s="16"/>
      <c r="O13" s="11"/>
      <c r="P13" s="13"/>
      <c r="Q13" s="14">
        <f t="shared" ca="1" si="6"/>
        <v>-3477.9810547137522</v>
      </c>
      <c r="R13" s="16">
        <f t="shared" ca="1" si="4"/>
        <v>-3477.9810547137522</v>
      </c>
    </row>
    <row r="14" spans="1:20">
      <c r="A14" s="18" t="s">
        <v>78</v>
      </c>
      <c r="B14" s="11"/>
      <c r="C14" s="14"/>
      <c r="D14" s="14"/>
      <c r="E14" s="14">
        <f ca="1">-(I13+J13)-K13</f>
        <v>1439.5778725462305</v>
      </c>
      <c r="F14" s="14"/>
      <c r="G14" s="14"/>
      <c r="H14" s="14"/>
      <c r="I14" s="14"/>
      <c r="J14" s="14"/>
      <c r="K14" s="13"/>
      <c r="L14" s="14">
        <f t="shared" ca="1" si="5"/>
        <v>1439.5778725462305</v>
      </c>
      <c r="M14" s="16"/>
      <c r="N14" s="16"/>
      <c r="O14" s="11"/>
      <c r="P14" s="13"/>
      <c r="Q14" s="14">
        <f t="shared" ca="1" si="6"/>
        <v>1439.5778725462305</v>
      </c>
      <c r="R14" s="16">
        <f t="shared" ca="1" si="4"/>
        <v>1439.5778725462305</v>
      </c>
    </row>
    <row r="15" spans="1:20">
      <c r="A15" s="18" t="s">
        <v>79</v>
      </c>
      <c r="B15" s="11"/>
      <c r="C15" s="14"/>
      <c r="D15" s="14"/>
      <c r="E15" s="14">
        <f ca="1">E17-E14</f>
        <v>2038.4031821675217</v>
      </c>
      <c r="F15" s="14"/>
      <c r="G15" s="14"/>
      <c r="H15" s="14"/>
      <c r="I15" s="14"/>
      <c r="J15" s="14"/>
      <c r="K15" s="13"/>
      <c r="L15" s="14">
        <f t="shared" ca="1" si="5"/>
        <v>2038.4031821675217</v>
      </c>
      <c r="M15" s="16"/>
      <c r="N15" s="16"/>
      <c r="O15" s="11"/>
      <c r="P15" s="13"/>
      <c r="Q15" s="14">
        <f t="shared" ca="1" si="6"/>
        <v>2038.4031821675217</v>
      </c>
      <c r="R15" s="16">
        <f t="shared" ca="1" si="4"/>
        <v>2038.4031821675217</v>
      </c>
    </row>
    <row r="16" spans="1:20">
      <c r="A16" s="30" t="s">
        <v>89</v>
      </c>
      <c r="B16" s="21">
        <f ca="1">Q2</f>
        <v>51500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51500</v>
      </c>
      <c r="M16" s="19"/>
      <c r="N16" s="19"/>
      <c r="O16" s="21"/>
      <c r="P16" s="27"/>
      <c r="Q16" s="22">
        <f t="shared" ca="1" si="6"/>
        <v>51500</v>
      </c>
      <c r="R16" s="19">
        <f t="shared" ca="1" si="4"/>
        <v>51500</v>
      </c>
    </row>
    <row r="17" spans="1:18">
      <c r="A17" s="29" t="s">
        <v>88</v>
      </c>
      <c r="B17" s="9">
        <f ca="1">B16</f>
        <v>51500</v>
      </c>
      <c r="C17" s="9">
        <f ca="1">SUM(C$2:C$11)</f>
        <v>4186.263459796719</v>
      </c>
      <c r="D17" s="9">
        <f ca="1">SUM(D$2:D$11)</f>
        <v>1492.4423870383414</v>
      </c>
      <c r="E17" s="9">
        <f ca="1">$Q$5/parameters!$B$4</f>
        <v>3477.9810547137522</v>
      </c>
      <c r="F17" s="9">
        <f t="shared" ref="F17:K17" ca="1" si="7">SUM(F$2:F$11)</f>
        <v>3785.2238805970151</v>
      </c>
      <c r="G17" s="9">
        <f t="shared" ca="1" si="7"/>
        <v>2856.0292580982236</v>
      </c>
      <c r="H17" s="9">
        <f t="shared" ca="1" si="7"/>
        <v>6283.76</v>
      </c>
      <c r="I17" s="9">
        <f t="shared" ca="1" si="7"/>
        <v>2548.0382834345837</v>
      </c>
      <c r="J17" s="9">
        <f t="shared" ca="1" si="7"/>
        <v>3803.3417165654168</v>
      </c>
      <c r="K17" s="9">
        <f t="shared" ca="1" si="7"/>
        <v>4434.3438691322899</v>
      </c>
      <c r="L17" s="17">
        <f t="shared" ca="1" si="5"/>
        <v>84367.423909376332</v>
      </c>
      <c r="M17" s="17"/>
      <c r="N17" s="17"/>
      <c r="O17" s="9"/>
      <c r="P17" s="14"/>
      <c r="Q17" s="11">
        <f t="shared" ca="1" si="6"/>
        <v>84367.423909376332</v>
      </c>
      <c r="R17" s="17">
        <f t="shared" ca="1" si="4"/>
        <v>84367.423909376332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0.84614113297146287</v>
      </c>
      <c r="J18" s="39">
        <f ca="1">I18</f>
        <v>0.84614113297146287</v>
      </c>
      <c r="K18" s="40">
        <f ca="1">1-(-K13)/K17</f>
        <v>0.89573164478807221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sheetPr>
    <tabColor theme="2" tint="-9.9978637043366805E-2"/>
  </sheetPr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932.31357552581267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932.31357552581267</v>
      </c>
      <c r="M2" s="17"/>
      <c r="N2" s="17">
        <f ca="1">Q2-(L2+O2+P2)</f>
        <v>0</v>
      </c>
      <c r="O2" s="11" cm="1">
        <f t="array" aca="1" ref="O2" ca="1">INDIRECT("'data'!$F$" &amp; $A$1)</f>
        <v>7546.5</v>
      </c>
      <c r="P2" s="13">
        <f ca="1">IF(-(L2-Q2+O2)&lt;0, -(L2-Q2+O2), 0)</f>
        <v>-2468.8135755258127</v>
      </c>
      <c r="Q2" s="17" cm="1">
        <f t="array" aca="1" ref="Q2" ca="1">INDIRECT("'data'!$D$" &amp; $A$1)</f>
        <v>6010</v>
      </c>
      <c r="R2" s="17">
        <f ca="1">SUM(L2:P2)</f>
        <v>6009.9999999999991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58.589999999999996</v>
      </c>
      <c r="H3" s="14"/>
      <c r="I3" s="14"/>
      <c r="J3" s="14"/>
      <c r="K3" s="13"/>
      <c r="L3" s="16">
        <f t="shared" ca="1" si="0"/>
        <v>58.589999999999996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-58.589999999999996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322.00000000000006</v>
      </c>
      <c r="H4" s="14"/>
      <c r="I4" s="14"/>
      <c r="J4" s="14"/>
      <c r="K4" s="13"/>
      <c r="L4" s="16">
        <f t="shared" ca="1" si="0"/>
        <v>322.00000000000006</v>
      </c>
      <c r="M4" s="16"/>
      <c r="N4" s="16">
        <f t="shared" ca="1" si="1"/>
        <v>0</v>
      </c>
      <c r="O4" s="11" cm="1">
        <f t="array" aca="1" ref="O4" ca="1">INDIRECT("'data'!$K$" &amp; $A$1)*parameters!$B$14</f>
        <v>646.76</v>
      </c>
      <c r="P4" s="13" cm="1">
        <f t="array" aca="1" ref="P4" ca="1">-INDIRECT("'data'!$L$" &amp; $A$1)*parameters!$B$14</f>
        <v>-42.32</v>
      </c>
      <c r="Q4" s="16" cm="1">
        <f t="array" aca="1" ref="Q4" ca="1">INDIRECT("'data'!$J$" &amp; $A$1)*parameters!$B$14</f>
        <v>926.44</v>
      </c>
      <c r="R4" s="16">
        <f t="shared" ca="1" si="2"/>
        <v>926.43999999999994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4039.1383176593527</v>
      </c>
      <c r="H5" s="14"/>
      <c r="I5" s="14"/>
      <c r="J5" s="14"/>
      <c r="K5" s="13"/>
      <c r="L5" s="16">
        <f t="shared" ca="1" si="0"/>
        <v>4039.1383176593527</v>
      </c>
      <c r="M5" s="16"/>
      <c r="N5" s="16"/>
      <c r="O5" s="11" cm="1">
        <f t="array" aca="1" ref="O5" ca="1">INDIRECT("'data'!$M$" &amp; $A$1)*parameters!$B$15</f>
        <v>50.96</v>
      </c>
      <c r="P5" s="13" cm="1">
        <f t="array" aca="1" ref="P5" ca="1">-INDIRECT("'data'!$N$" &amp; $A$1)*parameters!$B$15</f>
        <v>-941.78</v>
      </c>
      <c r="Q5" s="16">
        <f ca="1">SUM(L5:P5)</f>
        <v>3148.3183176593529</v>
      </c>
      <c r="R5" s="16">
        <f t="shared" ca="1" si="2"/>
        <v>3148.3183176593529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4229.68</v>
      </c>
      <c r="I7" s="14"/>
      <c r="J7" s="14"/>
      <c r="K7" s="13"/>
      <c r="L7" s="16">
        <f t="shared" ca="1" si="0"/>
        <v>4229.68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4229.68</v>
      </c>
      <c r="R7" s="16">
        <f t="shared" ca="1" si="2"/>
        <v>4229.68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3892</v>
      </c>
      <c r="J8" s="14">
        <f ca="1">Q10/J18</f>
        <v>842.33428165007115</v>
      </c>
      <c r="K8" s="13"/>
      <c r="L8" s="16">
        <f t="shared" ca="1" si="0"/>
        <v>4734.3342816500708</v>
      </c>
      <c r="M8" s="16"/>
      <c r="N8" s="16">
        <f t="shared" ca="1" si="3"/>
        <v>-421.35428165007033</v>
      </c>
      <c r="O8" s="11" cm="1">
        <f t="array" aca="1" ref="O8" ca="1">INDIRECT("'data'!$R$" &amp; $A$1)*parameters!$B$15</f>
        <v>99.96</v>
      </c>
      <c r="P8" s="13" cm="1">
        <f t="array" aca="1" ref="P8" ca="1">-INDIRECT("'data'!$S$" &amp; $A$1)*parameters!$B$15</f>
        <v>-183.26</v>
      </c>
      <c r="Q8" s="16">
        <f ca="1">SUM(Q6:Q7)</f>
        <v>4229.68</v>
      </c>
      <c r="R8" s="16">
        <f t="shared" ca="1" si="2"/>
        <v>4229.68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6333.74</v>
      </c>
      <c r="L9" s="16">
        <f t="shared" ca="1" si="0"/>
        <v>6333.74</v>
      </c>
      <c r="M9" s="16"/>
      <c r="N9" s="16">
        <f t="shared" ca="1" si="3"/>
        <v>0</v>
      </c>
      <c r="O9" s="11" cm="1">
        <f t="array" aca="1" ref="O9" ca="1">INDIRECT("'data'!$U$" &amp; $A$1)*parameters!$B$15</f>
        <v>379.26</v>
      </c>
      <c r="P9" s="13" cm="1">
        <f t="array" aca="1" ref="P9" ca="1">-INDIRECT("'data'!$V$" &amp; $A$1)*parameters!$B$15</f>
        <v>-2898.84</v>
      </c>
      <c r="Q9" s="16" cm="1">
        <f t="array" aca="1" ref="Q9" ca="1">INDIRECT("'data'!$T$" &amp; $A$1)*parameters!$B$15</f>
        <v>3814.16</v>
      </c>
      <c r="R9" s="16">
        <f t="shared" ca="1" si="2"/>
        <v>3814.16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3897.7875960170695</v>
      </c>
      <c r="L10" s="16">
        <f t="shared" ca="1" si="0"/>
        <v>3897.7875960170695</v>
      </c>
      <c r="M10" s="16"/>
      <c r="N10" s="16">
        <f t="shared" ca="1" si="3"/>
        <v>0</v>
      </c>
      <c r="O10" s="11" cm="1">
        <f t="array" aca="1" ref="O10" ca="1">INDIRECT("'data'!$X$" &amp; $A$1)*parameters!$B$15</f>
        <v>419.44</v>
      </c>
      <c r="P10" s="13" cm="1">
        <f t="array" aca="1" ref="P10" ca="1">-INDIRECT("'data'!$Y$" &amp; $A$1)*parameters!$B$15</f>
        <v>-3491.74</v>
      </c>
      <c r="Q10" s="16" cm="1">
        <f t="array" aca="1" ref="Q10" ca="1">INDIRECT("'data'!$W$" &amp; $A$1)*parameters!$B$15</f>
        <v>825.48759601706968</v>
      </c>
      <c r="R10" s="16">
        <f t="shared" ca="1" si="2"/>
        <v>825.48759601706934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9816.3929325746794</v>
      </c>
      <c r="N11" s="19"/>
      <c r="O11" s="21" cm="1">
        <f t="array" aca="1" ref="O11" ca="1">INDIRECT("'data'!$Z$" &amp; $A$1)*parameters!$B$15</f>
        <v>1826.72</v>
      </c>
      <c r="P11" s="27" cm="1">
        <f t="array" aca="1" ref="P11" ca="1">-INDIRECT("'data'!$AA$" &amp; $A$1)*parameters!$B$15</f>
        <v>-2337.3000000000002</v>
      </c>
      <c r="Q11" s="16">
        <f ca="1">K9*parameters!$B$10+K10*parameters!$B$11</f>
        <v>9305.8129325746795</v>
      </c>
      <c r="R11" s="16">
        <f t="shared" ref="R11:R17" ca="1" si="4">SUM(L11:P11)</f>
        <v>9305.8129325746777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-5.8735755258126119</v>
      </c>
      <c r="E12" s="9">
        <f ca="1">-(E17-Q5)</f>
        <v>-389.11799431744794</v>
      </c>
      <c r="F12" s="9">
        <f ca="1">-(F17-Q6)</f>
        <v>0</v>
      </c>
      <c r="G12" s="9">
        <f ca="1">-(G17-Q7)</f>
        <v>-190.04831765935251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-585.03988750261306</v>
      </c>
      <c r="M12" s="17"/>
      <c r="N12" s="17"/>
      <c r="O12" s="10"/>
      <c r="P12" s="12"/>
      <c r="Q12" s="9">
        <f t="shared" ref="Q12:Q17" ca="1" si="6">SUM(L12:P12)</f>
        <v>-585.03988750261306</v>
      </c>
      <c r="R12" s="17">
        <f t="shared" ca="1" si="4"/>
        <v>-585.03988750261306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-77.840000000000146</v>
      </c>
      <c r="J13" s="14">
        <f ca="1">-(J17-Q10)</f>
        <v>-16.846685633001471</v>
      </c>
      <c r="K13" s="13">
        <f ca="1">-(K17-Q11)</f>
        <v>-925.71466344238979</v>
      </c>
      <c r="L13" s="14">
        <f t="shared" ca="1" si="5"/>
        <v>-1020.4013490753914</v>
      </c>
      <c r="M13" s="16">
        <f ca="1">-E15</f>
        <v>-2517.0349629014095</v>
      </c>
      <c r="N13" s="16"/>
      <c r="O13" s="11"/>
      <c r="P13" s="13"/>
      <c r="Q13" s="14">
        <f t="shared" ca="1" si="6"/>
        <v>-3537.4363119768009</v>
      </c>
      <c r="R13" s="16">
        <f t="shared" ca="1" si="4"/>
        <v>-3537.4363119768009</v>
      </c>
    </row>
    <row r="14" spans="1:19">
      <c r="A14" s="18" t="s">
        <v>78</v>
      </c>
      <c r="B14" s="11"/>
      <c r="C14" s="14"/>
      <c r="D14" s="14"/>
      <c r="E14" s="14">
        <f ca="1">-(I13+J13)-K13</f>
        <v>1020.4013490753914</v>
      </c>
      <c r="F14" s="14"/>
      <c r="G14" s="14"/>
      <c r="H14" s="14"/>
      <c r="I14" s="14"/>
      <c r="J14" s="14"/>
      <c r="K14" s="13"/>
      <c r="L14" s="14">
        <f t="shared" ca="1" si="5"/>
        <v>1020.4013490753914</v>
      </c>
      <c r="M14" s="16"/>
      <c r="N14" s="16"/>
      <c r="O14" s="11"/>
      <c r="P14" s="13"/>
      <c r="Q14" s="14">
        <f t="shared" ca="1" si="6"/>
        <v>1020.4013490753914</v>
      </c>
      <c r="R14" s="16">
        <f t="shared" ca="1" si="4"/>
        <v>1020.4013490753914</v>
      </c>
    </row>
    <row r="15" spans="1:19">
      <c r="A15" s="18" t="s">
        <v>79</v>
      </c>
      <c r="B15" s="11"/>
      <c r="C15" s="14"/>
      <c r="D15" s="14"/>
      <c r="E15" s="14">
        <f ca="1">E17-E14</f>
        <v>2517.0349629014095</v>
      </c>
      <c r="F15" s="14"/>
      <c r="G15" s="14"/>
      <c r="H15" s="14"/>
      <c r="I15" s="14"/>
      <c r="J15" s="14"/>
      <c r="K15" s="13"/>
      <c r="L15" s="14">
        <f t="shared" ca="1" si="5"/>
        <v>2517.0349629014095</v>
      </c>
      <c r="M15" s="16"/>
      <c r="N15" s="16"/>
      <c r="O15" s="11"/>
      <c r="P15" s="13"/>
      <c r="Q15" s="14">
        <f t="shared" ca="1" si="6"/>
        <v>2517.0349629014095</v>
      </c>
      <c r="R15" s="16">
        <f t="shared" ca="1" si="4"/>
        <v>2517.0349629014095</v>
      </c>
    </row>
    <row r="16" spans="1:19">
      <c r="A16" s="30" t="s">
        <v>89</v>
      </c>
      <c r="B16" s="21">
        <f ca="1">Q2</f>
        <v>6010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6010</v>
      </c>
      <c r="M16" s="19"/>
      <c r="N16" s="19"/>
      <c r="O16" s="21"/>
      <c r="P16" s="27"/>
      <c r="Q16" s="22">
        <f t="shared" ca="1" si="6"/>
        <v>6010</v>
      </c>
      <c r="R16" s="19">
        <f t="shared" ca="1" si="4"/>
        <v>6010</v>
      </c>
    </row>
    <row r="17" spans="1:18">
      <c r="A17" s="29" t="s">
        <v>88</v>
      </c>
      <c r="B17" s="9">
        <f ca="1">B16</f>
        <v>6010</v>
      </c>
      <c r="C17" s="9">
        <f ca="1">SUM(C$2:C$11)</f>
        <v>0</v>
      </c>
      <c r="D17" s="9">
        <f ca="1">SUM(D$2:D$11)</f>
        <v>932.31357552581267</v>
      </c>
      <c r="E17" s="9">
        <f ca="1">$Q$5/parameters!$B$4</f>
        <v>3537.4363119768009</v>
      </c>
      <c r="F17" s="9">
        <f t="shared" ref="F17:K17" ca="1" si="7">SUM(F$2:F$11)</f>
        <v>0</v>
      </c>
      <c r="G17" s="9">
        <f t="shared" ca="1" si="7"/>
        <v>4419.7283176593528</v>
      </c>
      <c r="H17" s="9">
        <f t="shared" ca="1" si="7"/>
        <v>4229.68</v>
      </c>
      <c r="I17" s="9">
        <f t="shared" ca="1" si="7"/>
        <v>3892</v>
      </c>
      <c r="J17" s="9">
        <f t="shared" ca="1" si="7"/>
        <v>842.33428165007115</v>
      </c>
      <c r="K17" s="9">
        <f t="shared" ca="1" si="7"/>
        <v>10231.527596017069</v>
      </c>
      <c r="L17" s="17">
        <f t="shared" ca="1" si="5"/>
        <v>34095.020082829105</v>
      </c>
      <c r="M17" s="17"/>
      <c r="N17" s="17"/>
      <c r="O17" s="9"/>
      <c r="P17" s="14"/>
      <c r="Q17" s="11">
        <f t="shared" ca="1" si="6"/>
        <v>34095.020082829105</v>
      </c>
      <c r="R17" s="17">
        <f t="shared" ca="1" si="4"/>
        <v>34095.020082829105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0.90952331851181711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216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216</v>
      </c>
      <c r="R2" s="17">
        <f ca="1">SUM(L2:P2)</f>
        <v>216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362.88</v>
      </c>
      <c r="H3" s="14"/>
      <c r="I3" s="14"/>
      <c r="J3" s="14"/>
      <c r="K3" s="13"/>
      <c r="L3" s="16">
        <f t="shared" ca="1" si="0"/>
        <v>362.88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-363.82499999999999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5612.3551097178688</v>
      </c>
      <c r="H5" s="14"/>
      <c r="I5" s="14"/>
      <c r="J5" s="14"/>
      <c r="K5" s="13"/>
      <c r="L5" s="16">
        <f t="shared" ca="1" si="0"/>
        <v>5612.3551097178688</v>
      </c>
      <c r="M5" s="16"/>
      <c r="N5" s="16"/>
      <c r="O5" s="11" cm="1">
        <f t="array" aca="1" ref="O5" ca="1">INDIRECT("'data'!$M$" &amp; $A$1)*parameters!$B$15</f>
        <v>376.32</v>
      </c>
      <c r="P5" s="13" cm="1">
        <f t="array" aca="1" ref="P5" ca="1">-INDIRECT("'data'!$N$" &amp; $A$1)*parameters!$B$15</f>
        <v>-1355.34</v>
      </c>
      <c r="Q5" s="16">
        <f ca="1">SUM(L5:P5)</f>
        <v>4633.3351097178684</v>
      </c>
      <c r="R5" s="16">
        <f t="shared" ca="1" si="2"/>
        <v>4633.3351097178684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5718.3</v>
      </c>
      <c r="I7" s="14"/>
      <c r="J7" s="14"/>
      <c r="K7" s="13"/>
      <c r="L7" s="16">
        <f t="shared" ca="1" si="0"/>
        <v>5718.3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5718.3</v>
      </c>
      <c r="R7" s="16">
        <f t="shared" ca="1" si="2"/>
        <v>5718.3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5686.5627676941731</v>
      </c>
      <c r="J8" s="14">
        <f ca="1">Q10/J18</f>
        <v>3090.317232305827</v>
      </c>
      <c r="K8" s="13"/>
      <c r="L8" s="16">
        <f t="shared" ca="1" si="0"/>
        <v>8776.880000000001</v>
      </c>
      <c r="M8" s="16"/>
      <c r="N8" s="16">
        <f t="shared" ca="1" si="3"/>
        <v>0</v>
      </c>
      <c r="O8" s="11" cm="1">
        <f t="array" aca="1" ref="O8" ca="1">INDIRECT("'data'!$R$" &amp; $A$1)*parameters!$B$15</f>
        <v>5.88</v>
      </c>
      <c r="P8" s="13" cm="1">
        <f t="array" aca="1" ref="P8" ca="1">-INDIRECT("'data'!$S$" &amp; $A$1)*parameters!$B$15</f>
        <v>-3064.46</v>
      </c>
      <c r="Q8" s="16">
        <f ca="1">SUM(Q6:Q7)</f>
        <v>5718.3</v>
      </c>
      <c r="R8" s="16">
        <f t="shared" ca="1" si="2"/>
        <v>5718.3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7350</v>
      </c>
      <c r="L9" s="16">
        <f t="shared" ca="1" si="0"/>
        <v>7350</v>
      </c>
      <c r="M9" s="16"/>
      <c r="N9" s="16">
        <f t="shared" ca="1" si="3"/>
        <v>0</v>
      </c>
      <c r="O9" s="11" cm="1">
        <f t="array" aca="1" ref="O9" ca="1">INDIRECT("'data'!$U$" &amp; $A$1)*parameters!$B$15</f>
        <v>854.56</v>
      </c>
      <c r="P9" s="13" cm="1">
        <f t="array" aca="1" ref="P9" ca="1">-INDIRECT("'data'!$V$" &amp; $A$1)*parameters!$B$15</f>
        <v>-2731.2599999999998</v>
      </c>
      <c r="Q9" s="16" cm="1">
        <f t="array" aca="1" ref="Q9" ca="1">INDIRECT("'data'!$T$" &amp; $A$1)*parameters!$B$15</f>
        <v>5473.3</v>
      </c>
      <c r="R9" s="16">
        <f t="shared" ca="1" si="2"/>
        <v>5473.2999999999993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10916.341280227596</v>
      </c>
      <c r="L10" s="16">
        <f t="shared" ca="1" si="0"/>
        <v>10916.341280227596</v>
      </c>
      <c r="M10" s="16"/>
      <c r="N10" s="16">
        <f t="shared" ca="1" si="3"/>
        <v>0</v>
      </c>
      <c r="O10" s="11" cm="1">
        <f t="array" aca="1" ref="O10" ca="1">INDIRECT("'data'!$X$" &amp; $A$1)*parameters!$B$15</f>
        <v>238.14</v>
      </c>
      <c r="P10" s="13" cm="1">
        <f t="array" aca="1" ref="P10" ca="1">-INDIRECT("'data'!$Y$" &amp; $A$1)*parameters!$B$15</f>
        <v>-8180.0599999999995</v>
      </c>
      <c r="Q10" s="16" cm="1">
        <f t="array" aca="1" ref="Q10" ca="1">INDIRECT("'data'!$W$" &amp; $A$1)*parameters!$B$15</f>
        <v>2974.4212802275961</v>
      </c>
      <c r="R10" s="16">
        <f t="shared" ca="1" si="2"/>
        <v>2974.4212802275961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14515.413500995734</v>
      </c>
      <c r="N11" s="19"/>
      <c r="O11" s="21" cm="1">
        <f t="array" aca="1" ref="O11" ca="1">INDIRECT("'data'!$Z$" &amp; $A$1)*parameters!$B$15</f>
        <v>5018.58</v>
      </c>
      <c r="P11" s="27" cm="1">
        <f t="array" aca="1" ref="P11" ca="1">-INDIRECT("'data'!$AA$" &amp; $A$1)*parameters!$B$15</f>
        <v>-3236.94</v>
      </c>
      <c r="Q11" s="16">
        <f ca="1">K9*parameters!$B$10+K10*parameters!$B$11</f>
        <v>16297.053500995733</v>
      </c>
      <c r="R11" s="16">
        <f t="shared" ref="R11:R17" ca="1" si="4">SUM(L11:P11)</f>
        <v>16297.053500995733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-572.65939558310765</v>
      </c>
      <c r="F12" s="9">
        <f ca="1">-(F17-Q6)</f>
        <v>0</v>
      </c>
      <c r="G12" s="9">
        <f ca="1">-(G17-Q7)</f>
        <v>-256.93510971786873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-829.59450530097638</v>
      </c>
      <c r="M12" s="17"/>
      <c r="N12" s="17"/>
      <c r="O12" s="10"/>
      <c r="P12" s="12"/>
      <c r="Q12" s="9">
        <f t="shared" ref="Q12:Q17" ca="1" si="6">SUM(L12:P12)</f>
        <v>-829.59450530097638</v>
      </c>
      <c r="R12" s="17">
        <f t="shared" ca="1" si="4"/>
        <v>-829.59450530097638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-213.26276769417291</v>
      </c>
      <c r="J13" s="14">
        <f ca="1">-(J17-Q10)</f>
        <v>-115.89595207823095</v>
      </c>
      <c r="K13" s="13">
        <f ca="1">-(K17-Q11)</f>
        <v>-1969.2877792318632</v>
      </c>
      <c r="L13" s="14">
        <f t="shared" ca="1" si="5"/>
        <v>-2298.446499004267</v>
      </c>
      <c r="M13" s="16">
        <f ca="1">-E15</f>
        <v>-2907.548006296709</v>
      </c>
      <c r="N13" s="16"/>
      <c r="O13" s="11"/>
      <c r="P13" s="13"/>
      <c r="Q13" s="14">
        <f t="shared" ca="1" si="6"/>
        <v>-5205.994505300976</v>
      </c>
      <c r="R13" s="16">
        <f t="shared" ca="1" si="4"/>
        <v>-5205.994505300976</v>
      </c>
    </row>
    <row r="14" spans="1:20">
      <c r="A14" s="18" t="s">
        <v>78</v>
      </c>
      <c r="B14" s="11"/>
      <c r="C14" s="14"/>
      <c r="D14" s="14"/>
      <c r="E14" s="14">
        <f ca="1">-(I13+J13)-K13</f>
        <v>2298.446499004267</v>
      </c>
      <c r="F14" s="14"/>
      <c r="G14" s="14"/>
      <c r="H14" s="14"/>
      <c r="I14" s="14"/>
      <c r="J14" s="14"/>
      <c r="K14" s="13"/>
      <c r="L14" s="14">
        <f t="shared" ca="1" si="5"/>
        <v>2298.446499004267</v>
      </c>
      <c r="M14" s="16"/>
      <c r="N14" s="16"/>
      <c r="O14" s="11"/>
      <c r="P14" s="13"/>
      <c r="Q14" s="14">
        <f t="shared" ca="1" si="6"/>
        <v>2298.446499004267</v>
      </c>
      <c r="R14" s="16">
        <f t="shared" ca="1" si="4"/>
        <v>2298.446499004267</v>
      </c>
    </row>
    <row r="15" spans="1:20">
      <c r="A15" s="18" t="s">
        <v>79</v>
      </c>
      <c r="B15" s="11"/>
      <c r="C15" s="14"/>
      <c r="D15" s="14"/>
      <c r="E15" s="14">
        <f ca="1">E17-E14</f>
        <v>2907.548006296709</v>
      </c>
      <c r="F15" s="14"/>
      <c r="G15" s="14"/>
      <c r="H15" s="14"/>
      <c r="I15" s="14"/>
      <c r="J15" s="14"/>
      <c r="K15" s="13"/>
      <c r="L15" s="14">
        <f t="shared" ca="1" si="5"/>
        <v>2907.548006296709</v>
      </c>
      <c r="M15" s="16"/>
      <c r="N15" s="16"/>
      <c r="O15" s="11"/>
      <c r="P15" s="13"/>
      <c r="Q15" s="14">
        <f t="shared" ca="1" si="6"/>
        <v>2907.548006296709</v>
      </c>
      <c r="R15" s="16">
        <f t="shared" ca="1" si="4"/>
        <v>2907.548006296709</v>
      </c>
    </row>
    <row r="16" spans="1:20">
      <c r="A16" s="30" t="s">
        <v>89</v>
      </c>
      <c r="B16" s="21">
        <f ca="1">Q2</f>
        <v>216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216</v>
      </c>
      <c r="M16" s="19"/>
      <c r="N16" s="19"/>
      <c r="O16" s="21"/>
      <c r="P16" s="27"/>
      <c r="Q16" s="22">
        <f t="shared" ca="1" si="6"/>
        <v>216</v>
      </c>
      <c r="R16" s="19">
        <f t="shared" ca="1" si="4"/>
        <v>216</v>
      </c>
    </row>
    <row r="17" spans="1:18">
      <c r="A17" s="29" t="s">
        <v>88</v>
      </c>
      <c r="B17" s="9">
        <f ca="1">B16</f>
        <v>216</v>
      </c>
      <c r="C17" s="9">
        <f ca="1">SUM(C$2:C$11)</f>
        <v>0</v>
      </c>
      <c r="D17" s="9">
        <f ca="1">SUM(D$2:D$11)</f>
        <v>0</v>
      </c>
      <c r="E17" s="9">
        <f ca="1">$Q$5/parameters!$B$4</f>
        <v>5205.994505300976</v>
      </c>
      <c r="F17" s="9">
        <f t="shared" ref="F17:K17" ca="1" si="7">SUM(F$2:F$11)</f>
        <v>0</v>
      </c>
      <c r="G17" s="9">
        <f t="shared" ca="1" si="7"/>
        <v>5975.2351097178689</v>
      </c>
      <c r="H17" s="9">
        <f t="shared" ca="1" si="7"/>
        <v>5718.3</v>
      </c>
      <c r="I17" s="9">
        <f t="shared" ca="1" si="7"/>
        <v>5686.5627676941731</v>
      </c>
      <c r="J17" s="9">
        <f t="shared" ca="1" si="7"/>
        <v>3090.317232305827</v>
      </c>
      <c r="K17" s="9">
        <f t="shared" ca="1" si="7"/>
        <v>18266.341280227596</v>
      </c>
      <c r="L17" s="17">
        <f t="shared" ca="1" si="5"/>
        <v>44158.750895246441</v>
      </c>
      <c r="M17" s="17"/>
      <c r="N17" s="17"/>
      <c r="O17" s="9"/>
      <c r="P17" s="14"/>
      <c r="Q17" s="11">
        <f t="shared" ca="1" si="6"/>
        <v>44158.750895246441</v>
      </c>
      <c r="R17" s="17">
        <f t="shared" ca="1" si="4"/>
        <v>44158.750895246441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0.96249706959962955</v>
      </c>
      <c r="J18" s="39">
        <f ca="1">I18</f>
        <v>0.96249706959962955</v>
      </c>
      <c r="K18" s="40">
        <f ca="1">1-(-K13)/K17</f>
        <v>0.89219035443274464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2927.1510516252388</v>
      </c>
      <c r="D2" s="9">
        <f ca="1">Q4/parameters!$B$3</f>
        <v>97.212438361678579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3024.3634899869176</v>
      </c>
      <c r="M2" s="17"/>
      <c r="N2" s="17">
        <f ca="1">Q2-(L2+O2+P2)</f>
        <v>0</v>
      </c>
      <c r="O2" s="11" cm="1">
        <f t="array" aca="1" ref="O2" ca="1">INDIRECT("'data'!$F$" &amp; $A$1)</f>
        <v>15421.9</v>
      </c>
      <c r="P2" s="13">
        <f ca="1">IF(-(L2-Q2+O2)&lt;0, -(L2-Q2+O2), 0)</f>
        <v>-2546.2634899869172</v>
      </c>
      <c r="Q2" s="17" cm="1">
        <f t="array" aca="1" ref="Q2" ca="1">INDIRECT("'data'!$D$" &amp; $A$1)</f>
        <v>15900</v>
      </c>
      <c r="R2" s="17">
        <f ca="1">SUM(L2:P2)</f>
        <v>15899.999999999998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2587.7014925373137</v>
      </c>
      <c r="G3" s="14">
        <f ca="1">Q3-O3-P3-F3</f>
        <v>311.55850746268607</v>
      </c>
      <c r="H3" s="14"/>
      <c r="I3" s="14"/>
      <c r="J3" s="14"/>
      <c r="K3" s="13"/>
      <c r="L3" s="16">
        <f t="shared" ca="1" si="0"/>
        <v>2899.2599999999998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63.314999999999998</v>
      </c>
      <c r="P3" s="13" cm="1">
        <f t="array" aca="1" ref="P3" ca="1">-INDIRECT("'data'!$I$" &amp; $A$1)*parameters!$B$13</f>
        <v>-53.864999999999995</v>
      </c>
      <c r="Q3" s="16" cm="1">
        <f t="array" aca="1" ref="Q3" ca="1">INDIRECT("'data'!$G$" &amp; $A$1)*parameters!$B$13</f>
        <v>2908.71</v>
      </c>
      <c r="R3" s="16">
        <f t="shared" ref="R3:R10" ca="1" si="2">SUM(L3:P3)</f>
        <v>2908.71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122.36000000000001</v>
      </c>
      <c r="H4" s="14"/>
      <c r="I4" s="14"/>
      <c r="J4" s="14"/>
      <c r="K4" s="13"/>
      <c r="L4" s="16">
        <f t="shared" ca="1" si="0"/>
        <v>122.36000000000001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1.84</v>
      </c>
      <c r="P4" s="13" cm="1">
        <f t="array" aca="1" ref="P4" ca="1">-INDIRECT("'data'!$L$" &amp; $A$1)*parameters!$B$14</f>
        <v>-27.6</v>
      </c>
      <c r="Q4" s="16" cm="1">
        <f t="array" aca="1" ref="Q4" ca="1">INDIRECT("'data'!$J$" &amp; $A$1)*parameters!$B$14</f>
        <v>96.600000000000009</v>
      </c>
      <c r="R4" s="16">
        <f t="shared" ca="1" si="2"/>
        <v>96.600000000000023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646.92537313432842</v>
      </c>
      <c r="G5" s="14">
        <f ca="1">Q7/parameters!$B$7-(G3+G4)</f>
        <v>1043.761743321013</v>
      </c>
      <c r="H5" s="14"/>
      <c r="I5" s="14"/>
      <c r="J5" s="14"/>
      <c r="K5" s="13"/>
      <c r="L5" s="16">
        <f t="shared" ca="1" si="0"/>
        <v>1690.6871164553413</v>
      </c>
      <c r="M5" s="16"/>
      <c r="N5" s="16"/>
      <c r="O5" s="11" cm="1">
        <f t="array" aca="1" ref="O5" ca="1">INDIRECT("'data'!$M$" &amp; $A$1)*parameters!$B$15</f>
        <v>1412.18</v>
      </c>
      <c r="P5" s="13" cm="1">
        <f t="array" aca="1" ref="P5" ca="1">-INDIRECT("'data'!$N$" &amp; $A$1)*parameters!$B$15</f>
        <v>-289.10000000000002</v>
      </c>
      <c r="Q5" s="16">
        <f ca="1">SUM(L5:P5)</f>
        <v>2813.7671164553417</v>
      </c>
      <c r="R5" s="16">
        <f t="shared" ca="1" si="2"/>
        <v>2813.7671164553417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3034.08</v>
      </c>
      <c r="I6" s="14"/>
      <c r="J6" s="14"/>
      <c r="K6" s="13"/>
      <c r="L6" s="16">
        <f t="shared" ca="1" si="0"/>
        <v>3034.08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3034.08</v>
      </c>
      <c r="R6" s="16">
        <f t="shared" ca="1" si="2"/>
        <v>3034.08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1414.1399999999999</v>
      </c>
      <c r="I7" s="14"/>
      <c r="J7" s="14"/>
      <c r="K7" s="13"/>
      <c r="L7" s="16">
        <f t="shared" ca="1" si="0"/>
        <v>1414.1399999999999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1414.1399999999999</v>
      </c>
      <c r="R7" s="16">
        <f t="shared" ca="1" si="2"/>
        <v>1414.1399999999999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962.74867554942944</v>
      </c>
      <c r="J8" s="14">
        <f ca="1">Q10/J18</f>
        <v>3399.2313244505699</v>
      </c>
      <c r="K8" s="13"/>
      <c r="L8" s="16">
        <f t="shared" ca="1" si="0"/>
        <v>4361.9799999999996</v>
      </c>
      <c r="M8" s="16"/>
      <c r="N8" s="16">
        <f t="shared" ca="1" si="3"/>
        <v>0</v>
      </c>
      <c r="O8" s="11" cm="1">
        <f t="array" aca="1" ref="O8" ca="1">INDIRECT("'data'!$R$" &amp; $A$1)*parameters!$B$15</f>
        <v>250.88</v>
      </c>
      <c r="P8" s="13" cm="1">
        <f t="array" aca="1" ref="P8" ca="1">-INDIRECT("'data'!$S$" &amp; $A$1)*parameters!$B$15</f>
        <v>-164.64</v>
      </c>
      <c r="Q8" s="16">
        <f ca="1">SUM(Q6:Q7)</f>
        <v>4448.2199999999993</v>
      </c>
      <c r="R8" s="16">
        <f t="shared" ca="1" si="2"/>
        <v>4448.2199999999993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1165.22</v>
      </c>
      <c r="L9" s="16">
        <f t="shared" ca="1" si="0"/>
        <v>1165.22</v>
      </c>
      <c r="M9" s="16"/>
      <c r="N9" s="16">
        <f t="shared" ca="1" si="3"/>
        <v>0</v>
      </c>
      <c r="O9" s="11" cm="1">
        <f t="array" aca="1" ref="O9" ca="1">INDIRECT("'data'!$U$" &amp; $A$1)*parameters!$B$15</f>
        <v>500.78</v>
      </c>
      <c r="P9" s="13" cm="1">
        <f t="array" aca="1" ref="P9" ca="1">-INDIRECT("'data'!$V$" &amp; $A$1)*parameters!$B$15</f>
        <v>-862.4</v>
      </c>
      <c r="Q9" s="16" cm="1">
        <f t="array" aca="1" ref="Q9" ca="1">INDIRECT("'data'!$T$" &amp; $A$1)*parameters!$B$15</f>
        <v>803.6</v>
      </c>
      <c r="R9" s="16">
        <f t="shared" ca="1" si="2"/>
        <v>803.6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2197.3760739687054</v>
      </c>
      <c r="L10" s="16">
        <f t="shared" ca="1" si="0"/>
        <v>2197.3760739687054</v>
      </c>
      <c r="M10" s="16"/>
      <c r="N10" s="16">
        <f t="shared" ca="1" si="3"/>
        <v>0</v>
      </c>
      <c r="O10" s="11" cm="1">
        <f t="array" aca="1" ref="O10" ca="1">INDIRECT("'data'!$X$" &amp; $A$1)*parameters!$B$15</f>
        <v>2323.58</v>
      </c>
      <c r="P10" s="13" cm="1">
        <f t="array" aca="1" ref="P10" ca="1">-INDIRECT("'data'!$Y$" &amp; $A$1)*parameters!$B$15</f>
        <v>-1683.6399999999999</v>
      </c>
      <c r="Q10" s="16" cm="1">
        <f t="array" aca="1" ref="Q10" ca="1">INDIRECT("'data'!$W$" &amp; $A$1)*parameters!$B$15</f>
        <v>2837.3160739687055</v>
      </c>
      <c r="R10" s="16">
        <f t="shared" ca="1" si="2"/>
        <v>2837.316073968706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3510.3302236130871</v>
      </c>
      <c r="N11" s="19"/>
      <c r="O11" s="21" cm="1">
        <f t="array" aca="1" ref="O11" ca="1">INDIRECT("'data'!$Z$" &amp; $A$1)*parameters!$B$15</f>
        <v>2592.1</v>
      </c>
      <c r="P11" s="27" cm="1">
        <f t="array" aca="1" ref="P11" ca="1">-INDIRECT("'data'!$AA$" &amp; $A$1)*parameters!$B$15</f>
        <v>-3117.38</v>
      </c>
      <c r="Q11" s="16">
        <f ca="1">K9*parameters!$B$10+K10*parameters!$B$11</f>
        <v>2985.0502236130869</v>
      </c>
      <c r="R11" s="16">
        <f t="shared" ref="R11:R17" ca="1" si="4">SUM(L11:P11)</f>
        <v>2985.0502236130869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-18.441051625238742</v>
      </c>
      <c r="D12" s="9">
        <f ca="1">-(D17-Q4)</f>
        <v>-0.61243836167857069</v>
      </c>
      <c r="E12" s="9">
        <f ca="1">-(E17-Q5)</f>
        <v>-347.7689694495366</v>
      </c>
      <c r="F12" s="9">
        <f ca="1">-(F17-Q6)</f>
        <v>-200.54686567164208</v>
      </c>
      <c r="G12" s="9">
        <f ca="1">-(G17-Q7)</f>
        <v>-63.540250783699321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-630.90957589179538</v>
      </c>
      <c r="M12" s="17"/>
      <c r="N12" s="17"/>
      <c r="O12" s="10"/>
      <c r="P12" s="12"/>
      <c r="Q12" s="9">
        <f t="shared" ref="Q12:Q17" ca="1" si="6">SUM(L12:P12)</f>
        <v>-630.90957589179538</v>
      </c>
      <c r="R12" s="17">
        <f t="shared" ca="1" si="4"/>
        <v>-630.90957589179538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-159.14867554942941</v>
      </c>
      <c r="J13" s="14">
        <f ca="1">-(J17-Q10)</f>
        <v>-561.9152504818644</v>
      </c>
      <c r="K13" s="13">
        <f ca="1">-(K17-Q11)</f>
        <v>-377.54585035561831</v>
      </c>
      <c r="L13" s="14">
        <f t="shared" ca="1" si="5"/>
        <v>-1098.609776386912</v>
      </c>
      <c r="M13" s="16">
        <f ca="1">-E15</f>
        <v>-2062.9263095179663</v>
      </c>
      <c r="N13" s="16"/>
      <c r="O13" s="11"/>
      <c r="P13" s="13"/>
      <c r="Q13" s="14">
        <f t="shared" ca="1" si="6"/>
        <v>-3161.5360859048783</v>
      </c>
      <c r="R13" s="16">
        <f t="shared" ca="1" si="4"/>
        <v>-3161.5360859048783</v>
      </c>
    </row>
    <row r="14" spans="1:20">
      <c r="A14" s="18" t="s">
        <v>78</v>
      </c>
      <c r="B14" s="11"/>
      <c r="C14" s="14"/>
      <c r="D14" s="14"/>
      <c r="E14" s="14">
        <f ca="1">-(I13+J13)-K13</f>
        <v>1098.609776386912</v>
      </c>
      <c r="F14" s="14"/>
      <c r="G14" s="14"/>
      <c r="H14" s="14"/>
      <c r="I14" s="14"/>
      <c r="J14" s="14"/>
      <c r="K14" s="13"/>
      <c r="L14" s="14">
        <f t="shared" ca="1" si="5"/>
        <v>1098.609776386912</v>
      </c>
      <c r="M14" s="16"/>
      <c r="N14" s="16"/>
      <c r="O14" s="11"/>
      <c r="P14" s="13"/>
      <c r="Q14" s="14">
        <f t="shared" ca="1" si="6"/>
        <v>1098.609776386912</v>
      </c>
      <c r="R14" s="16">
        <f t="shared" ca="1" si="4"/>
        <v>1098.609776386912</v>
      </c>
    </row>
    <row r="15" spans="1:20">
      <c r="A15" s="18" t="s">
        <v>79</v>
      </c>
      <c r="B15" s="11"/>
      <c r="C15" s="14"/>
      <c r="D15" s="14"/>
      <c r="E15" s="14">
        <f ca="1">E17-E14</f>
        <v>2062.9263095179663</v>
      </c>
      <c r="F15" s="14"/>
      <c r="G15" s="14"/>
      <c r="H15" s="14"/>
      <c r="I15" s="14"/>
      <c r="J15" s="14"/>
      <c r="K15" s="13"/>
      <c r="L15" s="14">
        <f t="shared" ca="1" si="5"/>
        <v>2062.9263095179663</v>
      </c>
      <c r="M15" s="16"/>
      <c r="N15" s="16"/>
      <c r="O15" s="11"/>
      <c r="P15" s="13"/>
      <c r="Q15" s="14">
        <f t="shared" ca="1" si="6"/>
        <v>2062.9263095179663</v>
      </c>
      <c r="R15" s="16">
        <f t="shared" ca="1" si="4"/>
        <v>2062.9263095179663</v>
      </c>
    </row>
    <row r="16" spans="1:20">
      <c r="A16" s="30" t="s">
        <v>89</v>
      </c>
      <c r="B16" s="21">
        <f ca="1">Q2</f>
        <v>15900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15900</v>
      </c>
      <c r="M16" s="19"/>
      <c r="N16" s="19"/>
      <c r="O16" s="21"/>
      <c r="P16" s="27"/>
      <c r="Q16" s="22">
        <f t="shared" ca="1" si="6"/>
        <v>15900</v>
      </c>
      <c r="R16" s="19">
        <f t="shared" ca="1" si="4"/>
        <v>15900</v>
      </c>
    </row>
    <row r="17" spans="1:18">
      <c r="A17" s="29" t="s">
        <v>88</v>
      </c>
      <c r="B17" s="9">
        <f ca="1">B16</f>
        <v>15900</v>
      </c>
      <c r="C17" s="9">
        <f ca="1">SUM(C$2:C$11)</f>
        <v>2927.1510516252388</v>
      </c>
      <c r="D17" s="9">
        <f ca="1">SUM(D$2:D$11)</f>
        <v>97.212438361678579</v>
      </c>
      <c r="E17" s="9">
        <f ca="1">$Q$5/parameters!$B$4</f>
        <v>3161.5360859048783</v>
      </c>
      <c r="F17" s="9">
        <f t="shared" ref="F17:K17" ca="1" si="7">SUM(F$2:F$11)</f>
        <v>3234.626865671642</v>
      </c>
      <c r="G17" s="9">
        <f t="shared" ca="1" si="7"/>
        <v>1477.6802507836992</v>
      </c>
      <c r="H17" s="9">
        <f t="shared" ca="1" si="7"/>
        <v>4448.2199999999993</v>
      </c>
      <c r="I17" s="9">
        <f t="shared" ca="1" si="7"/>
        <v>962.74867554942944</v>
      </c>
      <c r="J17" s="9">
        <f t="shared" ca="1" si="7"/>
        <v>3399.2313244505699</v>
      </c>
      <c r="K17" s="9">
        <f t="shared" ca="1" si="7"/>
        <v>3362.5960739687052</v>
      </c>
      <c r="L17" s="17">
        <f t="shared" ca="1" si="5"/>
        <v>38971.00276631584</v>
      </c>
      <c r="M17" s="17"/>
      <c r="N17" s="17"/>
      <c r="O17" s="9"/>
      <c r="P17" s="14"/>
      <c r="Q17" s="11">
        <f t="shared" ca="1" si="6"/>
        <v>38971.00276631584</v>
      </c>
      <c r="R17" s="17">
        <f t="shared" ca="1" si="4"/>
        <v>38971.00276631584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0.8346934360012439</v>
      </c>
      <c r="J18" s="39">
        <f ca="1">I18</f>
        <v>0.8346934360012439</v>
      </c>
      <c r="K18" s="40">
        <f ca="1">1-(-K13)/K17</f>
        <v>0.8877219142440681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2024-08-12T07:14:05Z</dcterms:modified>
</cp:coreProperties>
</file>