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4AB6159F-6AFC-CB41-B9AE-856B5CB8F0C4}" xr6:coauthVersionLast="47" xr6:coauthVersionMax="47" xr10:uidLastSave="{00000000-0000-0000-0000-000000000000}"/>
  <bookViews>
    <workbookView xWindow="0" yWindow="500" windowWidth="38400" windowHeight="21100" firstSheet="7" activeTab="23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49" l="1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I18" i="18"/>
  <c r="J18" i="18" s="1"/>
  <c r="C5" i="49" l="1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C4" i="49"/>
  <c r="D4" i="49"/>
  <c r="D3" i="49"/>
  <c r="C3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J8" i="49"/>
  <c r="J9" i="49"/>
  <c r="J4" i="49"/>
  <c r="J5" i="49"/>
  <c r="J6" i="49"/>
  <c r="J7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Q6" i="32" a="1"/>
  <c r="Q6" i="34" a="1"/>
  <c r="Q6" i="22" a="1"/>
  <c r="Q6" i="42" a="1"/>
  <c r="Q6" i="41" a="1"/>
  <c r="Q6" i="23" a="1"/>
  <c r="Q6" i="24" a="1"/>
  <c r="Q6" i="30" a="1"/>
  <c r="Q6" i="14" a="1"/>
  <c r="Q6" i="21" a="1"/>
  <c r="Q6" i="28" a="1"/>
  <c r="Q6" i="29" a="1"/>
  <c r="Q6" i="43" a="1"/>
  <c r="Q6" i="16" a="1"/>
  <c r="Q6" i="15" a="1"/>
  <c r="Q6" i="38" a="1"/>
  <c r="Q6" i="26" a="1"/>
  <c r="Q6" i="39" a="1"/>
  <c r="Q6" i="35" a="1"/>
  <c r="Q6" i="18" a="1"/>
  <c r="Q6" i="11" a="1"/>
  <c r="Q6" i="27" a="1"/>
  <c r="Q6" i="36" a="1"/>
  <c r="Q6" i="31" a="1"/>
  <c r="Q6" i="37" a="1"/>
  <c r="Q6" i="40" a="1"/>
  <c r="Q6" i="19" a="1"/>
  <c r="Q6" i="17" a="1"/>
  <c r="Q6" i="33" a="1"/>
  <c r="Q6" i="42" l="1"/>
  <c r="Q6" i="33"/>
  <c r="Q6" i="14"/>
  <c r="Q6" i="34"/>
  <c r="Q6" i="41"/>
  <c r="Q6" i="18"/>
  <c r="Q6" i="24"/>
  <c r="Q6" i="40"/>
  <c r="Q6" i="32"/>
  <c r="Q6" i="23"/>
  <c r="Q6" i="43"/>
  <c r="Q6" i="16"/>
  <c r="Q6" i="31"/>
  <c r="Q6" i="22"/>
  <c r="Q6" i="19"/>
  <c r="F5" i="19" s="1"/>
  <c r="Q6" i="15"/>
  <c r="Q6" i="39"/>
  <c r="Q6" i="30"/>
  <c r="Q6" i="21"/>
  <c r="Q6" i="26"/>
  <c r="Q6" i="38"/>
  <c r="Q6" i="29"/>
  <c r="Q6" i="11"/>
  <c r="Q6" i="35"/>
  <c r="Q6" i="37"/>
  <c r="Q6" i="28"/>
  <c r="Q6" i="17"/>
  <c r="Q6" i="36"/>
  <c r="Q6" i="27"/>
  <c r="F5" i="27" s="1"/>
  <c r="Q6" i="20"/>
  <c r="I18" i="19"/>
  <c r="J18" i="19" s="1"/>
  <c r="F5" i="29" l="1"/>
  <c r="F3" i="29" s="1"/>
  <c r="I18" i="41"/>
  <c r="I18" i="29"/>
  <c r="J18" i="29" s="1"/>
  <c r="J18" i="41" l="1"/>
  <c r="P5" i="31" a="1"/>
  <c r="P8" i="33" a="1"/>
  <c r="P4" i="18" a="1"/>
  <c r="P4" i="22" a="1"/>
  <c r="P8" i="36" a="1"/>
  <c r="O9" i="30" a="1"/>
  <c r="Q7" i="42" a="1"/>
  <c r="Q10" i="28" a="1"/>
  <c r="O4" i="31" a="1"/>
  <c r="P3" i="43" a="1"/>
  <c r="P5" i="28" a="1"/>
  <c r="O9" i="32" a="1"/>
  <c r="P4" i="29" a="1"/>
  <c r="P5" i="43" a="1"/>
  <c r="Q4" i="11" a="1"/>
  <c r="Q9" i="36" a="1"/>
  <c r="O9" i="21" a="1"/>
  <c r="P3" i="34" a="1"/>
  <c r="P9" i="36" a="1"/>
  <c r="P5" i="38" a="1"/>
  <c r="P10" i="36" a="1"/>
  <c r="O10" i="11" a="1"/>
  <c r="O2" i="24" a="1"/>
  <c r="Q10" i="23" a="1"/>
  <c r="Q10" i="24" a="1"/>
  <c r="P5" i="36" a="1"/>
  <c r="O11" i="23" a="1"/>
  <c r="O9" i="29" a="1"/>
  <c r="Q9" i="41" a="1"/>
  <c r="O10" i="34" a="1"/>
  <c r="O10" i="31" a="1"/>
  <c r="P11" i="15" a="1"/>
  <c r="P4" i="20" a="1"/>
  <c r="P8" i="26" a="1"/>
  <c r="O3" i="30" a="1"/>
  <c r="O8" i="20" a="1"/>
  <c r="Q3" i="21" a="1"/>
  <c r="O2" i="42" a="1"/>
  <c r="Q2" i="15" a="1"/>
  <c r="O4" i="27" a="1"/>
  <c r="Q3" i="17" a="1"/>
  <c r="P5" i="29" a="1"/>
  <c r="P8" i="28" a="1"/>
  <c r="Q2" i="22" a="1"/>
  <c r="O9" i="11" a="1"/>
  <c r="P11" i="14" a="1"/>
  <c r="O4" i="23" a="1"/>
  <c r="P11" i="26" a="1"/>
  <c r="P10" i="42" a="1"/>
  <c r="P11" i="18" a="1"/>
  <c r="Q9" i="11" a="1"/>
  <c r="P5" i="16" a="1"/>
  <c r="Q7" i="19" a="1"/>
  <c r="Q9" i="33" a="1"/>
  <c r="O5" i="39" a="1"/>
  <c r="O10" i="26" a="1"/>
  <c r="O5" i="33" a="1"/>
  <c r="Q3" i="31" a="1"/>
  <c r="O2" i="34" a="1"/>
  <c r="O3" i="26" a="1"/>
  <c r="P10" i="39" a="1"/>
  <c r="Q2" i="40" a="1"/>
  <c r="P9" i="20" a="1"/>
  <c r="Q2" i="32" a="1"/>
  <c r="P5" i="40" a="1"/>
  <c r="O3" i="21" a="1"/>
  <c r="P3" i="29" a="1"/>
  <c r="P10" i="29" a="1"/>
  <c r="P10" i="15" a="1"/>
  <c r="Q3" i="37" a="1"/>
  <c r="O5" i="19" a="1"/>
  <c r="P4" i="38" a="1"/>
  <c r="Q2" i="38" a="1"/>
  <c r="P11" i="35" a="1"/>
  <c r="Q9" i="42" a="1"/>
  <c r="P9" i="28" a="1"/>
  <c r="O2" i="26" a="1"/>
  <c r="Q7" i="38" a="1"/>
  <c r="P10" i="35" a="1"/>
  <c r="O8" i="17" a="1"/>
  <c r="Q2" i="24" a="1"/>
  <c r="P10" i="20" a="1"/>
  <c r="Q7" i="39" a="1"/>
  <c r="O10" i="21" a="1"/>
  <c r="Q7" i="31" a="1"/>
  <c r="P9" i="40" a="1"/>
  <c r="Q4" i="33" a="1"/>
  <c r="O4" i="38" a="1"/>
  <c r="P5" i="11" a="1"/>
  <c r="O2" i="32" a="1"/>
  <c r="O8" i="11" a="1"/>
  <c r="O4" i="41" a="1"/>
  <c r="P9" i="17" a="1"/>
  <c r="O11" i="42" a="1"/>
  <c r="P8" i="16" a="1"/>
  <c r="Q4" i="19" a="1"/>
  <c r="Q9" i="21" a="1"/>
  <c r="Q2" i="28" a="1"/>
  <c r="O10" i="38" a="1"/>
  <c r="P4" i="19" a="1"/>
  <c r="O4" i="24" a="1"/>
  <c r="P10" i="28" a="1"/>
  <c r="O5" i="32" a="1"/>
  <c r="O11" i="36" a="1"/>
  <c r="P3" i="14" a="1"/>
  <c r="P11" i="16" a="1"/>
  <c r="P10" i="43" a="1"/>
  <c r="Q4" i="22" a="1"/>
  <c r="Q10" i="38" a="1"/>
  <c r="P3" i="38" a="1"/>
  <c r="Q9" i="29" a="1"/>
  <c r="P5" i="20" a="1"/>
  <c r="Q9" i="19" a="1"/>
  <c r="O8" i="27" a="1"/>
  <c r="Q4" i="23" a="1"/>
  <c r="Q9" i="43" a="1"/>
  <c r="P8" i="27" a="1"/>
  <c r="O11" i="32" a="1"/>
  <c r="O10" i="42" a="1"/>
  <c r="P10" i="40" a="1"/>
  <c r="O11" i="17" a="1"/>
  <c r="P9" i="22" a="1"/>
  <c r="O9" i="27" a="1"/>
  <c r="O5" i="31" a="1"/>
  <c r="Q4" i="42" a="1"/>
  <c r="P9" i="24" a="1"/>
  <c r="O4" i="20" a="1"/>
  <c r="O9" i="16" a="1"/>
  <c r="P3" i="28" a="1"/>
  <c r="O5" i="43" a="1"/>
  <c r="P3" i="36" a="1"/>
  <c r="O11" i="35" a="1"/>
  <c r="O10" i="41" a="1"/>
  <c r="P11" i="11" a="1"/>
  <c r="O9" i="34" a="1"/>
  <c r="Q10" i="22" a="1"/>
  <c r="O8" i="31" a="1"/>
  <c r="O11" i="30" a="1"/>
  <c r="Q3" i="22" a="1"/>
  <c r="P10" i="37" a="1"/>
  <c r="Q4" i="39" a="1"/>
  <c r="P4" i="16" a="1"/>
  <c r="O8" i="26" a="1"/>
  <c r="Q7" i="33" a="1"/>
  <c r="Q9" i="34" a="1"/>
  <c r="O11" i="26" a="1"/>
  <c r="P9" i="18" a="1"/>
  <c r="O3" i="43" a="1"/>
  <c r="O5" i="18" a="1"/>
  <c r="O4" i="30" a="1"/>
  <c r="P8" i="41" a="1"/>
  <c r="O3" i="27" a="1"/>
  <c r="P5" i="30" a="1"/>
  <c r="O11" i="29" a="1"/>
  <c r="O8" i="30" a="1"/>
  <c r="Q10" i="30" a="1"/>
  <c r="O8" i="32" a="1"/>
  <c r="Q3" i="39" a="1"/>
  <c r="Q9" i="24" a="1"/>
  <c r="O3" i="14" a="1"/>
  <c r="Q7" i="41" a="1"/>
  <c r="O10" i="28" a="1"/>
  <c r="O5" i="29" a="1"/>
  <c r="P11" i="39" a="1"/>
  <c r="O5" i="24" a="1"/>
  <c r="Q4" i="43" a="1"/>
  <c r="P11" i="24" a="1"/>
  <c r="O2" i="17" a="1"/>
  <c r="Q9" i="16" a="1"/>
  <c r="Q9" i="15" a="1"/>
  <c r="Q4" i="24" a="1"/>
  <c r="P10" i="19" a="1"/>
  <c r="O8" i="39" a="1"/>
  <c r="O2" i="27" a="1"/>
  <c r="Q3" i="19" a="1"/>
  <c r="P5" i="15" a="1"/>
  <c r="Q2" i="31" a="1"/>
  <c r="Q4" i="30" a="1"/>
  <c r="O10" i="39" a="1"/>
  <c r="O8" i="19" a="1"/>
  <c r="O2" i="38" a="1"/>
  <c r="P4" i="21" a="1"/>
  <c r="Q10" i="35" a="1"/>
  <c r="P3" i="21" a="1"/>
  <c r="Q9" i="35" a="1"/>
  <c r="P4" i="11" a="1"/>
  <c r="O4" i="18" a="1"/>
  <c r="O2" i="33" a="1"/>
  <c r="O4" i="28" a="1"/>
  <c r="P3" i="27" a="1"/>
  <c r="P3" i="37" a="1"/>
  <c r="P8" i="20" a="1"/>
  <c r="Q2" i="34" a="1"/>
  <c r="Q3" i="35" a="1"/>
  <c r="P3" i="22" a="1"/>
  <c r="Q7" i="43" a="1"/>
  <c r="Q3" i="20" a="1"/>
  <c r="O11" i="38" a="1"/>
  <c r="O9" i="35" a="1"/>
  <c r="P5" i="35" a="1"/>
  <c r="P4" i="26" a="1"/>
  <c r="O10" i="36" a="1"/>
  <c r="Q10" i="15" a="1"/>
  <c r="P9" i="15" a="1"/>
  <c r="Q4" i="16" a="1"/>
  <c r="P10" i="33" a="1"/>
  <c r="Q3" i="42" a="1"/>
  <c r="Q3" i="11" a="1"/>
  <c r="P8" i="11" a="1"/>
  <c r="O9" i="24" a="1"/>
  <c r="P9" i="26" a="1"/>
  <c r="P9" i="32" a="1"/>
  <c r="O4" i="15" a="1"/>
  <c r="Q9" i="22" a="1"/>
  <c r="Q3" i="15" a="1"/>
  <c r="Q9" i="18" a="1"/>
  <c r="P5" i="23" a="1"/>
  <c r="O9" i="37" a="1"/>
  <c r="Q3" i="27" a="1"/>
  <c r="O5" i="21" a="1"/>
  <c r="Q10" i="20" a="1"/>
  <c r="O3" i="37" a="1"/>
  <c r="Q9" i="31" a="1"/>
  <c r="O3" i="40" a="1"/>
  <c r="O4" i="40" a="1"/>
  <c r="O8" i="42" a="1"/>
  <c r="P9" i="33" a="1"/>
  <c r="P9" i="38" a="1"/>
  <c r="P10" i="41" a="1"/>
  <c r="P9" i="42" a="1"/>
  <c r="P5" i="19" a="1"/>
  <c r="P5" i="34" a="1"/>
  <c r="P9" i="37" a="1"/>
  <c r="Q10" i="17" a="1"/>
  <c r="P11" i="34" a="1"/>
  <c r="P5" i="42" a="1"/>
  <c r="O11" i="15" a="1"/>
  <c r="O5" i="38" a="1"/>
  <c r="Q10" i="18" a="1"/>
  <c r="Q7" i="14" a="1"/>
  <c r="O9" i="26" a="1"/>
  <c r="Q3" i="24" a="1"/>
  <c r="P3" i="16" a="1"/>
  <c r="O11" i="19" a="1"/>
  <c r="O10" i="27" a="1"/>
  <c r="P3" i="20" a="1"/>
  <c r="P10" i="14" a="1"/>
  <c r="O5" i="28" a="1"/>
  <c r="O3" i="22" a="1"/>
  <c r="O8" i="21" a="1"/>
  <c r="O8" i="22" a="1"/>
  <c r="P3" i="23" a="1"/>
  <c r="P8" i="19" a="1"/>
  <c r="O2" i="11" a="1"/>
  <c r="O4" i="19" a="1"/>
  <c r="Q7" i="17" a="1"/>
  <c r="O4" i="21" a="1"/>
  <c r="Q7" i="15" a="1"/>
  <c r="P10" i="17" a="1"/>
  <c r="P3" i="41" a="1"/>
  <c r="P9" i="30" a="1"/>
  <c r="Q4" i="18" a="1"/>
  <c r="O9" i="14" a="1"/>
  <c r="O9" i="19" a="1"/>
  <c r="O11" i="37" a="1"/>
  <c r="Q10" i="27" a="1"/>
  <c r="Q3" i="34" a="1"/>
  <c r="P4" i="35" a="1"/>
  <c r="P4" i="42" a="1"/>
  <c r="O8" i="23" a="1"/>
  <c r="P8" i="39" a="1"/>
  <c r="P3" i="35" a="1"/>
  <c r="P3" i="42" a="1"/>
  <c r="O8" i="14" a="1"/>
  <c r="Q3" i="40" a="1"/>
  <c r="O10" i="35" a="1"/>
  <c r="P11" i="30" a="1"/>
  <c r="O3" i="42" a="1"/>
  <c r="P9" i="27" a="1"/>
  <c r="O5" i="23" a="1"/>
  <c r="Q2" i="16" a="1"/>
  <c r="P3" i="17" a="1"/>
  <c r="O8" i="43" a="1"/>
  <c r="Q3" i="18" a="1"/>
  <c r="P5" i="37" a="1"/>
  <c r="P9" i="31" a="1"/>
  <c r="P3" i="33" a="1"/>
  <c r="O4" i="42" a="1"/>
  <c r="O4" i="34" a="1"/>
  <c r="Q10" i="42" a="1"/>
  <c r="O2" i="39" a="1"/>
  <c r="P4" i="23" a="1"/>
  <c r="P11" i="23" a="1"/>
  <c r="Q7" i="28" a="1"/>
  <c r="O5" i="14" a="1"/>
  <c r="P10" i="30" a="1"/>
  <c r="P4" i="30" a="1"/>
  <c r="P9" i="43" a="1"/>
  <c r="Q2" i="20" a="1"/>
  <c r="P8" i="21" a="1"/>
  <c r="O11" i="43" a="1"/>
  <c r="O2" i="35" a="1"/>
  <c r="P3" i="31" a="1"/>
  <c r="Q2" i="36" a="1"/>
  <c r="P3" i="32" a="1"/>
  <c r="P8" i="30" a="1"/>
  <c r="Q9" i="23" a="1"/>
  <c r="Q2" i="41" a="1"/>
  <c r="Q7" i="22" a="1"/>
  <c r="P8" i="40" a="1"/>
  <c r="O9" i="20" a="1"/>
  <c r="Q2" i="14" a="1"/>
  <c r="O11" i="24" a="1"/>
  <c r="Q4" i="17" a="1"/>
  <c r="Q3" i="41" a="1"/>
  <c r="P4" i="15" a="1"/>
  <c r="O8" i="36" a="1"/>
  <c r="Q3" i="38" a="1"/>
  <c r="P3" i="30" a="1"/>
  <c r="Q4" i="28" a="1"/>
  <c r="Q10" i="31" a="1"/>
  <c r="Q3" i="14" a="1"/>
  <c r="Q2" i="17" a="1"/>
  <c r="P4" i="28" a="1"/>
  <c r="Q3" i="32" a="1"/>
  <c r="Q3" i="29" a="1"/>
  <c r="P5" i="22" a="1"/>
  <c r="O9" i="15" a="1"/>
  <c r="Q10" i="33" a="1"/>
  <c r="O2" i="29" a="1"/>
  <c r="O10" i="32" a="1"/>
  <c r="Q9" i="32" a="1"/>
  <c r="Q4" i="20" a="1"/>
  <c r="Q10" i="34" a="1"/>
  <c r="Q4" i="27" a="1"/>
  <c r="O4" i="37" a="1"/>
  <c r="P4" i="27" a="1"/>
  <c r="P10" i="38" a="1"/>
  <c r="O8" i="41" a="1"/>
  <c r="P8" i="38" a="1"/>
  <c r="O9" i="36" a="1"/>
  <c r="P11" i="17" a="1"/>
  <c r="O3" i="39" a="1"/>
  <c r="O8" i="33" a="1"/>
  <c r="O3" i="41" a="1"/>
  <c r="P4" i="40" a="1"/>
  <c r="P5" i="41" a="1"/>
  <c r="O3" i="20" a="1"/>
  <c r="O9" i="17" a="1"/>
  <c r="O3" i="32" a="1"/>
  <c r="O8" i="40" a="1"/>
  <c r="O2" i="18" a="1"/>
  <c r="O11" i="14" a="1"/>
  <c r="O10" i="43" a="1"/>
  <c r="O9" i="33" a="1"/>
  <c r="O8" i="24" a="1"/>
  <c r="P5" i="17" a="1"/>
  <c r="O3" i="34" a="1"/>
  <c r="P10" i="16" a="1"/>
  <c r="Q7" i="18" a="1"/>
  <c r="Q7" i="27" a="1"/>
  <c r="O5" i="16" a="1"/>
  <c r="Q3" i="30" a="1"/>
  <c r="O4" i="33" a="1"/>
  <c r="P10" i="27" a="1"/>
  <c r="P8" i="18" a="1"/>
  <c r="Q7" i="21" a="1"/>
  <c r="Q3" i="26" a="1"/>
  <c r="Q10" i="21" a="1"/>
  <c r="Q4" i="38" a="1"/>
  <c r="P10" i="24" a="1"/>
  <c r="O10" i="29" a="1"/>
  <c r="O11" i="21" a="1"/>
  <c r="O2" i="36" a="1"/>
  <c r="O5" i="26" a="1"/>
  <c r="P3" i="26" a="1"/>
  <c r="Q7" i="30" a="1"/>
  <c r="O9" i="28" a="1"/>
  <c r="Q7" i="23" a="1"/>
  <c r="O10" i="15" a="1"/>
  <c r="O5" i="30" a="1"/>
  <c r="O10" i="17" a="1"/>
  <c r="Q2" i="18" a="1"/>
  <c r="P3" i="18" a="1"/>
  <c r="O8" i="37" a="1"/>
  <c r="P9" i="23" a="1"/>
  <c r="P8" i="24" a="1"/>
  <c r="O3" i="35" a="1"/>
  <c r="O10" i="20" a="1"/>
  <c r="P5" i="21" a="1"/>
  <c r="O2" i="16" a="1"/>
  <c r="O4" i="32" a="1"/>
  <c r="P8" i="22" a="1"/>
  <c r="Q4" i="36" a="1"/>
  <c r="P11" i="28" a="1"/>
  <c r="O3" i="15" a="1"/>
  <c r="P10" i="31" a="1"/>
  <c r="P8" i="14" a="1"/>
  <c r="P4" i="24" a="1"/>
  <c r="P5" i="32" a="1"/>
  <c r="Q2" i="11" a="1"/>
  <c r="P8" i="15" a="1"/>
  <c r="O5" i="35" a="1"/>
  <c r="O8" i="16" a="1"/>
  <c r="O3" i="19" a="1"/>
  <c r="P9" i="35" a="1"/>
  <c r="O8" i="29" a="1"/>
  <c r="O4" i="17" a="1"/>
  <c r="Q4" i="26" a="1"/>
  <c r="Q2" i="30" a="1"/>
  <c r="Q10" i="43" a="1"/>
  <c r="O4" i="14" a="1"/>
  <c r="O3" i="33" a="1"/>
  <c r="O9" i="42" a="1"/>
  <c r="Q4" i="14" a="1"/>
  <c r="O2" i="15" a="1"/>
  <c r="O5" i="40" a="1"/>
  <c r="P9" i="34" a="1"/>
  <c r="Q4" i="37" a="1"/>
  <c r="Q9" i="38" a="1"/>
  <c r="P8" i="35" a="1"/>
  <c r="Q10" i="41" a="1"/>
  <c r="P10" i="21" a="1"/>
  <c r="Q7" i="11" a="1"/>
  <c r="O5" i="20" a="1"/>
  <c r="O2" i="21" a="1"/>
  <c r="P9" i="21" a="1"/>
  <c r="Q9" i="39" a="1"/>
  <c r="Q10" i="26" a="1"/>
  <c r="O5" i="41" a="1"/>
  <c r="P9" i="41" a="1"/>
  <c r="P8" i="42" a="1"/>
  <c r="Q4" i="41" a="1"/>
  <c r="Q3" i="36" a="1"/>
  <c r="O2" i="28" a="1"/>
  <c r="P5" i="27" a="1"/>
  <c r="O8" i="34" a="1"/>
  <c r="Q9" i="40" a="1"/>
  <c r="O10" i="24" a="1"/>
  <c r="Q9" i="26" a="1"/>
  <c r="Q2" i="33" a="1"/>
  <c r="O11" i="22" a="1"/>
  <c r="O3" i="29" a="1"/>
  <c r="O2" i="30" a="1"/>
  <c r="Q7" i="24" a="1"/>
  <c r="O10" i="37" a="1"/>
  <c r="Q9" i="37" a="1"/>
  <c r="O5" i="22" a="1"/>
  <c r="O3" i="23" a="1"/>
  <c r="Q3" i="43" a="1"/>
  <c r="Q10" i="11" a="1"/>
  <c r="O10" i="14" a="1"/>
  <c r="O11" i="11" a="1"/>
  <c r="P11" i="21" a="1"/>
  <c r="Q10" i="16" a="1"/>
  <c r="Q7" i="35" a="1"/>
  <c r="O9" i="39" a="1"/>
  <c r="O5" i="15" a="1"/>
  <c r="P8" i="17" a="1"/>
  <c r="O8" i="28" a="1"/>
  <c r="P9" i="14" a="1"/>
  <c r="P8" i="23" a="1"/>
  <c r="Q9" i="27" a="1"/>
  <c r="O5" i="36" a="1"/>
  <c r="O10" i="22" a="1"/>
  <c r="O11" i="27" a="1"/>
  <c r="O5" i="42" a="1"/>
  <c r="O2" i="31" a="1"/>
  <c r="O4" i="39" a="1"/>
  <c r="P3" i="40" a="1"/>
  <c r="P8" i="43" a="1"/>
  <c r="O10" i="33" a="1"/>
  <c r="Q2" i="26" a="1"/>
  <c r="Q10" i="37" a="1"/>
  <c r="Q7" i="36" a="1"/>
  <c r="P10" i="23" a="1"/>
  <c r="O11" i="41" a="1"/>
  <c r="Q3" i="16" a="1"/>
  <c r="Q10" i="36" a="1"/>
  <c r="Q4" i="21" a="1"/>
  <c r="P8" i="37" a="1"/>
  <c r="Q2" i="19" a="1"/>
  <c r="Q7" i="29" a="1"/>
  <c r="O2" i="19" a="1"/>
  <c r="P11" i="43" a="1"/>
  <c r="O5" i="37" a="1"/>
  <c r="Q3" i="33" a="1"/>
  <c r="Q10" i="40" a="1"/>
  <c r="Q2" i="39" a="1"/>
  <c r="O4" i="43" a="1"/>
  <c r="P11" i="31" a="1"/>
  <c r="P3" i="24" a="1"/>
  <c r="O2" i="41" a="1"/>
  <c r="O11" i="31" a="1"/>
  <c r="Q10" i="29" a="1"/>
  <c r="P5" i="33" a="1"/>
  <c r="O9" i="43" a="1"/>
  <c r="P8" i="29" a="1"/>
  <c r="O10" i="19" a="1"/>
  <c r="O9" i="38" a="1"/>
  <c r="O2" i="20" a="1"/>
  <c r="P4" i="17" a="1"/>
  <c r="Q4" i="40" a="1"/>
  <c r="P4" i="33" a="1"/>
  <c r="O4" i="35" a="1"/>
  <c r="P11" i="38" a="1"/>
  <c r="P9" i="39" a="1"/>
  <c r="Q9" i="17" a="1"/>
  <c r="P5" i="24" a="1"/>
  <c r="Q7" i="26" a="1"/>
  <c r="P9" i="19" a="1"/>
  <c r="P5" i="14" a="1"/>
  <c r="Q4" i="32" a="1"/>
  <c r="P5" i="26" a="1"/>
  <c r="O4" i="11" a="1"/>
  <c r="P5" i="39" a="1"/>
  <c r="P10" i="34" a="1"/>
  <c r="O2" i="23" a="1"/>
  <c r="O4" i="36" a="1"/>
  <c r="O9" i="31" a="1"/>
  <c r="Q7" i="32" a="1"/>
  <c r="O5" i="27" a="1"/>
  <c r="Q2" i="35" a="1"/>
  <c r="O2" i="22" a="1"/>
  <c r="O2" i="14" a="1"/>
  <c r="O3" i="38" a="1"/>
  <c r="P3" i="19" a="1"/>
  <c r="O3" i="28" a="1"/>
  <c r="O4" i="22" a="1"/>
  <c r="Q10" i="39" a="1"/>
  <c r="P10" i="32" a="1"/>
  <c r="P11" i="33" a="1"/>
  <c r="Q9" i="30" a="1"/>
  <c r="P5" i="18" a="1"/>
  <c r="Q2" i="21" a="1"/>
  <c r="P11" i="42" a="1"/>
  <c r="P9" i="29" a="1"/>
  <c r="O9" i="22" a="1"/>
  <c r="P4" i="36" a="1"/>
  <c r="O10" i="18" a="1"/>
  <c r="P9" i="16" a="1"/>
  <c r="Q7" i="34" a="1"/>
  <c r="O4" i="16" a="1"/>
  <c r="O10" i="16" a="1"/>
  <c r="Q9" i="20" a="1"/>
  <c r="P4" i="41" a="1"/>
  <c r="O8" i="35" a="1"/>
  <c r="Q2" i="29" a="1"/>
  <c r="P3" i="11" a="1"/>
  <c r="Q7" i="16" a="1"/>
  <c r="P11" i="19" a="1"/>
  <c r="O4" i="29" a="1"/>
  <c r="Q2" i="43" a="1"/>
  <c r="O11" i="40" a="1"/>
  <c r="O11" i="18" a="1"/>
  <c r="O3" i="31" a="1"/>
  <c r="O9" i="23" a="1"/>
  <c r="O10" i="30" a="1"/>
  <c r="O3" i="36" a="1"/>
  <c r="Q3" i="23" a="1"/>
  <c r="P11" i="37" a="1"/>
  <c r="P4" i="32" a="1"/>
  <c r="Q2" i="27" a="1"/>
  <c r="O8" i="18" a="1"/>
  <c r="O11" i="16" a="1"/>
  <c r="P10" i="11" a="1"/>
  <c r="P8" i="32" a="1"/>
  <c r="O8" i="15" a="1"/>
  <c r="P8" i="34" a="1"/>
  <c r="P4" i="34" a="1"/>
  <c r="P3" i="15" a="1"/>
  <c r="P4" i="37" a="1"/>
  <c r="Q2" i="42" a="1"/>
  <c r="Q9" i="28" a="1"/>
  <c r="P10" i="22" a="1"/>
  <c r="P10" i="26" a="1"/>
  <c r="Q2" i="23" a="1"/>
  <c r="O9" i="18" a="1"/>
  <c r="O11" i="34" a="1"/>
  <c r="O3" i="17" a="1"/>
  <c r="P11" i="41" a="1"/>
  <c r="O11" i="33" a="1"/>
  <c r="Q10" i="19" a="1"/>
  <c r="Q7" i="40" a="1"/>
  <c r="Q7" i="20" a="1"/>
  <c r="O5" i="11" a="1"/>
  <c r="Q9" i="14" a="1"/>
  <c r="P10" i="18" a="1"/>
  <c r="Q2" i="37" a="1"/>
  <c r="P4" i="31" a="1"/>
  <c r="O2" i="40" a="1"/>
  <c r="P4" i="39" a="1"/>
  <c r="Q7" i="37" a="1"/>
  <c r="P9" i="11" a="1"/>
  <c r="P4" i="14" a="1"/>
  <c r="P11" i="22" a="1"/>
  <c r="P3" i="39" a="1"/>
  <c r="O9" i="40" a="1"/>
  <c r="Q4" i="34" a="1"/>
  <c r="O11" i="20" a="1"/>
  <c r="Q10" i="32" a="1"/>
  <c r="O2" i="43" a="1"/>
  <c r="Q4" i="35" a="1"/>
  <c r="P8" i="31" a="1"/>
  <c r="P11" i="27" a="1"/>
  <c r="P4" i="43" a="1"/>
  <c r="Q4" i="29" a="1"/>
  <c r="O11" i="28" a="1"/>
  <c r="O3" i="24" a="1"/>
  <c r="O8" i="38" a="1"/>
  <c r="P11" i="40" a="1"/>
  <c r="O10" i="23" a="1"/>
  <c r="O10" i="40" a="1"/>
  <c r="O2" i="37" a="1"/>
  <c r="O11" i="39" a="1"/>
  <c r="O3" i="18" a="1"/>
  <c r="P11" i="20" a="1"/>
  <c r="Q3" i="28" a="1"/>
  <c r="Q10" i="14" a="1"/>
  <c r="O3" i="16" a="1"/>
  <c r="O3" i="11" a="1"/>
  <c r="Q4" i="15" a="1"/>
  <c r="O9" i="41" a="1"/>
  <c r="P11" i="32" a="1"/>
  <c r="P11" i="29" a="1"/>
  <c r="Q4" i="31" a="1"/>
  <c r="O4" i="26" a="1"/>
  <c r="P11" i="36" a="1"/>
  <c r="O5" i="17" a="1"/>
  <c r="O5" i="34" a="1"/>
  <c r="O3" i="31" l="1"/>
  <c r="Q2" i="30"/>
  <c r="F5" i="21"/>
  <c r="P9" i="32"/>
  <c r="O10" i="27"/>
  <c r="O9" i="24"/>
  <c r="O10" i="17"/>
  <c r="Q2" i="42"/>
  <c r="P10" i="23"/>
  <c r="Q4" i="30"/>
  <c r="P4" i="27"/>
  <c r="P9" i="29"/>
  <c r="P8" i="37"/>
  <c r="Q7" i="29"/>
  <c r="O10" i="23"/>
  <c r="Q3" i="35"/>
  <c r="O4" i="22"/>
  <c r="P10" i="33"/>
  <c r="Q4" i="24"/>
  <c r="Q10" i="21"/>
  <c r="O3" i="39"/>
  <c r="P8" i="23"/>
  <c r="P8" i="42"/>
  <c r="P10" i="22"/>
  <c r="O11" i="31"/>
  <c r="F5" i="32"/>
  <c r="Q10" i="40"/>
  <c r="O5" i="35"/>
  <c r="O8" i="19"/>
  <c r="O9" i="32"/>
  <c r="Q2" i="18"/>
  <c r="O10" i="37"/>
  <c r="P11" i="36"/>
  <c r="P9" i="16"/>
  <c r="O10" i="32"/>
  <c r="O3" i="21"/>
  <c r="O2" i="31"/>
  <c r="Q2" i="31"/>
  <c r="P4" i="22"/>
  <c r="P9" i="41"/>
  <c r="P8" i="34"/>
  <c r="O5" i="33"/>
  <c r="O4" i="43"/>
  <c r="P5" i="20"/>
  <c r="P11" i="33"/>
  <c r="O5" i="27"/>
  <c r="Q10" i="37"/>
  <c r="Q3" i="28"/>
  <c r="P9" i="31"/>
  <c r="O11" i="40"/>
  <c r="Q2" i="39"/>
  <c r="P9" i="42"/>
  <c r="Q10" i="26"/>
  <c r="P4" i="24"/>
  <c r="O3" i="32"/>
  <c r="O2" i="37"/>
  <c r="O8" i="21"/>
  <c r="P5" i="21"/>
  <c r="P4" i="38"/>
  <c r="P10" i="27"/>
  <c r="O5" i="18"/>
  <c r="O4" i="29"/>
  <c r="Q7" i="38"/>
  <c r="O5" i="16"/>
  <c r="O8" i="32"/>
  <c r="O8" i="42"/>
  <c r="O11" i="24"/>
  <c r="O5" i="30"/>
  <c r="O8" i="16"/>
  <c r="O8" i="34"/>
  <c r="Q7" i="36"/>
  <c r="P11" i="28"/>
  <c r="P10" i="31"/>
  <c r="F5" i="17"/>
  <c r="P3" i="18"/>
  <c r="P4" i="18"/>
  <c r="P9" i="21"/>
  <c r="F5" i="28"/>
  <c r="O4" i="32"/>
  <c r="Q4" i="38"/>
  <c r="O3" i="15"/>
  <c r="P11" i="15"/>
  <c r="P10" i="38"/>
  <c r="F5" i="31"/>
  <c r="O4" i="17"/>
  <c r="O5" i="20"/>
  <c r="O3" i="38"/>
  <c r="O11" i="17"/>
  <c r="O11" i="28"/>
  <c r="P9" i="28"/>
  <c r="O4" i="11"/>
  <c r="Q4" i="42"/>
  <c r="P5" i="11"/>
  <c r="O10" i="30"/>
  <c r="P3" i="16"/>
  <c r="Q9" i="24"/>
  <c r="O5" i="32"/>
  <c r="O9" i="35"/>
  <c r="H6" i="29"/>
  <c r="L6" i="29" s="1"/>
  <c r="N6" i="29" s="1"/>
  <c r="R6" i="29" s="1"/>
  <c r="O4" i="37"/>
  <c r="Q7" i="30"/>
  <c r="Q2" i="27"/>
  <c r="O5" i="37"/>
  <c r="Q2" i="34"/>
  <c r="B16" i="34" s="1"/>
  <c r="L16" i="34" s="1"/>
  <c r="R16" i="34" s="1"/>
  <c r="O5" i="14"/>
  <c r="O3" i="17"/>
  <c r="Q4" i="28"/>
  <c r="O3" i="24"/>
  <c r="O3" i="19"/>
  <c r="Q2" i="24"/>
  <c r="P10" i="18"/>
  <c r="P8" i="30"/>
  <c r="Q10" i="35"/>
  <c r="O9" i="26"/>
  <c r="O3" i="11"/>
  <c r="O8" i="28"/>
  <c r="O9" i="43"/>
  <c r="P9" i="24"/>
  <c r="P9" i="27"/>
  <c r="O8" i="23"/>
  <c r="Q3" i="18"/>
  <c r="P4" i="41"/>
  <c r="O8" i="40"/>
  <c r="Q3" i="43"/>
  <c r="P9" i="20"/>
  <c r="Q7" i="35"/>
  <c r="H7" i="35" s="1"/>
  <c r="L7" i="35" s="1"/>
  <c r="N7" i="35" s="1"/>
  <c r="R7" i="35" s="1"/>
  <c r="Q2" i="33"/>
  <c r="Q7" i="42"/>
  <c r="O9" i="23"/>
  <c r="P3" i="39"/>
  <c r="O3" i="26"/>
  <c r="O4" i="40"/>
  <c r="O2" i="42"/>
  <c r="P5" i="42"/>
  <c r="P10" i="29"/>
  <c r="O11" i="30"/>
  <c r="P5" i="32"/>
  <c r="P4" i="19"/>
  <c r="O9" i="20"/>
  <c r="Q4" i="40"/>
  <c r="Q7" i="33"/>
  <c r="O3" i="30"/>
  <c r="Q9" i="38"/>
  <c r="Q7" i="15"/>
  <c r="H7" i="15" s="1"/>
  <c r="L7" i="15" s="1"/>
  <c r="N7" i="15" s="1"/>
  <c r="R7" i="15" s="1"/>
  <c r="P5" i="24"/>
  <c r="Q9" i="19"/>
  <c r="I8" i="19" s="1"/>
  <c r="I17" i="19" s="1"/>
  <c r="I13" i="19" s="1"/>
  <c r="Q9" i="43"/>
  <c r="O2" i="39"/>
  <c r="O3" i="36"/>
  <c r="O9" i="27"/>
  <c r="Q4" i="18"/>
  <c r="Q9" i="21"/>
  <c r="Q10" i="18"/>
  <c r="Q7" i="26"/>
  <c r="P3" i="14"/>
  <c r="P9" i="37"/>
  <c r="P3" i="32"/>
  <c r="P8" i="24"/>
  <c r="O2" i="14"/>
  <c r="Q10" i="38"/>
  <c r="O5" i="11"/>
  <c r="P11" i="32"/>
  <c r="O10" i="14"/>
  <c r="O8" i="22"/>
  <c r="Q10" i="33"/>
  <c r="O11" i="32"/>
  <c r="Q2" i="17"/>
  <c r="Q9" i="37"/>
  <c r="P10" i="26"/>
  <c r="Q4" i="19"/>
  <c r="D2" i="19" s="1"/>
  <c r="D17" i="19" s="1"/>
  <c r="D12" i="19" s="1"/>
  <c r="D18" i="19" s="1"/>
  <c r="Q4" i="14"/>
  <c r="D2" i="14" s="1"/>
  <c r="D17" i="14" s="1"/>
  <c r="D12" i="14" s="1"/>
  <c r="P4" i="36"/>
  <c r="P4" i="32"/>
  <c r="O9" i="37"/>
  <c r="Q4" i="35"/>
  <c r="D2" i="35" s="1"/>
  <c r="D17" i="35" s="1"/>
  <c r="D12" i="35" s="1"/>
  <c r="P5" i="40"/>
  <c r="O2" i="15"/>
  <c r="Q3" i="37"/>
  <c r="Q10" i="34"/>
  <c r="Q9" i="29"/>
  <c r="I8" i="29" s="1"/>
  <c r="I17" i="29" s="1"/>
  <c r="I13" i="29" s="1"/>
  <c r="P8" i="36"/>
  <c r="P11" i="17"/>
  <c r="O10" i="22"/>
  <c r="O2" i="11"/>
  <c r="Q10" i="39"/>
  <c r="O3" i="23"/>
  <c r="O3" i="16"/>
  <c r="P8" i="22"/>
  <c r="Q4" i="16"/>
  <c r="P3" i="11"/>
  <c r="P5" i="14"/>
  <c r="O9" i="39"/>
  <c r="O4" i="38"/>
  <c r="O4" i="27"/>
  <c r="P9" i="43"/>
  <c r="Q7" i="11"/>
  <c r="O4" i="30"/>
  <c r="O10" i="24"/>
  <c r="O9" i="28"/>
  <c r="F5" i="38"/>
  <c r="O11" i="34"/>
  <c r="O10" i="19"/>
  <c r="O4" i="23"/>
  <c r="Q2" i="35"/>
  <c r="B16" i="35" s="1"/>
  <c r="Q3" i="21"/>
  <c r="O5" i="28"/>
  <c r="Q3" i="26"/>
  <c r="Q2" i="23"/>
  <c r="O3" i="40"/>
  <c r="Q10" i="15"/>
  <c r="O2" i="22"/>
  <c r="P8" i="21"/>
  <c r="P8" i="15"/>
  <c r="O5" i="29"/>
  <c r="O8" i="18"/>
  <c r="O9" i="14"/>
  <c r="O2" i="34"/>
  <c r="P3" i="30"/>
  <c r="F5" i="14"/>
  <c r="F3" i="14" s="1"/>
  <c r="F17" i="14" s="1"/>
  <c r="F12" i="14" s="1"/>
  <c r="F18" i="14" s="1"/>
  <c r="P3" i="19"/>
  <c r="O3" i="33"/>
  <c r="Q3" i="41"/>
  <c r="P3" i="22"/>
  <c r="P8" i="31"/>
  <c r="P3" i="36"/>
  <c r="Q3" i="11"/>
  <c r="O9" i="30"/>
  <c r="O5" i="23"/>
  <c r="O2" i="18"/>
  <c r="Q3" i="29"/>
  <c r="F5" i="37"/>
  <c r="P4" i="34"/>
  <c r="Q10" i="23"/>
  <c r="P4" i="28"/>
  <c r="Q4" i="22"/>
  <c r="Q9" i="42"/>
  <c r="O8" i="11"/>
  <c r="P5" i="18"/>
  <c r="O8" i="36"/>
  <c r="P8" i="41"/>
  <c r="O8" i="31"/>
  <c r="O4" i="35"/>
  <c r="Q2" i="40"/>
  <c r="P9" i="18"/>
  <c r="P5" i="43"/>
  <c r="O3" i="28"/>
  <c r="Q9" i="33"/>
  <c r="Q10" i="11"/>
  <c r="Q2" i="37"/>
  <c r="Q3" i="34"/>
  <c r="Q3" i="16"/>
  <c r="Q2" i="29"/>
  <c r="B16" i="29" s="1"/>
  <c r="B17" i="29" s="1"/>
  <c r="B12" i="29" s="1"/>
  <c r="B18" i="29" s="1"/>
  <c r="Q7" i="19"/>
  <c r="H7" i="19" s="1"/>
  <c r="L7" i="19" s="1"/>
  <c r="N7" i="19" s="1"/>
  <c r="R7" i="19" s="1"/>
  <c r="Q9" i="27"/>
  <c r="Q9" i="23"/>
  <c r="F5" i="22"/>
  <c r="P5" i="26"/>
  <c r="O4" i="33"/>
  <c r="P10" i="43"/>
  <c r="O8" i="27"/>
  <c r="Q10" i="19"/>
  <c r="J8" i="19" s="1"/>
  <c r="J17" i="19" s="1"/>
  <c r="J13" i="19" s="1"/>
  <c r="Q4" i="36"/>
  <c r="Q10" i="28"/>
  <c r="O11" i="22"/>
  <c r="O11" i="39"/>
  <c r="F5" i="16"/>
  <c r="O5" i="15"/>
  <c r="Q7" i="14"/>
  <c r="H7" i="14" s="1"/>
  <c r="L7" i="14" s="1"/>
  <c r="N7" i="14" s="1"/>
  <c r="R7" i="14" s="1"/>
  <c r="P10" i="21"/>
  <c r="Q4" i="20"/>
  <c r="D2" i="20" s="1"/>
  <c r="D17" i="20" s="1"/>
  <c r="D12" i="20" s="1"/>
  <c r="D18" i="20" s="1"/>
  <c r="O4" i="19"/>
  <c r="Q9" i="14"/>
  <c r="O10" i="11"/>
  <c r="O2" i="20"/>
  <c r="O8" i="39"/>
  <c r="Q9" i="26"/>
  <c r="P4" i="37"/>
  <c r="P4" i="42"/>
  <c r="O9" i="42"/>
  <c r="Q3" i="39"/>
  <c r="O4" i="39"/>
  <c r="Q3" i="15"/>
  <c r="P8" i="28"/>
  <c r="Q2" i="28"/>
  <c r="P11" i="41"/>
  <c r="P4" i="11"/>
  <c r="O9" i="11"/>
  <c r="F5" i="39"/>
  <c r="F3" i="39" s="1"/>
  <c r="Q10" i="43"/>
  <c r="O5" i="38"/>
  <c r="O9" i="29"/>
  <c r="P10" i="32"/>
  <c r="O3" i="43"/>
  <c r="P3" i="21"/>
  <c r="P4" i="20"/>
  <c r="Q2" i="41"/>
  <c r="B16" i="41" s="1"/>
  <c r="B17" i="41" s="1"/>
  <c r="B12" i="41" s="1"/>
  <c r="B18" i="41" s="1"/>
  <c r="P4" i="15"/>
  <c r="P8" i="33"/>
  <c r="Q2" i="19"/>
  <c r="B16" i="19" s="1"/>
  <c r="L16" i="19" s="1"/>
  <c r="R16" i="19" s="1"/>
  <c r="P5" i="28"/>
  <c r="P8" i="20"/>
  <c r="O5" i="40"/>
  <c r="O5" i="17"/>
  <c r="P10" i="41"/>
  <c r="Q9" i="22"/>
  <c r="Q4" i="17"/>
  <c r="Q4" i="39"/>
  <c r="P10" i="15"/>
  <c r="F5" i="33"/>
  <c r="P10" i="28"/>
  <c r="Q4" i="33"/>
  <c r="P3" i="27"/>
  <c r="F5" i="36"/>
  <c r="Q9" i="41"/>
  <c r="I8" i="41" s="1"/>
  <c r="I17" i="41" s="1"/>
  <c r="I13" i="41" s="1"/>
  <c r="P10" i="30"/>
  <c r="P11" i="42"/>
  <c r="P3" i="34"/>
  <c r="F5" i="23"/>
  <c r="Q7" i="41"/>
  <c r="H7" i="41" s="1"/>
  <c r="L7" i="41" s="1"/>
  <c r="P11" i="30"/>
  <c r="P8" i="43"/>
  <c r="O11" i="26"/>
  <c r="P3" i="42"/>
  <c r="P4" i="31"/>
  <c r="Q4" i="15"/>
  <c r="D2" i="15" s="1"/>
  <c r="D17" i="15" s="1"/>
  <c r="D12" i="15" s="1"/>
  <c r="O5" i="24"/>
  <c r="P11" i="29"/>
  <c r="P8" i="17"/>
  <c r="Q10" i="27"/>
  <c r="O10" i="34"/>
  <c r="O3" i="14"/>
  <c r="P8" i="40"/>
  <c r="P9" i="34"/>
  <c r="O3" i="27"/>
  <c r="P5" i="23"/>
  <c r="Q4" i="21"/>
  <c r="P11" i="18"/>
  <c r="P5" i="33"/>
  <c r="O10" i="42"/>
  <c r="Q7" i="32"/>
  <c r="O5" i="22"/>
  <c r="O3" i="42"/>
  <c r="O8" i="26"/>
  <c r="O11" i="38"/>
  <c r="P10" i="37"/>
  <c r="F5" i="18"/>
  <c r="O10" i="28"/>
  <c r="P3" i="33"/>
  <c r="P3" i="23"/>
  <c r="Q7" i="18"/>
  <c r="O2" i="41"/>
  <c r="P10" i="19"/>
  <c r="Q10" i="42"/>
  <c r="O9" i="22"/>
  <c r="O2" i="38"/>
  <c r="P11" i="37"/>
  <c r="P10" i="20"/>
  <c r="Q9" i="40"/>
  <c r="P9" i="14"/>
  <c r="P5" i="31"/>
  <c r="P11" i="43"/>
  <c r="Q7" i="39"/>
  <c r="Q3" i="31"/>
  <c r="P8" i="27"/>
  <c r="Q3" i="40"/>
  <c r="P4" i="16"/>
  <c r="O4" i="42"/>
  <c r="P8" i="29"/>
  <c r="Q3" i="42"/>
  <c r="O3" i="41"/>
  <c r="O8" i="33"/>
  <c r="Q2" i="22"/>
  <c r="P3" i="31"/>
  <c r="Q9" i="39"/>
  <c r="O11" i="36"/>
  <c r="Q2" i="26"/>
  <c r="P10" i="36"/>
  <c r="P3" i="26"/>
  <c r="O9" i="34"/>
  <c r="O4" i="28"/>
  <c r="Q10" i="31"/>
  <c r="Q3" i="24"/>
  <c r="Q10" i="29"/>
  <c r="J8" i="29" s="1"/>
  <c r="J17" i="29" s="1"/>
  <c r="J13" i="29" s="1"/>
  <c r="Q9" i="31"/>
  <c r="Q9" i="18"/>
  <c r="P11" i="22"/>
  <c r="Q7" i="23"/>
  <c r="O4" i="20"/>
  <c r="P8" i="26"/>
  <c r="O5" i="36"/>
  <c r="O10" i="15"/>
  <c r="O11" i="33"/>
  <c r="O8" i="43"/>
  <c r="P8" i="19"/>
  <c r="O3" i="20"/>
  <c r="P5" i="19"/>
  <c r="P4" i="35"/>
  <c r="P8" i="18"/>
  <c r="P11" i="24"/>
  <c r="Q9" i="34"/>
  <c r="Q4" i="29"/>
  <c r="O10" i="31"/>
  <c r="Q9" i="35"/>
  <c r="P9" i="15"/>
  <c r="O5" i="43"/>
  <c r="P11" i="11"/>
  <c r="O11" i="16"/>
  <c r="P5" i="30"/>
  <c r="P10" i="17"/>
  <c r="O8" i="14"/>
  <c r="P3" i="20"/>
  <c r="P8" i="14"/>
  <c r="O4" i="24"/>
  <c r="Q10" i="36"/>
  <c r="O9" i="41"/>
  <c r="Q7" i="24"/>
  <c r="P11" i="38"/>
  <c r="O11" i="23"/>
  <c r="P10" i="24"/>
  <c r="P5" i="35"/>
  <c r="Q7" i="20"/>
  <c r="H7" i="20" s="1"/>
  <c r="L7" i="20" s="1"/>
  <c r="N7" i="20" s="1"/>
  <c r="P8" i="11"/>
  <c r="P4" i="14"/>
  <c r="O4" i="34"/>
  <c r="Q7" i="27"/>
  <c r="O3" i="35"/>
  <c r="P11" i="34"/>
  <c r="O9" i="31"/>
  <c r="O8" i="38"/>
  <c r="Q7" i="22"/>
  <c r="Q9" i="20"/>
  <c r="P11" i="26"/>
  <c r="O2" i="19"/>
  <c r="O4" i="14"/>
  <c r="P8" i="38"/>
  <c r="O4" i="26"/>
  <c r="O11" i="14"/>
  <c r="O10" i="36"/>
  <c r="P9" i="36"/>
  <c r="O2" i="28"/>
  <c r="Q3" i="38"/>
  <c r="O11" i="37"/>
  <c r="P9" i="38"/>
  <c r="P9" i="11"/>
  <c r="Q2" i="16"/>
  <c r="P10" i="39"/>
  <c r="O5" i="21"/>
  <c r="P9" i="33"/>
  <c r="O5" i="42"/>
  <c r="P3" i="15"/>
  <c r="P11" i="19"/>
  <c r="O4" i="36"/>
  <c r="P11" i="31"/>
  <c r="P10" i="35"/>
  <c r="Q9" i="11"/>
  <c r="P5" i="29"/>
  <c r="P11" i="39"/>
  <c r="P3" i="38"/>
  <c r="Q10" i="17"/>
  <c r="Q9" i="36"/>
  <c r="F5" i="11"/>
  <c r="Q4" i="27"/>
  <c r="Q9" i="16"/>
  <c r="O3" i="18"/>
  <c r="P3" i="29"/>
  <c r="Q3" i="17"/>
  <c r="O4" i="15"/>
  <c r="Q4" i="32"/>
  <c r="O10" i="40"/>
  <c r="P9" i="23"/>
  <c r="Q7" i="21"/>
  <c r="H6" i="34"/>
  <c r="L6" i="34" s="1"/>
  <c r="N6" i="34" s="1"/>
  <c r="R6" i="34" s="1"/>
  <c r="Q3" i="14"/>
  <c r="Q7" i="16"/>
  <c r="Q4" i="37"/>
  <c r="Q10" i="16"/>
  <c r="Q7" i="43"/>
  <c r="O2" i="30"/>
  <c r="O11" i="19"/>
  <c r="F5" i="40"/>
  <c r="Q4" i="11"/>
  <c r="Q10" i="41"/>
  <c r="J8" i="41" s="1"/>
  <c r="J17" i="41" s="1"/>
  <c r="J13" i="41" s="1"/>
  <c r="P5" i="16"/>
  <c r="O9" i="17"/>
  <c r="F5" i="43"/>
  <c r="Q9" i="15"/>
  <c r="O10" i="18"/>
  <c r="P4" i="33"/>
  <c r="Q3" i="30"/>
  <c r="O8" i="41"/>
  <c r="P8" i="32"/>
  <c r="O9" i="38"/>
  <c r="P11" i="20"/>
  <c r="Q7" i="28"/>
  <c r="Q10" i="32"/>
  <c r="P4" i="29"/>
  <c r="O11" i="20"/>
  <c r="P11" i="14"/>
  <c r="O10" i="16"/>
  <c r="Q2" i="11"/>
  <c r="Q10" i="14"/>
  <c r="P4" i="23"/>
  <c r="Q3" i="22"/>
  <c r="O11" i="21"/>
  <c r="O5" i="39"/>
  <c r="F5" i="42"/>
  <c r="O9" i="16"/>
  <c r="P9" i="22"/>
  <c r="Q2" i="14"/>
  <c r="B16" i="14" s="1"/>
  <c r="L16" i="14" s="1"/>
  <c r="Q16" i="14" s="1"/>
  <c r="Q10" i="24"/>
  <c r="F5" i="30"/>
  <c r="O4" i="16"/>
  <c r="O11" i="35"/>
  <c r="O2" i="32"/>
  <c r="O10" i="43"/>
  <c r="Q2" i="36"/>
  <c r="P10" i="14"/>
  <c r="Q7" i="34"/>
  <c r="H7" i="34" s="1"/>
  <c r="L7" i="34" s="1"/>
  <c r="N7" i="34" s="1"/>
  <c r="R7" i="34" s="1"/>
  <c r="O11" i="27"/>
  <c r="P3" i="37"/>
  <c r="P5" i="38"/>
  <c r="Q2" i="20"/>
  <c r="B16" i="20" s="1"/>
  <c r="B17" i="20" s="1"/>
  <c r="B12" i="20" s="1"/>
  <c r="Q4" i="26"/>
  <c r="P4" i="30"/>
  <c r="P10" i="34"/>
  <c r="P5" i="15"/>
  <c r="Q4" i="41"/>
  <c r="D2" i="41" s="1"/>
  <c r="D17" i="41" s="1"/>
  <c r="D12" i="41" s="1"/>
  <c r="P11" i="23"/>
  <c r="O2" i="43"/>
  <c r="P3" i="17"/>
  <c r="Q4" i="23"/>
  <c r="O2" i="24"/>
  <c r="O10" i="21"/>
  <c r="O8" i="17"/>
  <c r="Q2" i="43"/>
  <c r="P10" i="42"/>
  <c r="O10" i="26"/>
  <c r="O11" i="18"/>
  <c r="O8" i="24"/>
  <c r="P5" i="17"/>
  <c r="Q3" i="33"/>
  <c r="O2" i="40"/>
  <c r="O9" i="33"/>
  <c r="Q10" i="30"/>
  <c r="O9" i="15"/>
  <c r="P5" i="39"/>
  <c r="P9" i="19"/>
  <c r="O10" i="33"/>
  <c r="O2" i="26"/>
  <c r="Q9" i="32"/>
  <c r="P3" i="41"/>
  <c r="O2" i="21"/>
  <c r="O5" i="34"/>
  <c r="O3" i="34"/>
  <c r="O10" i="38"/>
  <c r="P9" i="26"/>
  <c r="P8" i="16"/>
  <c r="O4" i="18"/>
  <c r="O2" i="17"/>
  <c r="O8" i="35"/>
  <c r="P4" i="39"/>
  <c r="P4" i="17"/>
  <c r="F5" i="20"/>
  <c r="Q9" i="30"/>
  <c r="O4" i="41"/>
  <c r="P5" i="22"/>
  <c r="P5" i="36"/>
  <c r="O9" i="19"/>
  <c r="O11" i="43"/>
  <c r="O5" i="19"/>
  <c r="O10" i="20"/>
  <c r="Q7" i="40"/>
  <c r="O8" i="15"/>
  <c r="O11" i="29"/>
  <c r="P3" i="43"/>
  <c r="Q7" i="31"/>
  <c r="P11" i="35"/>
  <c r="Q9" i="28"/>
  <c r="O8" i="30"/>
  <c r="O10" i="29"/>
  <c r="O5" i="41"/>
  <c r="P5" i="41"/>
  <c r="P5" i="34"/>
  <c r="O11" i="41"/>
  <c r="O3" i="22"/>
  <c r="P9" i="30"/>
  <c r="F5" i="24"/>
  <c r="P4" i="40"/>
  <c r="Q2" i="32"/>
  <c r="P4" i="26"/>
  <c r="Q7" i="37"/>
  <c r="P11" i="16"/>
  <c r="P8" i="35"/>
  <c r="O9" i="21"/>
  <c r="P3" i="40"/>
  <c r="O8" i="20"/>
  <c r="Q7" i="17"/>
  <c r="P9" i="39"/>
  <c r="O3" i="37"/>
  <c r="O8" i="29"/>
  <c r="O5" i="31"/>
  <c r="O2" i="36"/>
  <c r="Q3" i="36"/>
  <c r="O2" i="33"/>
  <c r="P11" i="21"/>
  <c r="P3" i="28"/>
  <c r="P10" i="11"/>
  <c r="O10" i="35"/>
  <c r="O2" i="29"/>
  <c r="Q3" i="20"/>
  <c r="F3" i="19"/>
  <c r="F17" i="19" s="1"/>
  <c r="F12" i="19" s="1"/>
  <c r="F18" i="19" s="1"/>
  <c r="P5" i="37"/>
  <c r="P5" i="27"/>
  <c r="Q2" i="21"/>
  <c r="P10" i="40"/>
  <c r="Q4" i="34"/>
  <c r="D2" i="34" s="1"/>
  <c r="D17" i="34" s="1"/>
  <c r="D12" i="34" s="1"/>
  <c r="Q2" i="15"/>
  <c r="B16" i="15" s="1"/>
  <c r="B17" i="15" s="1"/>
  <c r="B12" i="15" s="1"/>
  <c r="B18" i="15" s="1"/>
  <c r="P11" i="27"/>
  <c r="O5" i="26"/>
  <c r="Q3" i="19"/>
  <c r="F5" i="15"/>
  <c r="F3" i="15" s="1"/>
  <c r="F17" i="15" s="1"/>
  <c r="F12" i="15" s="1"/>
  <c r="F18" i="15" s="1"/>
  <c r="P10" i="16"/>
  <c r="P9" i="35"/>
  <c r="P4" i="43"/>
  <c r="O9" i="18"/>
  <c r="O11" i="42"/>
  <c r="Q3" i="32"/>
  <c r="Q4" i="31"/>
  <c r="O4" i="21"/>
  <c r="O9" i="40"/>
  <c r="Q10" i="20"/>
  <c r="Q3" i="23"/>
  <c r="P9" i="40"/>
  <c r="O8" i="37"/>
  <c r="P9" i="17"/>
  <c r="O3" i="29"/>
  <c r="O11" i="11"/>
  <c r="P4" i="21"/>
  <c r="O2" i="35"/>
  <c r="O10" i="41"/>
  <c r="O10" i="39"/>
  <c r="Q9" i="17"/>
  <c r="Q10" i="22"/>
  <c r="P8" i="39"/>
  <c r="O2" i="23"/>
  <c r="O4" i="31"/>
  <c r="Q3" i="27"/>
  <c r="P3" i="24"/>
  <c r="Q4" i="43"/>
  <c r="Q2" i="38"/>
  <c r="O2" i="16"/>
  <c r="O11" i="15"/>
  <c r="O9" i="36"/>
  <c r="P3" i="35"/>
  <c r="O2" i="27"/>
  <c r="P11" i="40"/>
  <c r="G4" i="29" l="1"/>
  <c r="L4" i="29" s="1"/>
  <c r="N4" i="29" s="1"/>
  <c r="G3" i="29"/>
  <c r="H7" i="29"/>
  <c r="L7" i="29" s="1"/>
  <c r="N7" i="29" s="1"/>
  <c r="R7" i="29" s="1"/>
  <c r="D2" i="29"/>
  <c r="D17" i="29" s="1"/>
  <c r="D12" i="29" s="1"/>
  <c r="D18" i="29" s="1"/>
  <c r="Q16" i="34"/>
  <c r="C2" i="35"/>
  <c r="C17" i="35" s="1"/>
  <c r="C12" i="35" s="1"/>
  <c r="C18" i="35" s="1"/>
  <c r="C2" i="14"/>
  <c r="C17" i="14" s="1"/>
  <c r="C12" i="14" s="1"/>
  <c r="C18" i="14" s="1"/>
  <c r="G3" i="14"/>
  <c r="C2" i="15"/>
  <c r="C17" i="15" s="1"/>
  <c r="C12" i="15" s="1"/>
  <c r="C18" i="15" s="1"/>
  <c r="G3" i="15"/>
  <c r="C2" i="41"/>
  <c r="C17" i="41" s="1"/>
  <c r="C12" i="41" s="1"/>
  <c r="C18" i="41" s="1"/>
  <c r="C2" i="19"/>
  <c r="C17" i="19" s="1"/>
  <c r="C12" i="19" s="1"/>
  <c r="C18" i="19" s="1"/>
  <c r="G3" i="19"/>
  <c r="C2" i="20"/>
  <c r="C17" i="20" s="1"/>
  <c r="C12" i="20" s="1"/>
  <c r="C18" i="20" s="1"/>
  <c r="G3" i="39"/>
  <c r="C2" i="34"/>
  <c r="C17" i="34" s="1"/>
  <c r="C12" i="34" s="1"/>
  <c r="C18" i="34" s="1"/>
  <c r="C2" i="29"/>
  <c r="C17" i="29" s="1"/>
  <c r="C12" i="29" s="1"/>
  <c r="C18" i="29" s="1"/>
  <c r="H6" i="20"/>
  <c r="L6" i="20" s="1"/>
  <c r="N6" i="20" s="1"/>
  <c r="R6" i="20" s="1"/>
  <c r="F3" i="20"/>
  <c r="F17" i="20" s="1"/>
  <c r="F12" i="20" s="1"/>
  <c r="F18" i="20" s="1"/>
  <c r="B17" i="34"/>
  <c r="B12" i="34" s="1"/>
  <c r="B18" i="34" s="1"/>
  <c r="H6" i="14"/>
  <c r="L6" i="14" s="1"/>
  <c r="N6" i="14" s="1"/>
  <c r="R6" i="14" s="1"/>
  <c r="Q8" i="26"/>
  <c r="F3" i="18"/>
  <c r="G3" i="18" s="1"/>
  <c r="G4" i="18"/>
  <c r="Q8" i="41"/>
  <c r="B17" i="19"/>
  <c r="B12" i="19" s="1"/>
  <c r="B18" i="19" s="1"/>
  <c r="N7" i="41"/>
  <c r="R7" i="41" s="1"/>
  <c r="G4" i="20"/>
  <c r="L4" i="20" s="1"/>
  <c r="N4" i="20" s="1"/>
  <c r="R4" i="20" s="1"/>
  <c r="Q16" i="19"/>
  <c r="L16" i="29"/>
  <c r="R16" i="29" s="1"/>
  <c r="K10" i="35"/>
  <c r="L10" i="35" s="1"/>
  <c r="N10" i="35" s="1"/>
  <c r="R10" i="35" s="1"/>
  <c r="K10" i="29"/>
  <c r="L10" i="29" s="1"/>
  <c r="N10" i="29" s="1"/>
  <c r="R10" i="29" s="1"/>
  <c r="G4" i="19"/>
  <c r="L4" i="19" s="1"/>
  <c r="N4" i="19" s="1"/>
  <c r="R4" i="19" s="1"/>
  <c r="Q8" i="33"/>
  <c r="K9" i="41"/>
  <c r="L9" i="41" s="1"/>
  <c r="N9" i="41" s="1"/>
  <c r="R9" i="41" s="1"/>
  <c r="K9" i="20"/>
  <c r="L9" i="20" s="1"/>
  <c r="N9" i="20" s="1"/>
  <c r="R9" i="20" s="1"/>
  <c r="R7" i="20"/>
  <c r="K9" i="34"/>
  <c r="L9" i="34" s="1"/>
  <c r="N9" i="34" s="1"/>
  <c r="R9" i="34" s="1"/>
  <c r="G4" i="39"/>
  <c r="K10" i="34"/>
  <c r="L10" i="34" s="1"/>
  <c r="N10" i="34" s="1"/>
  <c r="R10" i="34" s="1"/>
  <c r="Q8" i="36"/>
  <c r="Q8" i="38"/>
  <c r="K9" i="14"/>
  <c r="L9" i="14" s="1"/>
  <c r="N9" i="14" s="1"/>
  <c r="R9" i="14" s="1"/>
  <c r="Q8" i="16"/>
  <c r="Q8" i="31"/>
  <c r="Q8" i="32"/>
  <c r="L8" i="19"/>
  <c r="Q8" i="20"/>
  <c r="Q8" i="43"/>
  <c r="Q8" i="22"/>
  <c r="F17" i="29"/>
  <c r="F12" i="29" s="1"/>
  <c r="F18" i="29" s="1"/>
  <c r="K10" i="20"/>
  <c r="L10" i="20" s="1"/>
  <c r="N10" i="20" s="1"/>
  <c r="K10" i="15"/>
  <c r="L10" i="15" s="1"/>
  <c r="N10" i="15" s="1"/>
  <c r="R10" i="15" s="1"/>
  <c r="K10" i="19"/>
  <c r="L10" i="19" s="1"/>
  <c r="N10" i="19" s="1"/>
  <c r="R10" i="19" s="1"/>
  <c r="Q8" i="39"/>
  <c r="L16" i="15"/>
  <c r="Q16" i="15" s="1"/>
  <c r="Q8" i="17"/>
  <c r="Q8" i="18"/>
  <c r="Q8" i="21"/>
  <c r="K9" i="29"/>
  <c r="L9" i="29" s="1"/>
  <c r="N9" i="29" s="1"/>
  <c r="R9" i="29" s="1"/>
  <c r="Q8" i="19"/>
  <c r="K10" i="14"/>
  <c r="L10" i="14" s="1"/>
  <c r="N10" i="14" s="1"/>
  <c r="R10" i="14" s="1"/>
  <c r="G4" i="14"/>
  <c r="L4" i="14" s="1"/>
  <c r="N4" i="14" s="1"/>
  <c r="R4" i="14" s="1"/>
  <c r="K9" i="15"/>
  <c r="L9" i="15" s="1"/>
  <c r="N9" i="15" s="1"/>
  <c r="R9" i="15" s="1"/>
  <c r="G4" i="15"/>
  <c r="Q8" i="42"/>
  <c r="Q8" i="28"/>
  <c r="Q8" i="11"/>
  <c r="Q8" i="34"/>
  <c r="L16" i="41"/>
  <c r="R16" i="41" s="1"/>
  <c r="K10" i="41"/>
  <c r="L10" i="41" s="1"/>
  <c r="N10" i="41" s="1"/>
  <c r="R10" i="41" s="1"/>
  <c r="Q8" i="40"/>
  <c r="K9" i="19"/>
  <c r="L9" i="19" s="1"/>
  <c r="N9" i="19" s="1"/>
  <c r="R9" i="19" s="1"/>
  <c r="K9" i="35"/>
  <c r="L9" i="35" s="1"/>
  <c r="N9" i="35" s="1"/>
  <c r="R9" i="35" s="1"/>
  <c r="F5" i="34"/>
  <c r="F3" i="34" s="1"/>
  <c r="F17" i="34" s="1"/>
  <c r="F12" i="34" s="1"/>
  <c r="F18" i="34" s="1"/>
  <c r="F5" i="26"/>
  <c r="Q8" i="23"/>
  <c r="L16" i="20"/>
  <c r="Q16" i="20" s="1"/>
  <c r="Q8" i="37"/>
  <c r="R16" i="14"/>
  <c r="Q8" i="27"/>
  <c r="Q8" i="14"/>
  <c r="B17" i="14"/>
  <c r="B12" i="14" s="1"/>
  <c r="B18" i="14" s="1"/>
  <c r="Q8" i="15"/>
  <c r="G4" i="41"/>
  <c r="L4" i="41" s="1"/>
  <c r="N4" i="41" s="1"/>
  <c r="R4" i="41" s="1"/>
  <c r="H6" i="19"/>
  <c r="H17" i="19" s="1"/>
  <c r="Q8" i="29"/>
  <c r="Q8" i="30"/>
  <c r="L16" i="35"/>
  <c r="B17" i="35"/>
  <c r="B12" i="35" s="1"/>
  <c r="B18" i="35" s="1"/>
  <c r="H6" i="35"/>
  <c r="L6" i="35" s="1"/>
  <c r="N6" i="35" s="1"/>
  <c r="R6" i="35" s="1"/>
  <c r="F5" i="35"/>
  <c r="F3" i="35" s="1"/>
  <c r="F17" i="35" s="1"/>
  <c r="F12" i="35" s="1"/>
  <c r="F18" i="35" s="1"/>
  <c r="Q8" i="35"/>
  <c r="Q8" i="24"/>
  <c r="H6" i="41"/>
  <c r="L6" i="41" s="1"/>
  <c r="N6" i="41" s="1"/>
  <c r="R6" i="41" s="1"/>
  <c r="F5" i="41"/>
  <c r="F3" i="41" s="1"/>
  <c r="G3" i="41" s="1"/>
  <c r="H6" i="15"/>
  <c r="L6" i="15" s="1"/>
  <c r="N6" i="15" s="1"/>
  <c r="R6" i="15" s="1"/>
  <c r="L8" i="41"/>
  <c r="L8" i="29"/>
  <c r="H17" i="34"/>
  <c r="D18" i="41"/>
  <c r="D18" i="15"/>
  <c r="D18" i="34"/>
  <c r="D18" i="35"/>
  <c r="D18" i="14"/>
  <c r="B18" i="20"/>
  <c r="H17" i="29" l="1"/>
  <c r="H12" i="29" s="1"/>
  <c r="H18" i="29" s="1"/>
  <c r="G5" i="29"/>
  <c r="L3" i="29"/>
  <c r="N3" i="29" s="1"/>
  <c r="R4" i="29"/>
  <c r="L2" i="19"/>
  <c r="P2" i="19" s="1"/>
  <c r="N2" i="19" s="1"/>
  <c r="R2" i="19" s="1"/>
  <c r="L2" i="29"/>
  <c r="P2" i="29" s="1"/>
  <c r="N2" i="29" s="1"/>
  <c r="R2" i="29" s="1"/>
  <c r="L2" i="14"/>
  <c r="P2" i="14" s="1"/>
  <c r="N2" i="14" s="1"/>
  <c r="R2" i="14" s="1"/>
  <c r="L2" i="34"/>
  <c r="P2" i="34" s="1"/>
  <c r="N2" i="34" s="1"/>
  <c r="R2" i="34" s="1"/>
  <c r="L2" i="41"/>
  <c r="P2" i="41" s="1"/>
  <c r="N2" i="41" s="1"/>
  <c r="R2" i="41" s="1"/>
  <c r="L2" i="20"/>
  <c r="P2" i="20" s="1"/>
  <c r="N2" i="20" s="1"/>
  <c r="R2" i="20" s="1"/>
  <c r="L2" i="15"/>
  <c r="P2" i="15" s="1"/>
  <c r="N2" i="15" s="1"/>
  <c r="R2" i="15" s="1"/>
  <c r="G3" i="34"/>
  <c r="L3" i="34" s="1"/>
  <c r="N3" i="34" s="1"/>
  <c r="R3" i="34" s="1"/>
  <c r="L2" i="35"/>
  <c r="P2" i="35" s="1"/>
  <c r="N2" i="35" s="1"/>
  <c r="R2" i="35" s="1"/>
  <c r="G3" i="35"/>
  <c r="L3" i="35" s="1"/>
  <c r="N3" i="35" s="1"/>
  <c r="R3" i="35" s="1"/>
  <c r="G3" i="20"/>
  <c r="L3" i="20" s="1"/>
  <c r="N3" i="20" s="1"/>
  <c r="R3" i="20" s="1"/>
  <c r="H17" i="20"/>
  <c r="H12" i="20" s="1"/>
  <c r="H18" i="20" s="1"/>
  <c r="H17" i="14"/>
  <c r="H12" i="14" s="1"/>
  <c r="H18" i="14" s="1"/>
  <c r="I18" i="35"/>
  <c r="I8" i="35" s="1"/>
  <c r="I17" i="35" s="1"/>
  <c r="I13" i="35" s="1"/>
  <c r="I18" i="34"/>
  <c r="J18" i="34" s="1"/>
  <c r="J8" i="34" s="1"/>
  <c r="J17" i="34" s="1"/>
  <c r="J13" i="34" s="1"/>
  <c r="I18" i="15"/>
  <c r="J18" i="15" s="1"/>
  <c r="J8" i="15" s="1"/>
  <c r="J17" i="15" s="1"/>
  <c r="J13" i="15" s="1"/>
  <c r="I18" i="14"/>
  <c r="J18" i="14" s="1"/>
  <c r="J8" i="14" s="1"/>
  <c r="J17" i="14" s="1"/>
  <c r="J13" i="14" s="1"/>
  <c r="I18" i="20"/>
  <c r="J18" i="20" s="1"/>
  <c r="J8" i="20" s="1"/>
  <c r="J17" i="20" s="1"/>
  <c r="J13" i="20" s="1"/>
  <c r="L3" i="14"/>
  <c r="N3" i="14" s="1"/>
  <c r="R3" i="14" s="1"/>
  <c r="G5" i="19"/>
  <c r="L5" i="19" s="1"/>
  <c r="Q16" i="29"/>
  <c r="G5" i="18"/>
  <c r="N8" i="41"/>
  <c r="R8" i="41" s="1"/>
  <c r="Q11" i="20"/>
  <c r="M11" i="20" s="1"/>
  <c r="G5" i="39"/>
  <c r="R10" i="20"/>
  <c r="K17" i="34"/>
  <c r="Q11" i="34"/>
  <c r="M11" i="34" s="1"/>
  <c r="Q11" i="19"/>
  <c r="M11" i="19" s="1"/>
  <c r="K17" i="41"/>
  <c r="K17" i="19"/>
  <c r="Q11" i="35"/>
  <c r="M11" i="35" s="1"/>
  <c r="R16" i="15"/>
  <c r="G5" i="15"/>
  <c r="N8" i="19"/>
  <c r="R8" i="19" s="1"/>
  <c r="Q11" i="29"/>
  <c r="M11" i="29" s="1"/>
  <c r="Q16" i="41"/>
  <c r="H12" i="34"/>
  <c r="H18" i="34" s="1"/>
  <c r="K17" i="20"/>
  <c r="Q11" i="14"/>
  <c r="M11" i="14" s="1"/>
  <c r="K17" i="35"/>
  <c r="H12" i="19"/>
  <c r="H18" i="19" s="1"/>
  <c r="K17" i="15"/>
  <c r="L3" i="15"/>
  <c r="N3" i="15" s="1"/>
  <c r="R3" i="15" s="1"/>
  <c r="K17" i="14"/>
  <c r="N8" i="29"/>
  <c r="R8" i="29" s="1"/>
  <c r="Q11" i="15"/>
  <c r="M11" i="15" s="1"/>
  <c r="K17" i="29"/>
  <c r="Q11" i="41"/>
  <c r="M11" i="41" s="1"/>
  <c r="H17" i="41"/>
  <c r="H12" i="41" s="1"/>
  <c r="H18" i="41" s="1"/>
  <c r="R16" i="20"/>
  <c r="H17" i="35"/>
  <c r="H12" i="35" s="1"/>
  <c r="H18" i="35" s="1"/>
  <c r="R16" i="35"/>
  <c r="Q16" i="35"/>
  <c r="H17" i="15"/>
  <c r="H12" i="15" s="1"/>
  <c r="H18" i="15" s="1"/>
  <c r="F17" i="41"/>
  <c r="F12" i="41" s="1"/>
  <c r="F18" i="41" s="1"/>
  <c r="L6" i="19"/>
  <c r="N6" i="19" s="1"/>
  <c r="R6" i="19" s="1"/>
  <c r="R5" i="19" l="1"/>
  <c r="I8" i="34"/>
  <c r="I17" i="34" s="1"/>
  <c r="I13" i="34" s="1"/>
  <c r="I8" i="20"/>
  <c r="L8" i="20" s="1"/>
  <c r="N8" i="20" s="1"/>
  <c r="R8" i="20" s="1"/>
  <c r="G5" i="14"/>
  <c r="L5" i="14" s="1"/>
  <c r="J18" i="35"/>
  <c r="J8" i="35" s="1"/>
  <c r="J17" i="35" s="1"/>
  <c r="J13" i="35" s="1"/>
  <c r="I8" i="15"/>
  <c r="I17" i="15" s="1"/>
  <c r="I13" i="15" s="1"/>
  <c r="I8" i="14"/>
  <c r="I17" i="14" s="1"/>
  <c r="I13" i="14" s="1"/>
  <c r="R11" i="34"/>
  <c r="R11" i="15"/>
  <c r="R11" i="14"/>
  <c r="R11" i="35"/>
  <c r="R11" i="20"/>
  <c r="R11" i="41"/>
  <c r="R11" i="29"/>
  <c r="R11" i="19"/>
  <c r="L3" i="19"/>
  <c r="K13" i="20"/>
  <c r="K18" i="20" s="1"/>
  <c r="G17" i="19"/>
  <c r="G12" i="19" s="1"/>
  <c r="G18" i="19" s="1"/>
  <c r="Q5" i="19"/>
  <c r="E17" i="19" s="1"/>
  <c r="E12" i="19" s="1"/>
  <c r="E18" i="19" s="1"/>
  <c r="K13" i="19"/>
  <c r="K18" i="19" s="1"/>
  <c r="K13" i="34"/>
  <c r="K18" i="34" s="1"/>
  <c r="K13" i="35"/>
  <c r="K18" i="35" s="1"/>
  <c r="K13" i="14"/>
  <c r="K18" i="14" s="1"/>
  <c r="G5" i="20"/>
  <c r="L5" i="20" s="1"/>
  <c r="K13" i="15"/>
  <c r="K18" i="15" s="1"/>
  <c r="K13" i="29"/>
  <c r="K18" i="29" s="1"/>
  <c r="K13" i="41"/>
  <c r="K18" i="41" s="1"/>
  <c r="L3" i="41"/>
  <c r="N3" i="41" s="1"/>
  <c r="R3" i="41" s="1"/>
  <c r="G5" i="41"/>
  <c r="L5" i="41" s="1"/>
  <c r="L5" i="15"/>
  <c r="R5" i="20" l="1"/>
  <c r="Q5" i="14"/>
  <c r="E17" i="14" s="1"/>
  <c r="E12" i="14" s="1"/>
  <c r="E18" i="14" s="1"/>
  <c r="N3" i="19"/>
  <c r="R3" i="19" s="1"/>
  <c r="L8" i="34"/>
  <c r="N8" i="34" s="1"/>
  <c r="R8" i="34" s="1"/>
  <c r="R5" i="14"/>
  <c r="I17" i="20"/>
  <c r="I13" i="20" s="1"/>
  <c r="E14" i="20" s="1"/>
  <c r="L8" i="14"/>
  <c r="N8" i="14" s="1"/>
  <c r="R8" i="14" s="1"/>
  <c r="G17" i="14"/>
  <c r="G12" i="14" s="1"/>
  <c r="G18" i="14" s="1"/>
  <c r="L8" i="15"/>
  <c r="N8" i="15" s="1"/>
  <c r="R8" i="15" s="1"/>
  <c r="L8" i="35"/>
  <c r="N8" i="35" s="1"/>
  <c r="R8" i="35" s="1"/>
  <c r="L12" i="19"/>
  <c r="R12" i="19" s="1"/>
  <c r="L17" i="19"/>
  <c r="R17" i="19" s="1"/>
  <c r="E14" i="19"/>
  <c r="E14" i="34"/>
  <c r="L13" i="19"/>
  <c r="L13" i="34"/>
  <c r="G17" i="41"/>
  <c r="G12" i="41" s="1"/>
  <c r="G18" i="41" s="1"/>
  <c r="L13" i="14"/>
  <c r="E14" i="14"/>
  <c r="L13" i="35"/>
  <c r="E14" i="35"/>
  <c r="G17" i="20"/>
  <c r="G12" i="20" s="1"/>
  <c r="G18" i="20" s="1"/>
  <c r="Q5" i="20"/>
  <c r="E17" i="20" s="1"/>
  <c r="E12" i="20" s="1"/>
  <c r="E18" i="20" s="1"/>
  <c r="E14" i="15"/>
  <c r="L13" i="15"/>
  <c r="L13" i="41"/>
  <c r="E14" i="29"/>
  <c r="L13" i="29"/>
  <c r="E14" i="41"/>
  <c r="R5" i="41"/>
  <c r="Q5" i="41"/>
  <c r="E17" i="41" s="1"/>
  <c r="G17" i="15"/>
  <c r="G12" i="15" s="1"/>
  <c r="G18" i="15" s="1"/>
  <c r="L4" i="15"/>
  <c r="Q5" i="15"/>
  <c r="E17" i="15" s="1"/>
  <c r="R5" i="15"/>
  <c r="L5" i="29" l="1"/>
  <c r="N5" i="29" s="1"/>
  <c r="L13" i="20"/>
  <c r="G5" i="34"/>
  <c r="G4" i="34" s="1"/>
  <c r="L4" i="34" s="1"/>
  <c r="N4" i="34" s="1"/>
  <c r="R4" i="34" s="1"/>
  <c r="G5" i="35"/>
  <c r="G4" i="35" s="1"/>
  <c r="L4" i="35" s="1"/>
  <c r="N4" i="35" s="1"/>
  <c r="R4" i="35" s="1"/>
  <c r="L14" i="20"/>
  <c r="R14" i="20" s="1"/>
  <c r="L14" i="41"/>
  <c r="Q14" i="41" s="1"/>
  <c r="L14" i="14"/>
  <c r="Q14" i="14" s="1"/>
  <c r="L14" i="15"/>
  <c r="R14" i="15" s="1"/>
  <c r="L12" i="14"/>
  <c r="R12" i="14" s="1"/>
  <c r="L17" i="14"/>
  <c r="R17" i="14" s="1"/>
  <c r="L14" i="19"/>
  <c r="Q14" i="19" s="1"/>
  <c r="E15" i="19"/>
  <c r="Q17" i="19"/>
  <c r="Q12" i="19"/>
  <c r="L14" i="34"/>
  <c r="R14" i="34" s="1"/>
  <c r="E15" i="14"/>
  <c r="L14" i="35"/>
  <c r="Q14" i="35" s="1"/>
  <c r="E15" i="20"/>
  <c r="L17" i="20"/>
  <c r="R17" i="20" s="1"/>
  <c r="L12" i="20"/>
  <c r="Q12" i="20" s="1"/>
  <c r="E15" i="41"/>
  <c r="L14" i="29"/>
  <c r="Q14" i="29" s="1"/>
  <c r="E12" i="41"/>
  <c r="L17" i="41"/>
  <c r="N4" i="15"/>
  <c r="R4" i="15" s="1"/>
  <c r="E12" i="15"/>
  <c r="E15" i="15"/>
  <c r="L17" i="15"/>
  <c r="Q14" i="20" l="1"/>
  <c r="R14" i="14"/>
  <c r="G17" i="34"/>
  <c r="G12" i="34" s="1"/>
  <c r="G18" i="34" s="1"/>
  <c r="L5" i="35"/>
  <c r="L5" i="34"/>
  <c r="M13" i="14"/>
  <c r="L15" i="41"/>
  <c r="Q15" i="41" s="1"/>
  <c r="R14" i="41"/>
  <c r="Q14" i="15"/>
  <c r="Q17" i="14"/>
  <c r="L15" i="20"/>
  <c r="Q15" i="20" s="1"/>
  <c r="Q12" i="14"/>
  <c r="G17" i="35"/>
  <c r="G12" i="35" s="1"/>
  <c r="G18" i="35" s="1"/>
  <c r="R14" i="19"/>
  <c r="L15" i="19"/>
  <c r="R15" i="19" s="1"/>
  <c r="M13" i="19"/>
  <c r="Q14" i="34"/>
  <c r="L15" i="14"/>
  <c r="Q15" i="14" s="1"/>
  <c r="M13" i="20"/>
  <c r="R14" i="35"/>
  <c r="R14" i="29"/>
  <c r="R12" i="20"/>
  <c r="M13" i="41"/>
  <c r="Q17" i="20"/>
  <c r="R17" i="41"/>
  <c r="Q17" i="41"/>
  <c r="E18" i="41"/>
  <c r="L12" i="41"/>
  <c r="M13" i="15"/>
  <c r="L15" i="15"/>
  <c r="E18" i="15"/>
  <c r="L12" i="15"/>
  <c r="R17" i="15"/>
  <c r="Q17" i="15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G4" i="40"/>
  <c r="L4" i="40" s="1"/>
  <c r="D2" i="40"/>
  <c r="K10" i="40"/>
  <c r="L10" i="40" s="1"/>
  <c r="N10" i="40" s="1"/>
  <c r="C2" i="40"/>
  <c r="C17" i="40" s="1"/>
  <c r="L4" i="39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R5" i="34" l="1"/>
  <c r="Q5" i="35"/>
  <c r="E17" i="35" s="1"/>
  <c r="E12" i="35" s="1"/>
  <c r="E18" i="35" s="1"/>
  <c r="Q13" i="14"/>
  <c r="Q13" i="20"/>
  <c r="Q13" i="41"/>
  <c r="R13" i="19"/>
  <c r="R5" i="35"/>
  <c r="Q15" i="19"/>
  <c r="Q5" i="34"/>
  <c r="E17" i="34" s="1"/>
  <c r="E15" i="34" s="1"/>
  <c r="R13" i="14"/>
  <c r="R15" i="20"/>
  <c r="R15" i="41"/>
  <c r="Q13" i="19"/>
  <c r="R15" i="14"/>
  <c r="R13" i="20"/>
  <c r="R13" i="41"/>
  <c r="Q12" i="41"/>
  <c r="R12" i="41"/>
  <c r="N4" i="39"/>
  <c r="R4" i="39" s="1"/>
  <c r="R12" i="15"/>
  <c r="Q12" i="15"/>
  <c r="Q15" i="15"/>
  <c r="R15" i="15"/>
  <c r="Q13" i="15"/>
  <c r="R13" i="15"/>
  <c r="D17" i="39"/>
  <c r="D12" i="39" s="1"/>
  <c r="D17" i="38"/>
  <c r="D12" i="38" s="1"/>
  <c r="D17" i="40"/>
  <c r="D17" i="36"/>
  <c r="D12" i="36" s="1"/>
  <c r="D17" i="42"/>
  <c r="D17" i="43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L15" i="34" l="1"/>
  <c r="Q15" i="34" s="1"/>
  <c r="L17" i="35"/>
  <c r="R17" i="35" s="1"/>
  <c r="E15" i="35"/>
  <c r="L12" i="35"/>
  <c r="R12" i="35" s="1"/>
  <c r="L17" i="34"/>
  <c r="R17" i="34" s="1"/>
  <c r="E12" i="34"/>
  <c r="E18" i="34" s="1"/>
  <c r="M13" i="34"/>
  <c r="D18" i="36"/>
  <c r="D18" i="38"/>
  <c r="D18" i="39"/>
  <c r="D12" i="43"/>
  <c r="D12" i="42"/>
  <c r="D12" i="40"/>
  <c r="R15" i="34" l="1"/>
  <c r="M13" i="35"/>
  <c r="R13" i="35" s="1"/>
  <c r="Q17" i="35"/>
  <c r="L15" i="35"/>
  <c r="R15" i="35" s="1"/>
  <c r="Q12" i="35"/>
  <c r="Q13" i="34"/>
  <c r="Q17" i="34"/>
  <c r="L12" i="34"/>
  <c r="R12" i="34" s="1"/>
  <c r="R13" i="34"/>
  <c r="D18" i="42"/>
  <c r="D18" i="43"/>
  <c r="D18" i="40"/>
  <c r="Q13" i="35" l="1"/>
  <c r="Q15" i="35"/>
  <c r="Q12" i="34"/>
  <c r="D2" i="33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G4" i="24"/>
  <c r="L4" i="24" s="1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D2" i="18"/>
  <c r="L4" i="18"/>
  <c r="C2" i="18"/>
  <c r="C17" i="18" s="1"/>
  <c r="C2" i="17"/>
  <c r="C17" i="17" s="1"/>
  <c r="G4" i="17"/>
  <c r="L4" i="17" s="1"/>
  <c r="D2" i="17"/>
  <c r="D17" i="22" l="1"/>
  <c r="D12" i="22" s="1"/>
  <c r="D17" i="28"/>
  <c r="D12" i="28" s="1"/>
  <c r="D17" i="30"/>
  <c r="D17" i="27"/>
  <c r="D17" i="31"/>
  <c r="D17" i="18"/>
  <c r="D12" i="18" s="1"/>
  <c r="D17" i="17"/>
  <c r="D12" i="17" s="1"/>
  <c r="D17" i="23"/>
  <c r="D12" i="23" s="1"/>
  <c r="D17" i="21"/>
  <c r="D12" i="21" s="1"/>
  <c r="D17" i="24"/>
  <c r="D17" i="26"/>
  <c r="D12" i="26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N4" i="18"/>
  <c r="R4" i="18" s="1"/>
  <c r="C12" i="18"/>
  <c r="C18" i="18" s="1"/>
  <c r="L2" i="18"/>
  <c r="P2" i="18" s="1"/>
  <c r="C12" i="17"/>
  <c r="C18" i="17" s="1"/>
  <c r="L2" i="17"/>
  <c r="P2" i="17" s="1"/>
  <c r="D18" i="21" l="1"/>
  <c r="D18" i="23"/>
  <c r="D18" i="17"/>
  <c r="D18" i="18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G4" i="16"/>
  <c r="L4" i="16" s="1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N4" i="16"/>
  <c r="R4" i="16" s="1"/>
  <c r="D12" i="11"/>
  <c r="N4" i="11"/>
  <c r="R4" i="11" s="1"/>
  <c r="L2" i="11"/>
  <c r="P2" i="11" s="1"/>
  <c r="D18" i="11" l="1"/>
  <c r="D18" i="16"/>
  <c r="C12" i="16"/>
  <c r="C18" i="16" s="1"/>
  <c r="K9" i="37" l="1"/>
  <c r="F3" i="16"/>
  <c r="F3" i="17"/>
  <c r="F3" i="22"/>
  <c r="F3" i="11"/>
  <c r="B16" i="37"/>
  <c r="B17" i="37" s="1"/>
  <c r="B12" i="37" s="1"/>
  <c r="B18" i="37" s="1"/>
  <c r="B16" i="39"/>
  <c r="L16" i="39" s="1"/>
  <c r="F17" i="39"/>
  <c r="F12" i="39" s="1"/>
  <c r="F18" i="39" s="1"/>
  <c r="H6" i="39"/>
  <c r="L6" i="39" s="1"/>
  <c r="N6" i="39" s="1"/>
  <c r="R6" i="39" s="1"/>
  <c r="F3" i="33"/>
  <c r="G3" i="33" s="1"/>
  <c r="H6" i="33"/>
  <c r="L6" i="33" s="1"/>
  <c r="N6" i="33" s="1"/>
  <c r="R6" i="33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F3" i="24"/>
  <c r="G3" i="24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K9" i="30"/>
  <c r="Q11" i="30" s="1"/>
  <c r="B16" i="38"/>
  <c r="H7" i="30"/>
  <c r="H7" i="28"/>
  <c r="K9" i="39"/>
  <c r="Q11" i="39" s="1"/>
  <c r="K9" i="40"/>
  <c r="Q11" i="40" s="1"/>
  <c r="K9" i="26"/>
  <c r="Q11" i="26" s="1"/>
  <c r="K9" i="23"/>
  <c r="Q11" i="23" s="1"/>
  <c r="H7" i="36"/>
  <c r="B16" i="28"/>
  <c r="H7" i="42"/>
  <c r="H7" i="26"/>
  <c r="K9" i="33"/>
  <c r="Q11" i="33" s="1"/>
  <c r="H7" i="23"/>
  <c r="H7" i="38"/>
  <c r="K9" i="42"/>
  <c r="Q11" i="42" s="1"/>
  <c r="K9" i="38"/>
  <c r="Q11" i="38" s="1"/>
  <c r="K9" i="28"/>
  <c r="Q11" i="28" s="1"/>
  <c r="B16" i="30"/>
  <c r="B16" i="26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8"/>
  <c r="B16" i="16"/>
  <c r="B16" i="17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K10" i="18"/>
  <c r="L10" i="18" s="1"/>
  <c r="N10" i="18" s="1"/>
  <c r="R10" i="18" s="1"/>
  <c r="K10" i="16"/>
  <c r="L10" i="16" s="1"/>
  <c r="N10" i="16" s="1"/>
  <c r="R10" i="16" s="1"/>
  <c r="K9" i="11"/>
  <c r="H7" i="22"/>
  <c r="L7" i="22" s="1"/>
  <c r="N7" i="22" s="1"/>
  <c r="R7" i="22" s="1"/>
  <c r="H7" i="18"/>
  <c r="L7" i="18" s="1"/>
  <c r="N7" i="18" s="1"/>
  <c r="R7" i="18" s="1"/>
  <c r="H7" i="21"/>
  <c r="L7" i="21" s="1"/>
  <c r="N7" i="21" s="1"/>
  <c r="R7" i="21" s="1"/>
  <c r="H6" i="17"/>
  <c r="H6" i="16"/>
  <c r="K9" i="18"/>
  <c r="K9" i="21"/>
  <c r="H6" i="18"/>
  <c r="H6" i="11"/>
  <c r="H6" i="21"/>
  <c r="K9" i="22"/>
  <c r="H6" i="22"/>
  <c r="K9" i="17"/>
  <c r="H7" i="11"/>
  <c r="L7" i="11" s="1"/>
  <c r="N7" i="11" s="1"/>
  <c r="R7" i="11" s="1"/>
  <c r="H7" i="16"/>
  <c r="H7" i="17"/>
  <c r="F17" i="11" l="1"/>
  <c r="F12" i="11" s="1"/>
  <c r="F18" i="11" s="1"/>
  <c r="G3" i="11"/>
  <c r="F17" i="22"/>
  <c r="F12" i="22" s="1"/>
  <c r="F18" i="22" s="1"/>
  <c r="G3" i="22"/>
  <c r="F17" i="17"/>
  <c r="F12" i="17" s="1"/>
  <c r="F18" i="17" s="1"/>
  <c r="G3" i="17"/>
  <c r="F17" i="16"/>
  <c r="F12" i="16" s="1"/>
  <c r="F18" i="16" s="1"/>
  <c r="G3" i="16"/>
  <c r="F17" i="18"/>
  <c r="F12" i="18" s="1"/>
  <c r="F18" i="18" s="1"/>
  <c r="Q11" i="11"/>
  <c r="Q11" i="17"/>
  <c r="Q11" i="18"/>
  <c r="Q11" i="22"/>
  <c r="Q11" i="16"/>
  <c r="Q11" i="21"/>
  <c r="Q11" i="37"/>
  <c r="N2" i="33"/>
  <c r="R2" i="33" s="1"/>
  <c r="N2" i="28"/>
  <c r="R2" i="28" s="1"/>
  <c r="N2" i="40"/>
  <c r="R2" i="40" s="1"/>
  <c r="N2" i="39"/>
  <c r="R2" i="39" s="1"/>
  <c r="N2" i="31"/>
  <c r="R2" i="31" s="1"/>
  <c r="N2" i="26"/>
  <c r="R2" i="26" s="1"/>
  <c r="N2" i="38"/>
  <c r="R2" i="38" s="1"/>
  <c r="N2" i="27"/>
  <c r="R2" i="27" s="1"/>
  <c r="N2" i="42"/>
  <c r="N2" i="32"/>
  <c r="R2" i="32" s="1"/>
  <c r="N2" i="24"/>
  <c r="R2" i="24" s="1"/>
  <c r="N2" i="43"/>
  <c r="N2" i="30"/>
  <c r="R2" i="30" s="1"/>
  <c r="L16" i="37"/>
  <c r="R16" i="37" s="1"/>
  <c r="B17" i="39"/>
  <c r="B12" i="39" s="1"/>
  <c r="B18" i="39" s="1"/>
  <c r="B16" i="36"/>
  <c r="L16" i="36" s="1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K17" i="24"/>
  <c r="L9" i="24"/>
  <c r="N9" i="24" s="1"/>
  <c r="R9" i="24" s="1"/>
  <c r="L7" i="39"/>
  <c r="N7" i="39" s="1"/>
  <c r="R7" i="39" s="1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8"/>
  <c r="B12" i="18" s="1"/>
  <c r="B18" i="18" s="1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7"/>
  <c r="B12" i="17" s="1"/>
  <c r="B18" i="17" s="1"/>
  <c r="L16" i="17"/>
  <c r="K17" i="18"/>
  <c r="K17" i="21"/>
  <c r="K17" i="17"/>
  <c r="L9" i="16"/>
  <c r="N9" i="16" s="1"/>
  <c r="R9" i="16" s="1"/>
  <c r="K17" i="16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N2" i="16"/>
  <c r="N2" i="11"/>
  <c r="R2" i="11" s="1"/>
  <c r="N2" i="17"/>
  <c r="R2" i="17" s="1"/>
  <c r="N2" i="21"/>
  <c r="R2" i="21" s="1"/>
  <c r="N2" i="18"/>
  <c r="R2" i="18" s="1"/>
  <c r="L9" i="22"/>
  <c r="N9" i="22" s="1"/>
  <c r="R9" i="22" s="1"/>
  <c r="F3" i="21"/>
  <c r="L9" i="21"/>
  <c r="N9" i="21" s="1"/>
  <c r="R9" i="21" s="1"/>
  <c r="L9" i="18"/>
  <c r="N9" i="18" s="1"/>
  <c r="R9" i="18" s="1"/>
  <c r="L6" i="21"/>
  <c r="N6" i="21" s="1"/>
  <c r="R6" i="21" s="1"/>
  <c r="L6" i="22"/>
  <c r="N6" i="22" s="1"/>
  <c r="R6" i="22" s="1"/>
  <c r="L6" i="18"/>
  <c r="N6" i="18" s="1"/>
  <c r="R6" i="18" s="1"/>
  <c r="L9" i="17"/>
  <c r="N9" i="17" s="1"/>
  <c r="R9" i="17" s="1"/>
  <c r="L7" i="17"/>
  <c r="L7" i="16"/>
  <c r="N7" i="16" s="1"/>
  <c r="R7" i="16" s="1"/>
  <c r="F17" i="21" l="1"/>
  <c r="F12" i="21" s="1"/>
  <c r="F18" i="21" s="1"/>
  <c r="G3" i="21"/>
  <c r="D18" i="37"/>
  <c r="G5" i="23"/>
  <c r="L5" i="23" s="1"/>
  <c r="I18" i="11"/>
  <c r="J18" i="11" s="1"/>
  <c r="J8" i="11" s="1"/>
  <c r="J17" i="11" s="1"/>
  <c r="J13" i="11" s="1"/>
  <c r="J8" i="18"/>
  <c r="I18" i="31"/>
  <c r="J18" i="31" s="1"/>
  <c r="J8" i="31" s="1"/>
  <c r="J17" i="31" s="1"/>
  <c r="J13" i="31" s="1"/>
  <c r="R2" i="42"/>
  <c r="I18" i="17"/>
  <c r="I8" i="17" s="1"/>
  <c r="I17" i="17" s="1"/>
  <c r="I18" i="21"/>
  <c r="J18" i="21" s="1"/>
  <c r="J8" i="21" s="1"/>
  <c r="J17" i="21" s="1"/>
  <c r="J13" i="21" s="1"/>
  <c r="I18" i="33"/>
  <c r="I8" i="33" s="1"/>
  <c r="I18" i="16"/>
  <c r="I8" i="16" s="1"/>
  <c r="I17" i="16" s="1"/>
  <c r="I13" i="16" s="1"/>
  <c r="I18" i="22"/>
  <c r="J18" i="22" s="1"/>
  <c r="J8" i="22" s="1"/>
  <c r="I18" i="26"/>
  <c r="I8" i="26" s="1"/>
  <c r="R2" i="43"/>
  <c r="N4" i="37"/>
  <c r="R4" i="37" s="1"/>
  <c r="M11" i="36"/>
  <c r="M11" i="24"/>
  <c r="M11" i="38"/>
  <c r="M11" i="11"/>
  <c r="M11" i="26"/>
  <c r="M11" i="30"/>
  <c r="M11" i="27"/>
  <c r="M11" i="37"/>
  <c r="M11" i="33"/>
  <c r="M11" i="23"/>
  <c r="M11" i="31"/>
  <c r="M11" i="42"/>
  <c r="M11" i="39"/>
  <c r="M11" i="40"/>
  <c r="M11" i="32"/>
  <c r="M11" i="28"/>
  <c r="G5" i="11"/>
  <c r="G17" i="11" s="1"/>
  <c r="H17" i="17"/>
  <c r="H12" i="17" s="1"/>
  <c r="H18" i="17" s="1"/>
  <c r="I18" i="39"/>
  <c r="I18" i="30"/>
  <c r="I18" i="38"/>
  <c r="I18" i="27"/>
  <c r="I18" i="36"/>
  <c r="I18" i="28"/>
  <c r="I18" i="32"/>
  <c r="I18" i="24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G5" i="22"/>
  <c r="L5" i="22" s="1"/>
  <c r="H17" i="36"/>
  <c r="H12" i="36" s="1"/>
  <c r="H18" i="36" s="1"/>
  <c r="H17" i="24"/>
  <c r="H12" i="24" s="1"/>
  <c r="H18" i="24" s="1"/>
  <c r="H17" i="28"/>
  <c r="H12" i="28" s="1"/>
  <c r="H18" i="28" s="1"/>
  <c r="G5" i="16"/>
  <c r="G17" i="16" s="1"/>
  <c r="H17" i="18"/>
  <c r="H12" i="18" s="1"/>
  <c r="H18" i="18" s="1"/>
  <c r="H17" i="32"/>
  <c r="H12" i="32" s="1"/>
  <c r="H18" i="32" s="1"/>
  <c r="H17" i="27"/>
  <c r="H12" i="27" s="1"/>
  <c r="H18" i="27" s="1"/>
  <c r="G5" i="24"/>
  <c r="L5" i="24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H17" i="33"/>
  <c r="H12" i="33" s="1"/>
  <c r="H18" i="33" s="1"/>
  <c r="G5" i="30"/>
  <c r="L5" i="30" s="1"/>
  <c r="H17" i="38"/>
  <c r="H12" i="38" s="1"/>
  <c r="H18" i="38" s="1"/>
  <c r="K13" i="30"/>
  <c r="K18" i="30" s="1"/>
  <c r="G5" i="31"/>
  <c r="L5" i="3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L3" i="42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27"/>
  <c r="Q16" i="27"/>
  <c r="Q16" i="43"/>
  <c r="R16" i="43"/>
  <c r="K13" i="27"/>
  <c r="K18" i="27" s="1"/>
  <c r="N7" i="23"/>
  <c r="R7" i="23" s="1"/>
  <c r="K9" i="43"/>
  <c r="Q11" i="43" s="1"/>
  <c r="I18" i="43"/>
  <c r="J18" i="43" s="1"/>
  <c r="J8" i="43" s="1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K13" i="37"/>
  <c r="K18" i="37" s="1"/>
  <c r="B16" i="23"/>
  <c r="R16" i="21"/>
  <c r="Q16" i="21"/>
  <c r="R16" i="17"/>
  <c r="Q16" i="17"/>
  <c r="R16" i="18"/>
  <c r="Q16" i="18"/>
  <c r="R16" i="11"/>
  <c r="Q16" i="11"/>
  <c r="R16" i="16"/>
  <c r="Q16" i="16"/>
  <c r="R16" i="22"/>
  <c r="Q16" i="22"/>
  <c r="R2" i="16"/>
  <c r="K13" i="11"/>
  <c r="K18" i="11" s="1"/>
  <c r="K13" i="16"/>
  <c r="K18" i="16" s="1"/>
  <c r="M11" i="17"/>
  <c r="M11" i="18"/>
  <c r="M11" i="16"/>
  <c r="M11" i="22"/>
  <c r="M11" i="21"/>
  <c r="N2" i="22"/>
  <c r="R2" i="22" s="1"/>
  <c r="K13" i="21"/>
  <c r="K18" i="21" s="1"/>
  <c r="K13" i="18"/>
  <c r="K18" i="18" s="1"/>
  <c r="K13" i="22"/>
  <c r="K18" i="22" s="1"/>
  <c r="K13" i="17"/>
  <c r="K18" i="17" s="1"/>
  <c r="N7" i="17"/>
  <c r="R7" i="17" s="1"/>
  <c r="R11" i="28" l="1"/>
  <c r="R11" i="30"/>
  <c r="R11" i="32"/>
  <c r="R11" i="26"/>
  <c r="R11" i="17"/>
  <c r="R11" i="40"/>
  <c r="R11" i="11"/>
  <c r="R11" i="39"/>
  <c r="R11" i="38"/>
  <c r="R11" i="21"/>
  <c r="R11" i="22"/>
  <c r="R11" i="42"/>
  <c r="R11" i="24"/>
  <c r="R11" i="36"/>
  <c r="R11" i="16"/>
  <c r="R11" i="31"/>
  <c r="R11" i="18"/>
  <c r="R11" i="23"/>
  <c r="R11" i="33"/>
  <c r="R11" i="37"/>
  <c r="R11" i="27"/>
  <c r="Q5" i="24"/>
  <c r="E17" i="24" s="1"/>
  <c r="E12" i="24" s="1"/>
  <c r="E18" i="24" s="1"/>
  <c r="Q5" i="30"/>
  <c r="E17" i="30" s="1"/>
  <c r="E12" i="30" s="1"/>
  <c r="E18" i="30" s="1"/>
  <c r="Q5" i="28"/>
  <c r="E17" i="28" s="1"/>
  <c r="E12" i="28" s="1"/>
  <c r="E18" i="28" s="1"/>
  <c r="Q5" i="22"/>
  <c r="Q5" i="31"/>
  <c r="Q5" i="40"/>
  <c r="R5" i="23"/>
  <c r="Q5" i="23"/>
  <c r="E17" i="23" s="1"/>
  <c r="E12" i="23" s="1"/>
  <c r="E18" i="23" s="1"/>
  <c r="J18" i="17"/>
  <c r="J8" i="17" s="1"/>
  <c r="L8" i="17" s="1"/>
  <c r="N8" i="17" s="1"/>
  <c r="R8" i="17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18" i="16"/>
  <c r="J8" i="16" s="1"/>
  <c r="J17" i="16" s="1"/>
  <c r="J13" i="16" s="1"/>
  <c r="I8" i="22"/>
  <c r="I17" i="22" s="1"/>
  <c r="I13" i="22" s="1"/>
  <c r="I8" i="18"/>
  <c r="I17" i="18" s="1"/>
  <c r="I13" i="18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R5" i="40"/>
  <c r="I18" i="37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18" i="27"/>
  <c r="J8" i="27" s="1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24"/>
  <c r="R5" i="30"/>
  <c r="L3" i="16"/>
  <c r="R5" i="28"/>
  <c r="H17" i="37"/>
  <c r="H12" i="37" s="1"/>
  <c r="H18" i="37" s="1"/>
  <c r="L3" i="24"/>
  <c r="L3" i="40"/>
  <c r="L3" i="30"/>
  <c r="G17" i="24"/>
  <c r="G12" i="24" s="1"/>
  <c r="G18" i="24" s="1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L5" i="33" s="1"/>
  <c r="G5" i="42"/>
  <c r="L5" i="42" s="1"/>
  <c r="G17" i="28"/>
  <c r="G12" i="28" s="1"/>
  <c r="G18" i="28" s="1"/>
  <c r="G5" i="32"/>
  <c r="L5" i="32" s="1"/>
  <c r="G5" i="27"/>
  <c r="L5" i="27" s="1"/>
  <c r="L3" i="27"/>
  <c r="L3" i="37"/>
  <c r="G5" i="38"/>
  <c r="L5" i="38" s="1"/>
  <c r="G5" i="36"/>
  <c r="L5" i="36" s="1"/>
  <c r="L5" i="39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J17" i="22"/>
  <c r="J13" i="22" s="1"/>
  <c r="J17" i="18"/>
  <c r="J13" i="18" s="1"/>
  <c r="L3" i="21"/>
  <c r="G17" i="22"/>
  <c r="G12" i="22" s="1"/>
  <c r="G18" i="22" s="1"/>
  <c r="G12" i="11"/>
  <c r="G18" i="11" s="1"/>
  <c r="N3" i="17"/>
  <c r="R3" i="17" s="1"/>
  <c r="R5" i="22"/>
  <c r="L5" i="16"/>
  <c r="G12" i="16"/>
  <c r="G18" i="16" s="1"/>
  <c r="G5" i="21"/>
  <c r="L5" i="21" s="1"/>
  <c r="I13" i="17"/>
  <c r="Q5" i="16" l="1"/>
  <c r="Q5" i="27"/>
  <c r="Q5" i="32"/>
  <c r="Q5" i="38"/>
  <c r="Q5" i="17"/>
  <c r="E17" i="17" s="1"/>
  <c r="E12" i="17" s="1"/>
  <c r="E18" i="17" s="1"/>
  <c r="Q5" i="43"/>
  <c r="Q5" i="42"/>
  <c r="Q5" i="39"/>
  <c r="Q5" i="33"/>
  <c r="Q5" i="26"/>
  <c r="Q5" i="21"/>
  <c r="Q5" i="36"/>
  <c r="N3" i="23"/>
  <c r="R3" i="23" s="1"/>
  <c r="J17" i="17"/>
  <c r="J13" i="17" s="1"/>
  <c r="E14" i="17" s="1"/>
  <c r="L8" i="11"/>
  <c r="N8" i="11" s="1"/>
  <c r="R8" i="11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13" i="26"/>
  <c r="L8" i="21"/>
  <c r="N8" i="21" s="1"/>
  <c r="R8" i="21" s="1"/>
  <c r="L8" i="26"/>
  <c r="N8" i="26" s="1"/>
  <c r="R8" i="26" s="1"/>
  <c r="L8" i="31"/>
  <c r="N8" i="31" s="1"/>
  <c r="R8" i="31" s="1"/>
  <c r="N3" i="27"/>
  <c r="R3" i="27" s="1"/>
  <c r="N3" i="28"/>
  <c r="R3" i="28" s="1"/>
  <c r="N3" i="31"/>
  <c r="R3" i="31" s="1"/>
  <c r="N3" i="24"/>
  <c r="R3" i="24" s="1"/>
  <c r="N3" i="16"/>
  <c r="R3" i="16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R5" i="33"/>
  <c r="R5" i="26"/>
  <c r="G17" i="36"/>
  <c r="G12" i="36" s="1"/>
  <c r="G18" i="36" s="1"/>
  <c r="R5" i="42"/>
  <c r="E14" i="33"/>
  <c r="R5" i="32"/>
  <c r="R5" i="38"/>
  <c r="L8" i="43"/>
  <c r="N8" i="43" s="1"/>
  <c r="R8" i="43" s="1"/>
  <c r="G17" i="39"/>
  <c r="G12" i="39" s="1"/>
  <c r="G18" i="39" s="1"/>
  <c r="G5" i="37"/>
  <c r="L5" i="37" s="1"/>
  <c r="R5" i="36"/>
  <c r="E14" i="26"/>
  <c r="R5" i="27"/>
  <c r="R5" i="43"/>
  <c r="R5" i="39"/>
  <c r="E14" i="31"/>
  <c r="L12" i="28"/>
  <c r="L12" i="24"/>
  <c r="K13" i="43"/>
  <c r="K18" i="43" s="1"/>
  <c r="L12" i="30"/>
  <c r="R16" i="23"/>
  <c r="Q16" i="23"/>
  <c r="B12" i="23"/>
  <c r="B18" i="23" s="1"/>
  <c r="E14" i="16"/>
  <c r="L13" i="16"/>
  <c r="L13" i="21"/>
  <c r="E14" i="21"/>
  <c r="G17" i="21"/>
  <c r="G12" i="21" s="1"/>
  <c r="G18" i="21" s="1"/>
  <c r="E14" i="11"/>
  <c r="E17" i="22"/>
  <c r="L17" i="22" s="1"/>
  <c r="R5" i="16"/>
  <c r="E14" i="22"/>
  <c r="L13" i="22"/>
  <c r="L13" i="18"/>
  <c r="E14" i="18"/>
  <c r="R5" i="21"/>
  <c r="R11" i="43" l="1"/>
  <c r="Q5" i="37"/>
  <c r="L12" i="40"/>
  <c r="Q12" i="40" s="1"/>
  <c r="E18" i="40"/>
  <c r="L13" i="17"/>
  <c r="L14" i="11"/>
  <c r="Q14" i="11" s="1"/>
  <c r="L14" i="33"/>
  <c r="R14" i="33" s="1"/>
  <c r="L14" i="21"/>
  <c r="R14" i="21" s="1"/>
  <c r="L14" i="26"/>
  <c r="R14" i="26" s="1"/>
  <c r="L14" i="16"/>
  <c r="Q14" i="16" s="1"/>
  <c r="L14" i="31"/>
  <c r="R14" i="31" s="1"/>
  <c r="L17" i="28"/>
  <c r="Q17" i="28" s="1"/>
  <c r="L12" i="31"/>
  <c r="Q12" i="31" s="1"/>
  <c r="L17" i="31"/>
  <c r="R17" i="31" s="1"/>
  <c r="L12" i="17"/>
  <c r="Q12" i="17" s="1"/>
  <c r="L17" i="23"/>
  <c r="R17" i="23" s="1"/>
  <c r="L17" i="17"/>
  <c r="R17" i="17" s="1"/>
  <c r="L17" i="24"/>
  <c r="R17" i="24" s="1"/>
  <c r="L17" i="40"/>
  <c r="R17" i="40" s="1"/>
  <c r="E17" i="39"/>
  <c r="L17" i="39" s="1"/>
  <c r="E17" i="36"/>
  <c r="E12" i="36" s="1"/>
  <c r="E18" i="36" s="1"/>
  <c r="L17" i="30"/>
  <c r="Q17" i="30" s="1"/>
  <c r="E14" i="42"/>
  <c r="L13" i="42"/>
  <c r="E14" i="23"/>
  <c r="L13" i="23"/>
  <c r="E14" i="39"/>
  <c r="L13" i="39"/>
  <c r="E17" i="32"/>
  <c r="E12" i="32" s="1"/>
  <c r="E18" i="32" s="1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33"/>
  <c r="E12" i="33" s="1"/>
  <c r="E18" i="33" s="1"/>
  <c r="E17" i="27"/>
  <c r="L13" i="27"/>
  <c r="E14" i="27"/>
  <c r="L13" i="32"/>
  <c r="E14" i="32"/>
  <c r="E17" i="38"/>
  <c r="E12" i="38" s="1"/>
  <c r="E18" i="38" s="1"/>
  <c r="E17" i="42"/>
  <c r="E12" i="42" s="1"/>
  <c r="E18" i="42" s="1"/>
  <c r="L13" i="38"/>
  <c r="E14" i="38"/>
  <c r="L13" i="24"/>
  <c r="E14" i="24"/>
  <c r="G17" i="37"/>
  <c r="G12" i="37" s="1"/>
  <c r="G18" i="37" s="1"/>
  <c r="E15" i="31"/>
  <c r="R5" i="37"/>
  <c r="E14" i="43"/>
  <c r="R12" i="30"/>
  <c r="Q12" i="30"/>
  <c r="R12" i="28"/>
  <c r="Q12" i="28"/>
  <c r="L13" i="43"/>
  <c r="R12" i="24"/>
  <c r="Q12" i="24"/>
  <c r="L12" i="23"/>
  <c r="R17" i="22"/>
  <c r="Q17" i="22"/>
  <c r="E12" i="22"/>
  <c r="E18" i="22" s="1"/>
  <c r="E17" i="21"/>
  <c r="L17" i="21" s="1"/>
  <c r="E17" i="16"/>
  <c r="L17" i="16" s="1"/>
  <c r="L14" i="18"/>
  <c r="L14" i="22"/>
  <c r="E15" i="22"/>
  <c r="L14" i="17"/>
  <c r="E15" i="17"/>
  <c r="L5" i="18" l="1"/>
  <c r="L3" i="18"/>
  <c r="G17" i="18"/>
  <c r="G12" i="18" s="1"/>
  <c r="G18" i="18" s="1"/>
  <c r="R12" i="40"/>
  <c r="R14" i="11"/>
  <c r="Q14" i="31"/>
  <c r="R14" i="16"/>
  <c r="Q14" i="21"/>
  <c r="Q14" i="33"/>
  <c r="M13" i="3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Q17" i="24"/>
  <c r="E15" i="26"/>
  <c r="L17" i="43"/>
  <c r="R17" i="43" s="1"/>
  <c r="L17" i="32"/>
  <c r="R17" i="32" s="1"/>
  <c r="E15" i="27"/>
  <c r="L12" i="43"/>
  <c r="R12" i="43" s="1"/>
  <c r="E15" i="39"/>
  <c r="E15" i="36"/>
  <c r="L17" i="36"/>
  <c r="Q17" i="36" s="1"/>
  <c r="L17" i="38"/>
  <c r="R17" i="38" s="1"/>
  <c r="L17" i="33"/>
  <c r="Q17" i="33" s="1"/>
  <c r="Q17" i="40"/>
  <c r="E15" i="42"/>
  <c r="E12" i="39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42"/>
  <c r="Q17" i="42" s="1"/>
  <c r="L17" i="26"/>
  <c r="Q17" i="26" s="1"/>
  <c r="L14" i="24"/>
  <c r="E15" i="24"/>
  <c r="E15" i="40"/>
  <c r="L14" i="23"/>
  <c r="E15" i="23"/>
  <c r="L15" i="31"/>
  <c r="R15" i="31" s="1"/>
  <c r="L14" i="43"/>
  <c r="Q14" i="43" s="1"/>
  <c r="L12" i="42"/>
  <c r="L12" i="32"/>
  <c r="L12" i="36"/>
  <c r="L12" i="38"/>
  <c r="R17" i="39"/>
  <c r="Q17" i="39"/>
  <c r="R12" i="23"/>
  <c r="Q12" i="23"/>
  <c r="R17" i="16"/>
  <c r="Q17" i="16"/>
  <c r="R17" i="21"/>
  <c r="Q17" i="21"/>
  <c r="R14" i="17"/>
  <c r="Q14" i="17"/>
  <c r="R14" i="22"/>
  <c r="Q14" i="22"/>
  <c r="R14" i="18"/>
  <c r="Q14" i="18"/>
  <c r="E15" i="16"/>
  <c r="E12" i="21"/>
  <c r="E18" i="21" s="1"/>
  <c r="L12" i="22"/>
  <c r="E15" i="21"/>
  <c r="E12" i="16"/>
  <c r="E18" i="16" s="1"/>
  <c r="M13" i="22"/>
  <c r="L15" i="22"/>
  <c r="M13" i="17"/>
  <c r="L15" i="17"/>
  <c r="Q13" i="31" l="1"/>
  <c r="N3" i="18"/>
  <c r="R3" i="18" s="1"/>
  <c r="Q5" i="18"/>
  <c r="E17" i="18" s="1"/>
  <c r="E15" i="18" s="1"/>
  <c r="R5" i="18"/>
  <c r="L12" i="27"/>
  <c r="Q12" i="27" s="1"/>
  <c r="E18" i="27"/>
  <c r="L12" i="39"/>
  <c r="R12" i="39" s="1"/>
  <c r="E18" i="39"/>
  <c r="R14" i="39"/>
  <c r="R14" i="40"/>
  <c r="R13" i="31"/>
  <c r="Q14" i="32"/>
  <c r="R14" i="27"/>
  <c r="R14" i="42"/>
  <c r="Q14" i="38"/>
  <c r="M13" i="27"/>
  <c r="L15" i="33"/>
  <c r="Q15" i="33" s="1"/>
  <c r="Q14" i="36"/>
  <c r="M13" i="32"/>
  <c r="L15" i="21"/>
  <c r="Q15" i="21" s="1"/>
  <c r="M13" i="26"/>
  <c r="L15" i="36"/>
  <c r="R15" i="36" s="1"/>
  <c r="M13" i="43"/>
  <c r="L15" i="16"/>
  <c r="R15" i="16" s="1"/>
  <c r="L14" i="37"/>
  <c r="Q14" i="37" s="1"/>
  <c r="L15" i="43"/>
  <c r="Q15" i="43" s="1"/>
  <c r="L15" i="26"/>
  <c r="R15" i="26" s="1"/>
  <c r="R17" i="36"/>
  <c r="Q17" i="32"/>
  <c r="M13" i="36"/>
  <c r="R17" i="33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R17" i="42"/>
  <c r="M13" i="39"/>
  <c r="L15" i="39"/>
  <c r="M13" i="33"/>
  <c r="L15" i="42"/>
  <c r="M13" i="42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M13" i="24"/>
  <c r="L15" i="24"/>
  <c r="Q14" i="30"/>
  <c r="R14" i="30"/>
  <c r="R14" i="24"/>
  <c r="Q14" i="24"/>
  <c r="Q15" i="31"/>
  <c r="R14" i="43"/>
  <c r="R12" i="32"/>
  <c r="Q12" i="32"/>
  <c r="R12" i="42"/>
  <c r="Q12" i="42"/>
  <c r="L12" i="37"/>
  <c r="Q12" i="36"/>
  <c r="R12" i="36"/>
  <c r="R12" i="38"/>
  <c r="Q12" i="38"/>
  <c r="R15" i="17"/>
  <c r="Q15" i="17"/>
  <c r="R15" i="22"/>
  <c r="Q15" i="22"/>
  <c r="R13" i="17"/>
  <c r="Q13" i="17"/>
  <c r="R13" i="22"/>
  <c r="Q13" i="22"/>
  <c r="R12" i="22"/>
  <c r="Q12" i="22"/>
  <c r="L12" i="21"/>
  <c r="M13" i="16"/>
  <c r="L12" i="16"/>
  <c r="M13" i="21"/>
  <c r="Q13" i="27" l="1"/>
  <c r="R13" i="33"/>
  <c r="R13" i="43"/>
  <c r="Q13" i="21"/>
  <c r="Q13" i="26"/>
  <c r="R13" i="36"/>
  <c r="Q13" i="16"/>
  <c r="R13" i="32"/>
  <c r="L17" i="18"/>
  <c r="R17" i="18" s="1"/>
  <c r="E12" i="18"/>
  <c r="L12" i="18" s="1"/>
  <c r="M13" i="18"/>
  <c r="L15" i="18"/>
  <c r="R12" i="27"/>
  <c r="Q12" i="39"/>
  <c r="Q13" i="32"/>
  <c r="R15" i="21"/>
  <c r="R15" i="33"/>
  <c r="R13" i="26"/>
  <c r="Q15" i="36"/>
  <c r="R14" i="37"/>
  <c r="Q13" i="43"/>
  <c r="R13" i="27"/>
  <c r="Q15" i="16"/>
  <c r="M13" i="37"/>
  <c r="Q15" i="26"/>
  <c r="R15" i="43"/>
  <c r="R15" i="32"/>
  <c r="Q13" i="36"/>
  <c r="R15" i="27"/>
  <c r="R17" i="37"/>
  <c r="L15" i="37"/>
  <c r="R15" i="37" s="1"/>
  <c r="Q15" i="39"/>
  <c r="R15" i="39"/>
  <c r="R13" i="39"/>
  <c r="Q13" i="39"/>
  <c r="Q13" i="33"/>
  <c r="Q13" i="42"/>
  <c r="R13" i="42"/>
  <c r="R15" i="42"/>
  <c r="Q15" i="42"/>
  <c r="R13" i="23"/>
  <c r="Q13" i="23"/>
  <c r="R15" i="24"/>
  <c r="Q15" i="24"/>
  <c r="R15" i="23"/>
  <c r="Q15" i="23"/>
  <c r="R13" i="40"/>
  <c r="Q13" i="40"/>
  <c r="Q13" i="38"/>
  <c r="R13" i="38"/>
  <c r="Q13" i="24"/>
  <c r="R13" i="24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2" i="21"/>
  <c r="Q12" i="21"/>
  <c r="R12" i="16"/>
  <c r="Q12" i="16"/>
  <c r="R13" i="21"/>
  <c r="R13" i="16"/>
  <c r="Q13" i="37" l="1"/>
  <c r="E18" i="18"/>
  <c r="Q17" i="18"/>
  <c r="R15" i="18"/>
  <c r="Q15" i="18"/>
  <c r="Q13" i="18"/>
  <c r="R13" i="18"/>
  <c r="R12" i="18"/>
  <c r="Q12" i="18"/>
  <c r="R13" i="37"/>
  <c r="Q15" i="37"/>
  <c r="L3" i="11" l="1"/>
  <c r="C12" i="11"/>
  <c r="C18" i="11" s="1"/>
  <c r="N3" i="11" l="1"/>
  <c r="R3" i="11" s="1"/>
  <c r="H12" i="11" l="1"/>
  <c r="H18" i="11" s="1"/>
  <c r="L5" i="11"/>
  <c r="Q5" i="11" l="1"/>
  <c r="R5" i="11"/>
  <c r="E17" i="11" l="1"/>
  <c r="L17" i="11" s="1"/>
  <c r="R17" i="11" l="1"/>
  <c r="Q17" i="11"/>
  <c r="E15" i="11"/>
  <c r="E12" i="11"/>
  <c r="E18" i="11" s="1"/>
  <c r="M13" i="11" l="1"/>
  <c r="L12" i="11"/>
  <c r="L15" i="11"/>
  <c r="Q13" i="11" l="1"/>
  <c r="R13" i="11"/>
  <c r="R15" i="11"/>
  <c r="Q15" i="11"/>
  <c r="R12" i="11"/>
  <c r="Q12" i="11"/>
  <c r="R3" i="29" l="1"/>
  <c r="Q5" i="29"/>
  <c r="E17" i="29" s="1"/>
  <c r="E12" i="29" s="1"/>
  <c r="G17" i="29"/>
  <c r="G12" i="29" s="1"/>
  <c r="G18" i="29" s="1"/>
  <c r="R5" i="29"/>
  <c r="E15" i="29" l="1"/>
  <c r="L17" i="29"/>
  <c r="R17" i="29" s="1"/>
  <c r="L12" i="29"/>
  <c r="E18" i="29"/>
  <c r="L15" i="29" l="1"/>
  <c r="R15" i="29" s="1"/>
  <c r="M13" i="29"/>
  <c r="Q17" i="29"/>
  <c r="R12" i="29"/>
  <c r="Q12" i="29"/>
  <c r="R13" i="29" l="1"/>
  <c r="Q15" i="29"/>
  <c r="Q13" i="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<sst xmlns="http://schemas.openxmlformats.org/spreadsheetml/2006/main" count="1164" uniqueCount="109">
  <si>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</si>
  <si>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</si>
  <si>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</si>
  <si>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</si>
  <si>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</si>
  <si>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</si>
  <si>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</si>
  <si>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</si>
  <si>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</si>
  <si>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</si>
  <si>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</si>
  <si>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</si>
  <si>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</si>
  <si>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</si>
  <si>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</si>
  <si>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</si>
  <si>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</si>
  <si>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</si>
  <si>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</si>
  <si>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</si>
  <si>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</si>
  <si>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</si>
  <si>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</si>
  <si>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</si>
  <si>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</si>
  <si>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</si>
  <si>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</si>
  <si>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</si>
  <si>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</si>
  <si>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</si>
  <si>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</si>
  <si>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</si>
  <si>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</si>
  <si>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</si>
  <si>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</si>
  <si>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</si>
  <si>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</si>
  <si>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</si>
  <si>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</si>
  <si>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</si>
  <si>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</si>
  <si>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</si>
  <si>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</si>
  <si>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</si>
  <si>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</si>
  <si>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</si>
  <si>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</si>
  <si>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</si>
  <si>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</si>
  <si>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</si>
  <si>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</si>
  <si>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</si>
  <si>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</si>
  <si>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</si>
  <si>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</si>
  <si>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</si>
  <si>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</si>
  <si>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</si>
  <si>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</si>
  <si>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</si>
  <si>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</si>
  <si>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</si>
  <si>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</si>
  <si>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</si>
  <si>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</si>
  <si>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</si>
  <si>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</si>
  <si>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</si>
  <si>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</si>
  <si>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</si>
  <si>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</si>
  <si>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</si>
  <si>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</si>
  <si>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</si>
  <si>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</si>
  <si>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</si>
  <si>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</si>
  <si>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</si>
  <si>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</si>
  <si>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</si>
  <si>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</si>
  <si>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</si>
  <si>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</si>
  <si>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</si>
  <si>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</si>
  <si>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</si>
  <si>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</si>
  <si>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</si>
  <si>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</si>
  <si>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</si>
  <si>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</si>
  <si>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</si>
  <si>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</si>
  <si>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</si>
  <si>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</si>
  <si>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</si>
  <si>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</si>
  <si>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</si>
  <si>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</si>
  <si>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</si>
  <si>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</si>
  <si>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</si>
  <si>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</si>
  <si>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</si>
  <si>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</si>
  <si>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</si>
  <si>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</si>
  <si>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steel</t>
  </si>
  <si>
    <t>Scrap collection and processing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</si>
</sst>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0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5" fontId="0" fillId="3" borderId="6" xfId="2" applyNumberFormat="1" applyFont="1" applyFill="1" applyBorder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>
            <v>569.5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B7" sqref="B7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108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17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388117.24802078825</v>
      </c>
      <c r="D3" s="1">
        <f>VLOOKUP($B3, '[1]Pro of iron ore'!$B$2:$X$31, $A$1, FALSE)*(1-VLOOKUP($B3, '[1]Foundry share'!$B$2:$X$31, $A$1, FALSE))</f>
        <v>242185.18623394999</v>
      </c>
      <c r="E3" s="47">
        <f>VLOOKUP($B3, '[1]Iron content'!$B$2:$X$31, $A$1, FALSE)</f>
        <v>0.6240000604687842</v>
      </c>
      <c r="F3" s="1">
        <f>VLOOKUP($B3, '[1]Exp of usable iron ore'!$B$2:$X$31, $A$1, FALSE)*parameters!$B$12</f>
        <v>71.5</v>
      </c>
      <c r="G3" s="1">
        <f>VLOOKUP($B3, '[1]Pro of pig iron'!$B$2:$X$31, $A$1, FALSE)*(1-VLOOKUP($B3, '[1]Foundry share'!$B$2:$X$31, $A$1, FALSE))</f>
        <v>676114.85744684981</v>
      </c>
      <c r="H3" s="1">
        <f>VLOOKUP($B3, '[1]Exp of pig iron'!$B$2:$X$31, $A$1, FALSE)</f>
        <v>169</v>
      </c>
      <c r="I3" s="1">
        <f>VLOOKUP($B3, '[1]Imp of pig iron'!$B$2:$X$31, $A$1, FALSE)</f>
        <v>168</v>
      </c>
      <c r="J3" s="1">
        <f>VLOOKUP($B3, '[1]Pro of DRI'!$B$2:$X$31, $A$1, FALSE)*(1-VLOOKUP($B3, '[1]Foundry share'!$B$2:$X$31, $A$1, FALSE))</f>
        <v>0</v>
      </c>
      <c r="K3" s="1">
        <f>VLOOKUP($B3, '[1]Exp of DRI'!$B$2:$X$31, $A$1, FALSE)</f>
        <v>41</v>
      </c>
      <c r="L3" s="1">
        <f>VLOOKUP($B3, '[1]Imp of DRI'!$B$2:$X$31, $A$1, FALSE)</f>
        <v>182</v>
      </c>
      <c r="M3" s="1">
        <f>VLOOKUP($B3, '[1]Exp of scrap'!$B$2:$X$31, $A$1, FALSE)</f>
        <v>1</v>
      </c>
      <c r="N3" s="1">
        <f>VLOOKUP($B3, '[1]Imp of scrap'!$B$2:$X$31, $A$1, FALSE)</f>
        <v>2328</v>
      </c>
      <c r="O3" s="1">
        <f>VLOOKUP($B3, '[1]Pro of BOF steel'!$B$2:$X$31, $A$1, FALSE)</f>
        <v>756300</v>
      </c>
      <c r="P3" s="1">
        <f>VLOOKUP($B3, '[1]Pro of OHF steel'!$B$2:$X$31, $A$1, FALSE)</f>
        <v>0</v>
      </c>
      <c r="Q3" s="1">
        <f>VLOOKUP($B3, '[1]Pro of EAF steel'!$B$2:$X$31, $A$1, FALSE)</f>
        <v>47457</v>
      </c>
      <c r="R3" s="1">
        <f>VLOOKUP($B3, '[1]Exp of ingots and semis'!$B$2:$X$31, $A$1, FALSE)</f>
        <v>8</v>
      </c>
      <c r="S3" s="1">
        <f>VLOOKUP($B3, '[1]Imp of ingots and semis'!$B$2:$X$31, $A$1, FALSE)</f>
        <v>301</v>
      </c>
      <c r="T3" s="1">
        <f>VLOOKUP($B3, '[1]Pro of hr long'!$B$2:$X$31, $A$1, FALSE)+VLOOKUP($B3, '[1]Pro of seamless tubes'!$B$2:$X$31, $A$1, FALSE)</f>
        <v>527225</v>
      </c>
      <c r="U3" s="1">
        <f>VLOOKUP($B3, '[1]Exp of long'!$B$2:$X$31, $A$1, FALSE)</f>
        <v>52351</v>
      </c>
      <c r="V3" s="1">
        <f>VLOOKUP($B3, '[1]Imp of long'!$B$2:$X$31, $A$1, FALSE)</f>
        <v>1593</v>
      </c>
      <c r="W3" s="1">
        <f>VLOOKUP($B3, '[1]Pro of hr flat'!$B$2:$X$31, $A$1, FALSE)*parameters!$B$8</f>
        <v>313091.86344238976</v>
      </c>
      <c r="X3" s="1">
        <f>VLOOKUP($B3, '[1]Exp of flat'!$B$2:$X$31, $A$1, FALSE)</f>
        <v>48465</v>
      </c>
      <c r="Y3" s="1">
        <f>VLOOKUP($B3, '[1]Imp of flat'!$B$2:$X$31, $A$1, FALSE)</f>
        <v>10774</v>
      </c>
      <c r="Z3" s="1">
        <f>VLOOKUP($B3, '[1]Indirect exp'!$B$2:$X$31, $A$1, FALSE)</f>
        <v>70455</v>
      </c>
      <c r="AA3" s="1">
        <f>VLOOKUP($B3, '[1]Indirect imp'!$B$2:$X$31, $A$1, FALSE)</f>
        <v>9856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123564.69901513839</v>
      </c>
      <c r="D4" s="1">
        <f>VLOOKUP($B4, '[1]Pro of iron ore'!$B$2:$X$31, $A$1, FALSE)*(1-VLOOKUP($B4, '[1]Foundry share'!$B$2:$X$31, $A$1, FALSE))</f>
        <v>76609.783649811608</v>
      </c>
      <c r="E4" s="47">
        <f>VLOOKUP($B4, '[1]Iron content'!$B$2:$X$31, $A$1, FALSE)</f>
        <v>0.61999733144193425</v>
      </c>
      <c r="F4" s="1">
        <f>VLOOKUP($B4, '[1]Exp of usable iron ore'!$B$2:$X$31, $A$1, FALSE)*parameters!$B$12</f>
        <v>2737.15</v>
      </c>
      <c r="G4" s="1">
        <f>VLOOKUP($B4, '[1]Pro of pig iron'!$B$2:$X$31, $A$1, FALSE)*(1-VLOOKUP($B4, '[1]Foundry share'!$B$2:$X$31, $A$1, FALSE))</f>
        <v>50670.559725068233</v>
      </c>
      <c r="H4" s="1">
        <f>VLOOKUP($B4, '[1]Exp of pig iron'!$B$2:$X$31, $A$1, FALSE)</f>
        <v>542</v>
      </c>
      <c r="I4" s="1">
        <f>VLOOKUP($B4, '[1]Imp of pig iron'!$B$2:$X$31, $A$1, FALSE)</f>
        <v>35</v>
      </c>
      <c r="J4" s="1">
        <f>VLOOKUP($B4, '[1]Pro of DRI'!$B$2:$X$31, $A$1, FALSE)*(1-VLOOKUP($B4, '[1]Foundry share'!$B$2:$X$31, $A$1, FALSE))</f>
        <v>19649.007679118487</v>
      </c>
      <c r="K4" s="1">
        <f>VLOOKUP($B4, '[1]Exp of DRI'!$B$2:$X$31, $A$1, FALSE)</f>
        <v>132</v>
      </c>
      <c r="L4" s="1">
        <f>VLOOKUP($B4, '[1]Imp of DRI'!$B$2:$X$31, $A$1, FALSE)</f>
        <v>38</v>
      </c>
      <c r="M4" s="1">
        <f>VLOOKUP($B4, '[1]Exp of scrap'!$B$2:$X$31, $A$1, FALSE)</f>
        <v>0</v>
      </c>
      <c r="N4" s="1">
        <f>VLOOKUP($B4, '[1]Imp of scrap'!$B$2:$X$31, $A$1, FALSE)</f>
        <v>6710</v>
      </c>
      <c r="O4" s="1">
        <f>VLOOKUP($B4, '[1]Pro of BOF steel'!$B$2:$X$31, $A$1, FALSE)</f>
        <v>38216</v>
      </c>
      <c r="P4" s="1">
        <f>VLOOKUP($B4, '[1]Pro of OHF steel'!$B$2:$X$31, $A$1, FALSE)</f>
        <v>0</v>
      </c>
      <c r="Q4" s="1">
        <f>VLOOKUP($B4, '[1]Pro of EAF steel'!$B$2:$X$31, $A$1, FALSE)</f>
        <v>50810</v>
      </c>
      <c r="R4" s="1">
        <f>VLOOKUP($B4, '[1]Exp of ingots and semis'!$B$2:$X$31, $A$1, FALSE)</f>
        <v>769</v>
      </c>
      <c r="S4" s="1">
        <f>VLOOKUP($B4, '[1]Imp of ingots and semis'!$B$2:$X$31, $A$1, FALSE)</f>
        <v>765</v>
      </c>
      <c r="T4" s="1">
        <f>VLOOKUP($B4, '[1]Pro of hr long'!$B$2:$X$31, $A$1, FALSE)+VLOOKUP($B4, '[1]Pro of seamless tubes'!$B$2:$X$31, $A$1, FALSE)</f>
        <v>44330</v>
      </c>
      <c r="U4" s="1">
        <f>VLOOKUP($B4, '[1]Exp of long'!$B$2:$X$31, $A$1, FALSE)</f>
        <v>766</v>
      </c>
      <c r="V4" s="1">
        <f>VLOOKUP($B4, '[1]Imp of long'!$B$2:$X$31, $A$1, FALSE)</f>
        <v>2015</v>
      </c>
      <c r="W4" s="1">
        <f>VLOOKUP($B4, '[1]Pro of hr flat'!$B$2:$X$31, $A$1, FALSE)*parameters!$B$8</f>
        <v>44298.81650071124</v>
      </c>
      <c r="X4" s="1">
        <f>VLOOKUP($B4, '[1]Exp of flat'!$B$2:$X$31, $A$1, FALSE)</f>
        <v>4373</v>
      </c>
      <c r="Y4" s="1">
        <f>VLOOKUP($B4, '[1]Imp of flat'!$B$2:$X$31, $A$1, FALSE)</f>
        <v>9829</v>
      </c>
      <c r="Z4" s="1">
        <f>VLOOKUP($B4, '[1]Indirect exp'!$B$2:$X$31, $A$1, FALSE)</f>
        <v>5056</v>
      </c>
      <c r="AA4" s="1">
        <f>VLOOKUP($B4, '[1]Indirect imp'!$B$2:$X$31, $A$1, FALSE)</f>
        <v>4643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0</v>
      </c>
      <c r="G5" s="1">
        <f>VLOOKUP($B5, '[1]Pro of pig iron'!$B$2:$X$31, $A$1, FALSE)*(1-VLOOKUP($B5, '[1]Foundry share'!$B$2:$X$31, $A$1, FALSE))</f>
        <v>81011</v>
      </c>
      <c r="H5" s="1">
        <f>VLOOKUP($B5, '[1]Exp of pig iron'!$B$2:$X$31, $A$1, FALSE)</f>
        <v>54</v>
      </c>
      <c r="I5" s="1">
        <f>VLOOKUP($B5, '[1]Imp of pig iron'!$B$2:$X$31, $A$1, FALSE)</f>
        <v>99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1</v>
      </c>
      <c r="L5" s="1">
        <f>VLOOKUP($B5, '[1]Imp of DRI'!$B$2:$X$31, $A$1, FALSE)</f>
        <v>29</v>
      </c>
      <c r="M5" s="1">
        <f>VLOOKUP($B5, '[1]Exp of scrap'!$B$2:$X$31, $A$1, FALSE)</f>
        <v>7847</v>
      </c>
      <c r="N5" s="1">
        <f>VLOOKUP($B5, '[1]Imp of scrap'!$B$2:$X$31, $A$1, FALSE)</f>
        <v>149</v>
      </c>
      <c r="O5" s="1">
        <f>VLOOKUP($B5, '[1]Pro of BOF steel'!$B$2:$X$31, $A$1, FALSE)</f>
        <v>81081</v>
      </c>
      <c r="P5" s="1">
        <f>VLOOKUP($B5, '[1]Pro of OHF steel'!$B$2:$X$31, $A$1, FALSE)</f>
        <v>0</v>
      </c>
      <c r="Q5" s="1">
        <f>VLOOKUP($B5, '[1]Pro of EAF steel'!$B$2:$X$31, $A$1, FALSE)</f>
        <v>24053</v>
      </c>
      <c r="R5" s="1">
        <f>VLOOKUP($B5, '[1]Exp of ingots and semis'!$B$2:$X$31, $A$1, FALSE)</f>
        <v>4814</v>
      </c>
      <c r="S5" s="1">
        <f>VLOOKUP($B5, '[1]Imp of ingots and semis'!$B$2:$X$31, $A$1, FALSE)</f>
        <v>156</v>
      </c>
      <c r="T5" s="1">
        <f>VLOOKUP($B5, '[1]Pro of hr long'!$B$2:$X$31, $A$1, FALSE)+VLOOKUP($B5, '[1]Pro of seamless tubes'!$B$2:$X$31, $A$1, FALSE)</f>
        <v>30567</v>
      </c>
      <c r="U5" s="1">
        <f>VLOOKUP($B5, '[1]Exp of long'!$B$2:$X$31, $A$1, FALSE)</f>
        <v>5576</v>
      </c>
      <c r="V5" s="1">
        <f>VLOOKUP($B5, '[1]Imp of long'!$B$2:$X$31, $A$1, FALSE)</f>
        <v>970</v>
      </c>
      <c r="W5" s="1">
        <f>VLOOKUP($B5, '[1]Pro of hr flat'!$B$2:$X$31, $A$1, FALSE)*parameters!$B$8</f>
        <v>60906.500711237553</v>
      </c>
      <c r="X5" s="1">
        <f>VLOOKUP($B5, '[1]Exp of flat'!$B$2:$X$31, $A$1, FALSE)</f>
        <v>28589</v>
      </c>
      <c r="Y5" s="1">
        <f>VLOOKUP($B5, '[1]Imp of flat'!$B$2:$X$31, $A$1, FALSE)</f>
        <v>4423</v>
      </c>
      <c r="Z5" s="1">
        <f>VLOOKUP($B5, '[1]Indirect exp'!$B$2:$X$31, $A$1, FALSE)</f>
        <v>21749</v>
      </c>
      <c r="AA5" s="1">
        <f>VLOOKUP($B5, '[1]Indirect imp'!$B$2:$X$31, $A$1, FALSE)</f>
        <v>7135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46100</v>
      </c>
      <c r="D6" s="1">
        <f>VLOOKUP($B6, '[1]Pro of iron ore'!$B$2:$X$31, $A$1, FALSE)*(1-VLOOKUP($B6, '[1]Foundry share'!$B$2:$X$31, $A$1, FALSE))</f>
        <v>28800</v>
      </c>
      <c r="E6" s="47">
        <f>VLOOKUP($B6, '[1]Iron content'!$B$2:$X$31, $A$1, FALSE)</f>
        <v>0.62472885032537961</v>
      </c>
      <c r="F6" s="1">
        <f>VLOOKUP($B6, '[1]Exp of usable iron ore'!$B$2:$X$31, $A$1, FALSE)*parameters!$B$12</f>
        <v>5302.05</v>
      </c>
      <c r="G6" s="1">
        <f>VLOOKUP($B6, '[1]Pro of pig iron'!$B$2:$X$31, $A$1, FALSE)*(1-VLOOKUP($B6, '[1]Foundry share'!$B$2:$X$31, $A$1, FALSE))</f>
        <v>25435</v>
      </c>
      <c r="H6" s="1">
        <f>VLOOKUP($B6, '[1]Exp of pig iron'!$B$2:$X$31, $A$1, FALSE)</f>
        <v>67</v>
      </c>
      <c r="I6" s="1">
        <f>VLOOKUP($B6, '[1]Imp of pig iron'!$B$2:$X$31, $A$1, FALSE)</f>
        <v>4534</v>
      </c>
      <c r="J6" s="1">
        <f>VLOOKUP($B6, '[1]Pro of DRI'!$B$2:$X$31, $A$1, FALSE)*(1-VLOOKUP($B6, '[1]Foundry share'!$B$2:$X$31, $A$1, FALSE))</f>
        <v>1100</v>
      </c>
      <c r="K6" s="1">
        <f>VLOOKUP($B6, '[1]Exp of DRI'!$B$2:$X$31, $A$1, FALSE)</f>
        <v>21</v>
      </c>
      <c r="L6" s="1">
        <f>VLOOKUP($B6, '[1]Imp of DRI'!$B$2:$X$31, $A$1, FALSE)</f>
        <v>1866</v>
      </c>
      <c r="M6" s="1">
        <f>VLOOKUP($B6, '[1]Exp of scrap'!$B$2:$X$31, $A$1, FALSE)</f>
        <v>12976</v>
      </c>
      <c r="N6" s="1">
        <f>VLOOKUP($B6, '[1]Imp of scrap'!$B$2:$X$31, $A$1, FALSE)</f>
        <v>3513</v>
      </c>
      <c r="O6" s="1">
        <f>VLOOKUP($B6, '[1]Pro of BOF steel'!$B$2:$X$31, $A$1, FALSE)</f>
        <v>29395</v>
      </c>
      <c r="P6" s="1">
        <f>VLOOKUP($B6, '[1]Pro of OHF steel'!$B$2:$X$31, $A$1, FALSE)</f>
        <v>0</v>
      </c>
      <c r="Q6" s="1">
        <f>VLOOKUP($B6, '[1]Pro of EAF steel'!$B$2:$X$31, $A$1, FALSE)</f>
        <v>49450</v>
      </c>
      <c r="R6" s="1">
        <f>VLOOKUP($B6, '[1]Exp of ingots and semis'!$B$2:$X$31, $A$1, FALSE)</f>
        <v>142</v>
      </c>
      <c r="S6" s="1">
        <f>VLOOKUP($B6, '[1]Imp of ingots and semis'!$B$2:$X$31, $A$1, FALSE)</f>
        <v>6560</v>
      </c>
      <c r="T6" s="1">
        <f>VLOOKUP($B6, '[1]Pro of hr long'!$B$2:$X$31, $A$1, FALSE)+VLOOKUP($B6, '[1]Pro of seamless tubes'!$B$2:$X$31, $A$1, FALSE)</f>
        <v>22565</v>
      </c>
      <c r="U6" s="1">
        <f>VLOOKUP($B6, '[1]Exp of long'!$B$2:$X$31, $A$1, FALSE)</f>
        <v>2102</v>
      </c>
      <c r="V6" s="1">
        <f>VLOOKUP($B6, '[1]Imp of long'!$B$2:$X$31, $A$1, FALSE)</f>
        <v>7567</v>
      </c>
      <c r="W6" s="1">
        <f>VLOOKUP($B6, '[1]Pro of hr flat'!$B$2:$X$31, $A$1, FALSE)*parameters!$B$8</f>
        <v>54732.2972972973</v>
      </c>
      <c r="X6" s="1">
        <f>VLOOKUP($B6, '[1]Exp of flat'!$B$2:$X$31, $A$1, FALSE)</f>
        <v>6049</v>
      </c>
      <c r="Y6" s="1">
        <f>VLOOKUP($B6, '[1]Imp of flat'!$B$2:$X$31, $A$1, FALSE)</f>
        <v>14734</v>
      </c>
      <c r="Z6" s="1">
        <f>VLOOKUP($B6, '[1]Indirect exp'!$B$2:$X$31, $A$1, FALSE)</f>
        <v>19936</v>
      </c>
      <c r="AA6" s="1">
        <f>VLOOKUP($B6, '[1]Indirect imp'!$B$2:$X$31, $A$1, FALSE)</f>
        <v>42694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101049</v>
      </c>
      <c r="D7" s="1">
        <f>VLOOKUP($B7, '[1]Pro of iron ore'!$B$2:$X$31, $A$1, FALSE)*(1-VLOOKUP($B7, '[1]Foundry share'!$B$2:$X$31, $A$1, FALSE))</f>
        <v>59619</v>
      </c>
      <c r="E7" s="47">
        <f>VLOOKUP($B7, '[1]Iron content'!$B$2:$X$31, $A$1, FALSE)</f>
        <v>0.590000890657008</v>
      </c>
      <c r="F7" s="1">
        <f>VLOOKUP($B7, '[1]Exp of usable iron ore'!$B$2:$X$31, $A$1, FALSE)*parameters!$B$12</f>
        <v>13806.65</v>
      </c>
      <c r="G7" s="1">
        <f>VLOOKUP($B7, '[1]Pro of pig iron'!$B$2:$X$31, $A$1, FALSE)*(1-VLOOKUP($B7, '[1]Foundry share'!$B$2:$X$31, $A$1, FALSE))</f>
        <v>52553</v>
      </c>
      <c r="H7" s="1">
        <f>VLOOKUP($B7, '[1]Exp of pig iron'!$B$2:$X$31, $A$1, FALSE)</f>
        <v>5339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5436</v>
      </c>
      <c r="K7" s="1">
        <f>VLOOKUP($B7, '[1]Exp of DRI'!$B$2:$X$31, $A$1, FALSE)</f>
        <v>2207</v>
      </c>
      <c r="L7" s="1">
        <f>VLOOKUP($B7, '[1]Imp of DRI'!$B$2:$X$31, $A$1, FALSE)</f>
        <v>0</v>
      </c>
      <c r="M7" s="1">
        <f>VLOOKUP($B7, '[1]Exp of scrap'!$B$2:$X$31, $A$1, FALSE)</f>
        <v>5910</v>
      </c>
      <c r="N7" s="1">
        <f>VLOOKUP($B7, '[1]Imp of scrap'!$B$2:$X$31, $A$1, FALSE)</f>
        <v>235</v>
      </c>
      <c r="O7" s="1">
        <f>VLOOKUP($B7, '[1]Pro of BOF steel'!$B$2:$X$31, $A$1, FALSE)</f>
        <v>46979</v>
      </c>
      <c r="P7" s="1">
        <f>VLOOKUP($B7, '[1]Pro of OHF steel'!$B$2:$X$31, $A$1, FALSE)</f>
        <v>1671</v>
      </c>
      <c r="Q7" s="1">
        <f>VLOOKUP($B7, '[1]Pro of EAF steel'!$B$2:$X$31, $A$1, FALSE)</f>
        <v>21600</v>
      </c>
      <c r="R7" s="1">
        <f>VLOOKUP($B7, '[1]Exp of ingots and semis'!$B$2:$X$31, $A$1, FALSE)</f>
        <v>15310</v>
      </c>
      <c r="S7" s="1">
        <f>VLOOKUP($B7, '[1]Imp of ingots and semis'!$B$2:$X$31, $A$1, FALSE)</f>
        <v>8</v>
      </c>
      <c r="T7" s="1">
        <f>VLOOKUP($B7, '[1]Pro of hr long'!$B$2:$X$31, $A$1, FALSE)+VLOOKUP($B7, '[1]Pro of seamless tubes'!$B$2:$X$31, $A$1, FALSE)</f>
        <v>20516</v>
      </c>
      <c r="U7" s="1">
        <f>VLOOKUP($B7, '[1]Exp of long'!$B$2:$X$31, $A$1, FALSE)</f>
        <v>4094</v>
      </c>
      <c r="V7" s="1">
        <f>VLOOKUP($B7, '[1]Imp of long'!$B$2:$X$31, $A$1, FALSE)</f>
        <v>1232</v>
      </c>
      <c r="W7" s="1">
        <f>VLOOKUP($B7, '[1]Pro of hr flat'!$B$2:$X$31, $A$1, FALSE)*parameters!$B$8</f>
        <v>26805.078236130867</v>
      </c>
      <c r="X7" s="1">
        <f>VLOOKUP($B7, '[1]Exp of flat'!$B$2:$X$31, $A$1, FALSE)</f>
        <v>9041</v>
      </c>
      <c r="Y7" s="1">
        <f>VLOOKUP($B7, '[1]Imp of flat'!$B$2:$X$31, $A$1, FALSE)</f>
        <v>2664</v>
      </c>
      <c r="Z7" s="1">
        <f>VLOOKUP($B7, '[1]Indirect exp'!$B$2:$X$31, $A$1, FALSE)</f>
        <v>2226</v>
      </c>
      <c r="AA7" s="1">
        <f>VLOOKUP($B7, '[1]Indirect imp'!$B$2:$X$31, $A$1, FALSE)</f>
        <v>6189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47639</v>
      </c>
      <c r="H8" s="1">
        <f>VLOOKUP($B8, '[1]Exp of pig iron'!$B$2:$X$31, $A$1, FALSE)</f>
        <v>0</v>
      </c>
      <c r="I8" s="1">
        <f>VLOOKUP($B8, '[1]Imp of pig iron'!$B$2:$X$31, $A$1, FALSE)</f>
        <v>413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18</v>
      </c>
      <c r="L8" s="1">
        <f>VLOOKUP($B8, '[1]Imp of DRI'!$B$2:$X$31, $A$1, FALSE)</f>
        <v>346</v>
      </c>
      <c r="M8" s="1">
        <f>VLOOKUP($B8, '[1]Exp of scrap'!$B$2:$X$31, $A$1, FALSE)</f>
        <v>418</v>
      </c>
      <c r="N8" s="1">
        <f>VLOOKUP($B8, '[1]Imp of scrap'!$B$2:$X$31, $A$1, FALSE)</f>
        <v>5758</v>
      </c>
      <c r="O8" s="1">
        <f>VLOOKUP($B8, '[1]Pro of BOF steel'!$B$2:$X$31, $A$1, FALSE)</f>
        <v>48500</v>
      </c>
      <c r="P8" s="1">
        <f>VLOOKUP($B8, '[1]Pro of OHF steel'!$B$2:$X$31, $A$1, FALSE)</f>
        <v>0</v>
      </c>
      <c r="Q8" s="1">
        <f>VLOOKUP($B8, '[1]Pro of EAF steel'!$B$2:$X$31, $A$1, FALSE)</f>
        <v>21171</v>
      </c>
      <c r="R8" s="1">
        <f>VLOOKUP($B8, '[1]Exp of ingots and semis'!$B$2:$X$31, $A$1, FALSE)</f>
        <v>483</v>
      </c>
      <c r="S8" s="1">
        <f>VLOOKUP($B8, '[1]Imp of ingots and semis'!$B$2:$X$31, $A$1, FALSE)</f>
        <v>2938</v>
      </c>
      <c r="T8" s="1">
        <f>VLOOKUP($B8, '[1]Pro of hr long'!$B$2:$X$31, $A$1, FALSE)+VLOOKUP($B8, '[1]Pro of seamless tubes'!$B$2:$X$31, $A$1, FALSE)</f>
        <v>20249</v>
      </c>
      <c r="U8" s="1">
        <f>VLOOKUP($B8, '[1]Exp of long'!$B$2:$X$31, $A$1, FALSE)</f>
        <v>3421</v>
      </c>
      <c r="V8" s="1">
        <f>VLOOKUP($B8, '[1]Imp of long'!$B$2:$X$31, $A$1, FALSE)</f>
        <v>6042</v>
      </c>
      <c r="W8" s="1">
        <f>VLOOKUP($B8, '[1]Pro of hr flat'!$B$2:$X$31, $A$1, FALSE)*parameters!$B$8</f>
        <v>46175.852062588907</v>
      </c>
      <c r="X8" s="1">
        <f>VLOOKUP($B8, '[1]Exp of flat'!$B$2:$X$31, $A$1, FALSE)</f>
        <v>24831</v>
      </c>
      <c r="Y8" s="1">
        <f>VLOOKUP($B8, '[1]Imp of flat'!$B$2:$X$31, $A$1, FALSE)</f>
        <v>11784</v>
      </c>
      <c r="Z8" s="1">
        <f>VLOOKUP($B8, '[1]Indirect exp'!$B$2:$X$31, $A$1, FALSE)</f>
        <v>22695</v>
      </c>
      <c r="AA8" s="1">
        <f>VLOOKUP($B8, '[1]Indirect imp'!$B$2:$X$31, $A$1, FALSE)</f>
        <v>6603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0</v>
      </c>
      <c r="D9" s="1">
        <f>VLOOKUP($B9, '[1]Pro of iron ore'!$B$2:$X$31, $A$1, FALSE)*(1-VLOOKUP($B9, '[1]Foundry share'!$B$2:$X$31, $A$1, FALSE))</f>
        <v>0</v>
      </c>
      <c r="E9" s="47">
        <f>VLOOKUP($B9, '[1]Iron content'!$B$2:$X$31, $A$1, FALSE)</f>
        <v>0</v>
      </c>
      <c r="F9" s="1">
        <f>VLOOKUP($B9, '[1]Exp of usable iron ore'!$B$2:$X$31, $A$1, FALSE)*parameters!$B$12</f>
        <v>42.25</v>
      </c>
      <c r="G9" s="1">
        <f>VLOOKUP($B9, '[1]Pro of pig iron'!$B$2:$X$31, $A$1, FALSE)*(1-VLOOKUP($B9, '[1]Foundry share'!$B$2:$X$31, $A$1, FALSE))</f>
        <v>27842</v>
      </c>
      <c r="H9" s="1">
        <f>VLOOKUP($B9, '[1]Exp of pig iron'!$B$2:$X$31, $A$1, FALSE)</f>
        <v>141</v>
      </c>
      <c r="I9" s="1">
        <f>VLOOKUP($B9, '[1]Imp of pig iron'!$B$2:$X$31, $A$1, FALSE)</f>
        <v>547</v>
      </c>
      <c r="J9" s="1">
        <f>VLOOKUP($B9, '[1]Pro of DRI'!$B$2:$X$31, $A$1, FALSE)*(1-VLOOKUP($B9, '[1]Foundry share'!$B$2:$X$31, $A$1, FALSE))</f>
        <v>551</v>
      </c>
      <c r="K9" s="1">
        <f>VLOOKUP($B9, '[1]Exp of DRI'!$B$2:$X$31, $A$1, FALSE)</f>
        <v>0</v>
      </c>
      <c r="L9" s="1">
        <f>VLOOKUP($B9, '[1]Imp of DRI'!$B$2:$X$31, $A$1, FALSE)</f>
        <v>640</v>
      </c>
      <c r="M9" s="1">
        <f>VLOOKUP($B9, '[1]Exp of scrap'!$B$2:$X$31, $A$1, FALSE)</f>
        <v>7492</v>
      </c>
      <c r="N9" s="1">
        <f>VLOOKUP($B9, '[1]Imp of scrap'!$B$2:$X$31, $A$1, FALSE)</f>
        <v>4236</v>
      </c>
      <c r="O9" s="1">
        <f>VLOOKUP($B9, '[1]Pro of BOF steel'!$B$2:$X$31, $A$1, FALSE)</f>
        <v>30054</v>
      </c>
      <c r="P9" s="1">
        <f>VLOOKUP($B9, '[1]Pro of OHF steel'!$B$2:$X$31, $A$1, FALSE)</f>
        <v>0</v>
      </c>
      <c r="Q9" s="1">
        <f>VLOOKUP($B9, '[1]Pro of EAF steel'!$B$2:$X$31, $A$1, FALSE)</f>
        <v>12622</v>
      </c>
      <c r="R9" s="1">
        <f>VLOOKUP($B9, '[1]Exp of ingots and semis'!$B$2:$X$31, $A$1, FALSE)</f>
        <v>1910</v>
      </c>
      <c r="S9" s="1">
        <f>VLOOKUP($B9, '[1]Imp of ingots and semis'!$B$2:$X$31, $A$1, FALSE)</f>
        <v>1886</v>
      </c>
      <c r="T9" s="1">
        <f>VLOOKUP($B9, '[1]Pro of hr long'!$B$2:$X$31, $A$1, FALSE)+VLOOKUP($B9, '[1]Pro of seamless tubes'!$B$2:$X$31, $A$1, FALSE)</f>
        <v>13735</v>
      </c>
      <c r="U9" s="1">
        <f>VLOOKUP($B9, '[1]Exp of long'!$B$2:$X$31, $A$1, FALSE)</f>
        <v>7148</v>
      </c>
      <c r="V9" s="1">
        <f>VLOOKUP($B9, '[1]Imp of long'!$B$2:$X$31, $A$1, FALSE)</f>
        <v>6941</v>
      </c>
      <c r="W9" s="1">
        <f>VLOOKUP($B9, '[1]Pro of hr flat'!$B$2:$X$31, $A$1, FALSE)*parameters!$B$8</f>
        <v>23149.133712660027</v>
      </c>
      <c r="X9" s="1">
        <f>VLOOKUP($B9, '[1]Exp of flat'!$B$2:$X$31, $A$1, FALSE)</f>
        <v>13481</v>
      </c>
      <c r="Y9" s="1">
        <f>VLOOKUP($B9, '[1]Imp of flat'!$B$2:$X$31, $A$1, FALSE)</f>
        <v>13716</v>
      </c>
      <c r="Z9" s="1">
        <f>VLOOKUP($B9, '[1]Indirect exp'!$B$2:$X$31, $A$1, FALSE)</f>
        <v>32201</v>
      </c>
      <c r="AA9" s="1">
        <f>VLOOKUP($B9, '[1]Indirect imp'!$B$2:$X$31, $A$1, FALSE)</f>
        <v>21851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7761</v>
      </c>
      <c r="D10" s="1">
        <f>VLOOKUP($B10, '[1]Pro of iron ore'!$B$2:$X$31, $A$1, FALSE)*(1-VLOOKUP($B10, '[1]Foundry share'!$B$2:$X$31, $A$1, FALSE))</f>
        <v>4700</v>
      </c>
      <c r="E10" s="47">
        <f>VLOOKUP($B10, '[1]Iron content'!$B$2:$X$31, $A$1, FALSE)</f>
        <v>0.60559206287849499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10184</v>
      </c>
      <c r="H10" s="1">
        <f>VLOOKUP($B10, '[1]Exp of pig iron'!$B$2:$X$31, $A$1, FALSE)</f>
        <v>5</v>
      </c>
      <c r="I10" s="1">
        <f>VLOOKUP($B10, '[1]Imp of pig iron'!$B$2:$X$31, $A$1, FALSE)</f>
        <v>1172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47</v>
      </c>
      <c r="M10" s="1">
        <f>VLOOKUP($B10, '[1]Exp of scrap'!$B$2:$X$31, $A$1, FALSE)</f>
        <v>145</v>
      </c>
      <c r="N10" s="1">
        <f>VLOOKUP($B10, '[1]Imp of scrap'!$B$2:$X$31, $A$1, FALSE)</f>
        <v>16251</v>
      </c>
      <c r="O10" s="1">
        <f>VLOOKUP($B10, '[1]Pro of BOF steel'!$B$2:$X$31, $A$1, FALSE)</f>
        <v>11035</v>
      </c>
      <c r="P10" s="1">
        <f>VLOOKUP($B10, '[1]Pro of OHF steel'!$B$2:$X$31, $A$1, FALSE)</f>
        <v>0</v>
      </c>
      <c r="Q10" s="1">
        <f>VLOOKUP($B10, '[1]Pro of EAF steel'!$B$2:$X$31, $A$1, FALSE)</f>
        <v>20482</v>
      </c>
      <c r="R10" s="1">
        <f>VLOOKUP($B10, '[1]Exp of ingots and semis'!$B$2:$X$31, $A$1, FALSE)</f>
        <v>305</v>
      </c>
      <c r="S10" s="1">
        <f>VLOOKUP($B10, '[1]Imp of ingots and semis'!$B$2:$X$31, $A$1, FALSE)</f>
        <v>7885</v>
      </c>
      <c r="T10" s="1">
        <f>VLOOKUP($B10, '[1]Pro of hr long'!$B$2:$X$31, $A$1, FALSE)+VLOOKUP($B10, '[1]Pro of seamless tubes'!$B$2:$X$31, $A$1, FALSE)</f>
        <v>26550</v>
      </c>
      <c r="U10" s="1">
        <f>VLOOKUP($B10, '[1]Exp of long'!$B$2:$X$31, $A$1, FALSE)</f>
        <v>10183</v>
      </c>
      <c r="V10" s="1">
        <f>VLOOKUP($B10, '[1]Imp of long'!$B$2:$X$31, $A$1, FALSE)</f>
        <v>1558</v>
      </c>
      <c r="W10" s="1">
        <f>VLOOKUP($B10, '[1]Pro of hr flat'!$B$2:$X$31, $A$1, FALSE)*parameters!$B$8</f>
        <v>10093.438122332858</v>
      </c>
      <c r="X10" s="1">
        <f>VLOOKUP($B10, '[1]Exp of flat'!$B$2:$X$31, $A$1, FALSE)</f>
        <v>2437</v>
      </c>
      <c r="Y10" s="1">
        <f>VLOOKUP($B10, '[1]Imp of flat'!$B$2:$X$31, $A$1, FALSE)</f>
        <v>8608</v>
      </c>
      <c r="Z10" s="1">
        <f>VLOOKUP($B10, '[1]Indirect exp'!$B$2:$X$31, $A$1, FALSE)</f>
        <v>6328</v>
      </c>
      <c r="AA10" s="1">
        <f>VLOOKUP($B10, '[1]Indirect imp'!$B$2:$X$31, $A$1, FALSE)</f>
        <v>4476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430838</v>
      </c>
      <c r="D11" s="1">
        <f>VLOOKUP($B11, '[1]Pro of iron ore'!$B$2:$X$31, $A$1, FALSE)*(1-VLOOKUP($B11, '[1]Foundry share'!$B$2:$X$31, $A$1, FALSE))</f>
        <v>275590</v>
      </c>
      <c r="E11" s="47">
        <f>VLOOKUP($B11, '[1]Iron content'!$B$2:$X$31, $A$1, FALSE)</f>
        <v>0.63966038278889048</v>
      </c>
      <c r="F11" s="1">
        <f>VLOOKUP($B11, '[1]Exp of usable iron ore'!$B$2:$X$31, $A$1, FALSE)*parameters!$B$12</f>
        <v>238026.1</v>
      </c>
      <c r="G11" s="1">
        <f>VLOOKUP($B11, '[1]Pro of pig iron'!$B$2:$X$31, $A$1, FALSE)*(1-VLOOKUP($B11, '[1]Foundry share'!$B$2:$X$31, $A$1, FALSE))</f>
        <v>27985</v>
      </c>
      <c r="H11" s="1">
        <f>VLOOKUP($B11, '[1]Exp of pig iron'!$B$2:$X$31, $A$1, FALSE)</f>
        <v>2752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0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679</v>
      </c>
      <c r="N11" s="1">
        <f>VLOOKUP($B11, '[1]Imp of scrap'!$B$2:$X$31, $A$1, FALSE)</f>
        <v>25</v>
      </c>
      <c r="O11" s="1">
        <f>VLOOKUP($B11, '[1]Pro of BOF steel'!$B$2:$X$31, $A$1, FALSE)</f>
        <v>26014</v>
      </c>
      <c r="P11" s="1">
        <f>VLOOKUP($B11, '[1]Pro of OHF steel'!$B$2:$X$31, $A$1, FALSE)</f>
        <v>523</v>
      </c>
      <c r="Q11" s="1">
        <f>VLOOKUP($B11, '[1]Pro of EAF steel'!$B$2:$X$31, $A$1, FALSE)</f>
        <v>6720</v>
      </c>
      <c r="R11" s="1">
        <f>VLOOKUP($B11, '[1]Exp of ingots and semis'!$B$2:$X$31, $A$1, FALSE)</f>
        <v>8717</v>
      </c>
      <c r="S11" s="1">
        <f>VLOOKUP($B11, '[1]Imp of ingots and semis'!$B$2:$X$31, $A$1, FALSE)</f>
        <v>74</v>
      </c>
      <c r="T11" s="1">
        <f>VLOOKUP($B11, '[1]Pro of hr long'!$B$2:$X$31, $A$1, FALSE)+VLOOKUP($B11, '[1]Pro of seamless tubes'!$B$2:$X$31, $A$1, FALSE)</f>
        <v>9671</v>
      </c>
      <c r="U11" s="1">
        <f>VLOOKUP($B11, '[1]Exp of long'!$B$2:$X$31, $A$1, FALSE)</f>
        <v>1110</v>
      </c>
      <c r="V11" s="1">
        <f>VLOOKUP($B11, '[1]Imp of long'!$B$2:$X$31, $A$1, FALSE)</f>
        <v>1072</v>
      </c>
      <c r="W11" s="1">
        <f>VLOOKUP($B11, '[1]Pro of hr flat'!$B$2:$X$31, $A$1, FALSE)*parameters!$B$8</f>
        <v>13007.118065433855</v>
      </c>
      <c r="X11" s="1">
        <f>VLOOKUP($B11, '[1]Exp of flat'!$B$2:$X$31, $A$1, FALSE)</f>
        <v>3518</v>
      </c>
      <c r="Y11" s="1">
        <f>VLOOKUP($B11, '[1]Imp of flat'!$B$2:$X$31, $A$1, FALSE)</f>
        <v>1839</v>
      </c>
      <c r="Z11" s="1">
        <f>VLOOKUP($B11, '[1]Indirect exp'!$B$2:$X$31, $A$1, FALSE)</f>
        <v>2357</v>
      </c>
      <c r="AA11" s="1">
        <f>VLOOKUP($B11, '[1]Indirect imp'!$B$2:$X$31, $A$1, FALSE)</f>
        <v>3703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42728.454670010462</v>
      </c>
      <c r="D12" s="1">
        <f>VLOOKUP($B12, '[1]Pro of iron ore'!$B$2:$X$31, $A$1, FALSE)*(1-VLOOKUP($B12, '[1]Foundry share'!$B$2:$X$31, $A$1, FALSE))</f>
        <v>28058.001910222243</v>
      </c>
      <c r="E12" s="47">
        <f>VLOOKUP($B12, '[1]Iron content'!$B$2:$X$31, $A$1, FALSE)</f>
        <v>0.65665847564375246</v>
      </c>
      <c r="F12" s="1">
        <f>VLOOKUP($B12, '[1]Exp of usable iron ore'!$B$2:$X$31, $A$1, FALSE)*parameters!$B$12</f>
        <v>8531.25</v>
      </c>
      <c r="G12" s="1">
        <f>VLOOKUP($B12, '[1]Pro of pig iron'!$B$2:$X$31, $A$1, FALSE)*(1-VLOOKUP($B12, '[1]Foundry share'!$B$2:$X$31, $A$1, FALSE))</f>
        <v>2169.6423489697013</v>
      </c>
      <c r="H12" s="1">
        <f>VLOOKUP($B12, '[1]Exp of pig iron'!$B$2:$X$31, $A$1, FALSE)</f>
        <v>0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12834.330056166438</v>
      </c>
      <c r="K12" s="1">
        <f>VLOOKUP($B12, '[1]Exp of DRI'!$B$2:$X$31, $A$1, FALSE)</f>
        <v>0</v>
      </c>
      <c r="L12" s="1">
        <f>VLOOKUP($B12, '[1]Imp of DRI'!$B$2:$X$31, $A$1, FALSE)</f>
        <v>0</v>
      </c>
      <c r="M12" s="1">
        <f>VLOOKUP($B12, '[1]Exp of scrap'!$B$2:$X$31, $A$1, FALSE)</f>
        <v>0</v>
      </c>
      <c r="N12" s="1">
        <f>VLOOKUP($B12, '[1]Imp of scrap'!$B$2:$X$31, $A$1, FALSE)</f>
        <v>1</v>
      </c>
      <c r="O12" s="1">
        <f>VLOOKUP($B12, '[1]Pro of BOF steel'!$B$2:$X$31, $A$1, FALSE)</f>
        <v>2407</v>
      </c>
      <c r="P12" s="1">
        <f>VLOOKUP($B12, '[1]Pro of OHF steel'!$B$2:$X$31, $A$1, FALSE)</f>
        <v>0</v>
      </c>
      <c r="Q12" s="1">
        <f>VLOOKUP($B12, '[1]Pro of EAF steel'!$B$2:$X$31, $A$1, FALSE)</f>
        <v>13739</v>
      </c>
      <c r="R12" s="1">
        <f>VLOOKUP($B12, '[1]Exp of ingots and semis'!$B$2:$X$31, $A$1, FALSE)</f>
        <v>1353</v>
      </c>
      <c r="S12" s="1">
        <f>VLOOKUP($B12, '[1]Imp of ingots and semis'!$B$2:$X$31, $A$1, FALSE)</f>
        <v>142</v>
      </c>
      <c r="T12" s="1">
        <f>VLOOKUP($B12, '[1]Pro of hr long'!$B$2:$X$31, $A$1, FALSE)+VLOOKUP($B12, '[1]Pro of seamless tubes'!$B$2:$X$31, $A$1, FALSE)</f>
        <v>7261</v>
      </c>
      <c r="U12" s="1">
        <f>VLOOKUP($B12, '[1]Exp of long'!$B$2:$X$31, $A$1, FALSE)</f>
        <v>26</v>
      </c>
      <c r="V12" s="1">
        <f>VLOOKUP($B12, '[1]Imp of long'!$B$2:$X$31, $A$1, FALSE)</f>
        <v>592</v>
      </c>
      <c r="W12" s="1">
        <f>VLOOKUP($B12, '[1]Pro of hr flat'!$B$2:$X$31, $A$1, FALSE)*parameters!$B$8</f>
        <v>7648.0455192034142</v>
      </c>
      <c r="X12" s="1">
        <f>VLOOKUP($B12, '[1]Exp of flat'!$B$2:$X$31, $A$1, FALSE)</f>
        <v>1179</v>
      </c>
      <c r="Y12" s="1">
        <f>VLOOKUP($B12, '[1]Imp of flat'!$B$2:$X$31, $A$1, FALSE)</f>
        <v>4140</v>
      </c>
      <c r="Z12" s="1">
        <f>VLOOKUP($B12, '[1]Indirect exp'!$B$2:$X$31, $A$1, FALSE)</f>
        <v>55</v>
      </c>
      <c r="AA12" s="1">
        <f>VLOOKUP($B12, '[1]Indirect imp'!$B$2:$X$31, $A$1, FALSE)</f>
        <v>1788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5051</v>
      </c>
      <c r="H13" s="1">
        <f>VLOOKUP($B13, '[1]Exp of pig iron'!$B$2:$X$31, $A$1, FALSE)</f>
        <v>59</v>
      </c>
      <c r="I13" s="1">
        <f>VLOOKUP($B13, '[1]Imp of pig iron'!$B$2:$X$31, $A$1, FALSE)</f>
        <v>1671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1042</v>
      </c>
      <c r="M13" s="1">
        <f>VLOOKUP($B13, '[1]Exp of scrap'!$B$2:$X$31, $A$1, FALSE)</f>
        <v>309</v>
      </c>
      <c r="N13" s="1">
        <f>VLOOKUP($B13, '[1]Imp of scrap'!$B$2:$X$31, $A$1, FALSE)</f>
        <v>4643</v>
      </c>
      <c r="O13" s="1">
        <f>VLOOKUP($B13, '[1]Pro of BOF steel'!$B$2:$X$31, $A$1, FALSE)</f>
        <v>4791</v>
      </c>
      <c r="P13" s="1">
        <f>VLOOKUP($B13, '[1]Pro of OHF steel'!$B$2:$X$31, $A$1, FALSE)</f>
        <v>0</v>
      </c>
      <c r="Q13" s="1">
        <f>VLOOKUP($B13, '[1]Pro of EAF steel'!$B$2:$X$31, $A$1, FALSE)</f>
        <v>17227</v>
      </c>
      <c r="R13" s="1">
        <f>VLOOKUP($B13, '[1]Exp of ingots and semis'!$B$2:$X$31, $A$1, FALSE)</f>
        <v>461</v>
      </c>
      <c r="S13" s="1">
        <f>VLOOKUP($B13, '[1]Imp of ingots and semis'!$B$2:$X$31, $A$1, FALSE)</f>
        <v>3802</v>
      </c>
      <c r="T13" s="1">
        <f>VLOOKUP($B13, '[1]Pro of hr long'!$B$2:$X$31, $A$1, FALSE)+VLOOKUP($B13, '[1]Pro of seamless tubes'!$B$2:$X$31, $A$1, FALSE)</f>
        <v>11575</v>
      </c>
      <c r="U13" s="1">
        <f>VLOOKUP($B13, '[1]Exp of long'!$B$2:$X$31, $A$1, FALSE)</f>
        <v>5569</v>
      </c>
      <c r="V13" s="1">
        <f>VLOOKUP($B13, '[1]Imp of long'!$B$2:$X$31, $A$1, FALSE)</f>
        <v>2717</v>
      </c>
      <c r="W13" s="1">
        <f>VLOOKUP($B13, '[1]Pro of hr flat'!$B$2:$X$31, $A$1, FALSE)*parameters!$B$8</f>
        <v>10236.256045519203</v>
      </c>
      <c r="X13" s="1">
        <f>VLOOKUP($B13, '[1]Exp of flat'!$B$2:$X$31, $A$1, FALSE)</f>
        <v>6698</v>
      </c>
      <c r="Y13" s="1">
        <f>VLOOKUP($B13, '[1]Imp of flat'!$B$2:$X$31, $A$1, FALSE)</f>
        <v>12491</v>
      </c>
      <c r="Z13" s="1">
        <f>VLOOKUP($B13, '[1]Indirect exp'!$B$2:$X$31, $A$1, FALSE)</f>
        <v>13234</v>
      </c>
      <c r="AA13" s="1">
        <f>VLOOKUP($B13, '[1]Indirect imp'!$B$2:$X$31, $A$1, FALSE)</f>
        <v>7506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66900</v>
      </c>
      <c r="D14" s="1">
        <f>VLOOKUP($B14, '[1]Pro of iron ore'!$B$2:$X$31, $A$1, FALSE)*(1-VLOOKUP($B14, '[1]Foundry share'!$B$2:$X$31, $A$1, FALSE))</f>
        <v>41800</v>
      </c>
      <c r="E14" s="47">
        <f>VLOOKUP($B14, '[1]Iron content'!$B$2:$X$31, $A$1, FALSE)</f>
        <v>0.62481315396113601</v>
      </c>
      <c r="F14" s="1">
        <f>VLOOKUP($B14, '[1]Exp of usable iron ore'!$B$2:$X$31, $A$1, FALSE)*parameters!$B$12</f>
        <v>29674.45</v>
      </c>
      <c r="G14" s="1">
        <f>VLOOKUP($B14, '[1]Pro of pig iron'!$B$2:$X$31, $A$1, FALSE)*(1-VLOOKUP($B14, '[1]Foundry share'!$B$2:$X$31, $A$1, FALSE))</f>
        <v>21797</v>
      </c>
      <c r="H14" s="1">
        <f>VLOOKUP($B14, '[1]Exp of pig iron'!$B$2:$X$31, $A$1, FALSE)</f>
        <v>2152</v>
      </c>
      <c r="I14" s="1">
        <f>VLOOKUP($B14, '[1]Imp of pig iron'!$B$2:$X$31, $A$1, FALSE)</f>
        <v>3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11</v>
      </c>
      <c r="M14" s="1">
        <f>VLOOKUP($B14, '[1]Exp of scrap'!$B$2:$X$31, $A$1, FALSE)</f>
        <v>1208</v>
      </c>
      <c r="N14" s="1">
        <f>VLOOKUP($B14, '[1]Imp of scrap'!$B$2:$X$31, $A$1, FALSE)</f>
        <v>3</v>
      </c>
      <c r="O14" s="1">
        <f>VLOOKUP($B14, '[1]Pro of BOF steel'!$B$2:$X$31, $A$1, FALSE)</f>
        <v>16455</v>
      </c>
      <c r="P14" s="1">
        <f>VLOOKUP($B14, '[1]Pro of OHF steel'!$B$2:$X$31, $A$1, FALSE)</f>
        <v>5181</v>
      </c>
      <c r="Q14" s="1">
        <f>VLOOKUP($B14, '[1]Pro of EAF steel'!$B$2:$X$31, $A$1, FALSE)</f>
        <v>1293</v>
      </c>
      <c r="R14" s="1">
        <f>VLOOKUP($B14, '[1]Exp of ingots and semis'!$B$2:$X$31, $A$1, FALSE)</f>
        <v>7849</v>
      </c>
      <c r="S14" s="1">
        <f>VLOOKUP($B14, '[1]Imp of ingots and semis'!$B$2:$X$31, $A$1, FALSE)</f>
        <v>14</v>
      </c>
      <c r="T14" s="1">
        <f>VLOOKUP($B14, '[1]Pro of hr long'!$B$2:$X$31, $A$1, FALSE)+VLOOKUP($B14, '[1]Pro of seamless tubes'!$B$2:$X$31, $A$1, FALSE)</f>
        <v>6056</v>
      </c>
      <c r="U14" s="1">
        <f>VLOOKUP($B14, '[1]Exp of long'!$B$2:$X$31, $A$1, FALSE)</f>
        <v>4326</v>
      </c>
      <c r="V14" s="1">
        <f>VLOOKUP($B14, '[1]Imp of long'!$B$2:$X$31, $A$1, FALSE)</f>
        <v>207</v>
      </c>
      <c r="W14" s="1">
        <f>VLOOKUP($B14, '[1]Pro of hr flat'!$B$2:$X$31, $A$1, FALSE)*parameters!$B$8</f>
        <v>6134.3698435277383</v>
      </c>
      <c r="X14" s="1">
        <f>VLOOKUP($B14, '[1]Exp of flat'!$B$2:$X$31, $A$1, FALSE)</f>
        <v>4940</v>
      </c>
      <c r="Y14" s="1">
        <f>VLOOKUP($B14, '[1]Imp of flat'!$B$2:$X$31, $A$1, FALSE)</f>
        <v>530</v>
      </c>
      <c r="Z14" s="1">
        <f>VLOOKUP($B14, '[1]Indirect exp'!$B$2:$X$31, $A$1, FALSE)</f>
        <v>756</v>
      </c>
      <c r="AA14" s="1">
        <f>VLOOKUP($B14, '[1]Indirect imp'!$B$2:$X$31, $A$1, FALSE)</f>
        <v>825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21400</v>
      </c>
      <c r="D15" s="1">
        <f>VLOOKUP($B15, '[1]Pro of iron ore'!$B$2:$X$31, $A$1, FALSE)*(1-VLOOKUP($B15, '[1]Foundry share'!$B$2:$X$31, $A$1, FALSE))</f>
        <v>13462</v>
      </c>
      <c r="E15" s="47">
        <f>VLOOKUP($B15, '[1]Iron content'!$B$2:$X$31, $A$1, FALSE)</f>
        <v>0.62906542056074766</v>
      </c>
      <c r="F15" s="1">
        <f>VLOOKUP($B15, '[1]Exp of usable iron ore'!$B$2:$X$31, $A$1, FALSE)*parameters!$B$12</f>
        <v>114.4</v>
      </c>
      <c r="G15" s="1">
        <f>VLOOKUP($B15, '[1]Pro of pig iron'!$B$2:$X$31, $A$1, FALSE)*(1-VLOOKUP($B15, '[1]Foundry share'!$B$2:$X$31, $A$1, FALSE))</f>
        <v>4573</v>
      </c>
      <c r="H15" s="1">
        <f>VLOOKUP($B15, '[1]Exp of pig iron'!$B$2:$X$31, $A$1, FALSE)</f>
        <v>0</v>
      </c>
      <c r="I15" s="1">
        <f>VLOOKUP($B15, '[1]Imp of pig iron'!$B$2:$X$31, $A$1, FALSE)</f>
        <v>838</v>
      </c>
      <c r="J15" s="1">
        <f>VLOOKUP($B15, '[1]Pro of DRI'!$B$2:$X$31, $A$1, FALSE)*(1-VLOOKUP($B15, '[1]Foundry share'!$B$2:$X$31, $A$1, FALSE))</f>
        <v>5499</v>
      </c>
      <c r="K15" s="1">
        <f>VLOOKUP($B15, '[1]Exp of DRI'!$B$2:$X$31, $A$1, FALSE)</f>
        <v>0</v>
      </c>
      <c r="L15" s="1">
        <f>VLOOKUP($B15, '[1]Imp of DRI'!$B$2:$X$31, $A$1, FALSE)</f>
        <v>203</v>
      </c>
      <c r="M15" s="1">
        <f>VLOOKUP($B15, '[1]Exp of scrap'!$B$2:$X$31, $A$1, FALSE)</f>
        <v>459</v>
      </c>
      <c r="N15" s="1">
        <f>VLOOKUP($B15, '[1]Imp of scrap'!$B$2:$X$31, $A$1, FALSE)</f>
        <v>1483</v>
      </c>
      <c r="O15" s="1">
        <f>VLOOKUP($B15, '[1]Pro of BOF steel'!$B$2:$X$31, $A$1, FALSE)</f>
        <v>4978</v>
      </c>
      <c r="P15" s="1">
        <f>VLOOKUP($B15, '[1]Pro of OHF steel'!$B$2:$X$31, $A$1, FALSE)</f>
        <v>0</v>
      </c>
      <c r="Q15" s="1">
        <f>VLOOKUP($B15, '[1]Pro of EAF steel'!$B$2:$X$31, $A$1, FALSE)</f>
        <v>13240</v>
      </c>
      <c r="R15" s="1">
        <f>VLOOKUP($B15, '[1]Exp of ingots and semis'!$B$2:$X$31, $A$1, FALSE)</f>
        <v>707</v>
      </c>
      <c r="S15" s="1">
        <f>VLOOKUP($B15, '[1]Imp of ingots and semis'!$B$2:$X$31, $A$1, FALSE)</f>
        <v>520</v>
      </c>
      <c r="T15" s="1">
        <f>VLOOKUP($B15, '[1]Pro of hr long'!$B$2:$X$31, $A$1, FALSE)+VLOOKUP($B15, '[1]Pro of seamless tubes'!$B$2:$X$31, $A$1, FALSE)</f>
        <v>9040</v>
      </c>
      <c r="U15" s="1">
        <f>VLOOKUP($B15, '[1]Exp of long'!$B$2:$X$31, $A$1, FALSE)</f>
        <v>1229</v>
      </c>
      <c r="V15" s="1">
        <f>VLOOKUP($B15, '[1]Imp of long'!$B$2:$X$31, $A$1, FALSE)</f>
        <v>1815</v>
      </c>
      <c r="W15" s="1">
        <f>VLOOKUP($B15, '[1]Pro of hr flat'!$B$2:$X$31, $A$1, FALSE)*parameters!$B$8</f>
        <v>8290.24039829303</v>
      </c>
      <c r="X15" s="1">
        <f>VLOOKUP($B15, '[1]Exp of flat'!$B$2:$X$31, $A$1, FALSE)</f>
        <v>1007</v>
      </c>
      <c r="Y15" s="1">
        <f>VLOOKUP($B15, '[1]Imp of flat'!$B$2:$X$31, $A$1, FALSE)</f>
        <v>6773</v>
      </c>
      <c r="Z15" s="1">
        <f>VLOOKUP($B15, '[1]Indirect exp'!$B$2:$X$31, $A$1, FALSE)</f>
        <v>14326</v>
      </c>
      <c r="AA15" s="1">
        <f>VLOOKUP($B15, '[1]Indirect imp'!$B$2:$X$31, $A$1, FALSE)</f>
        <v>9664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5086</v>
      </c>
      <c r="D16" s="1">
        <f>VLOOKUP($B16, '[1]Pro of iron ore'!$B$2:$X$31, $A$1, FALSE)*(1-VLOOKUP($B16, '[1]Foundry share'!$B$2:$X$31, $A$1, FALSE))</f>
        <v>2691</v>
      </c>
      <c r="E16" s="47">
        <f>VLOOKUP($B16, '[1]Iron content'!$B$2:$X$31, $A$1, FALSE)</f>
        <v>0.52909948879276447</v>
      </c>
      <c r="F16" s="1">
        <f>VLOOKUP($B16, '[1]Exp of usable iron ore'!$B$2:$X$31, $A$1, FALSE)*parameters!$B$12</f>
        <v>172.9</v>
      </c>
      <c r="G16" s="1">
        <f>VLOOKUP($B16, '[1]Pro of pig iron'!$B$2:$X$31, $A$1, FALSE)*(1-VLOOKUP($B16, '[1]Foundry share'!$B$2:$X$31, $A$1, FALSE))</f>
        <v>1700</v>
      </c>
      <c r="H16" s="1">
        <f>VLOOKUP($B16, '[1]Exp of pig iron'!$B$2:$X$31, $A$1, FALSE)</f>
        <v>46</v>
      </c>
      <c r="I16" s="1">
        <f>VLOOKUP($B16, '[1]Imp of pig iron'!$B$2:$X$31, $A$1, FALSE)</f>
        <v>33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2466</v>
      </c>
      <c r="O16" s="1">
        <f>VLOOKUP($B16, '[1]Pro of BOF steel'!$B$2:$X$31, $A$1, FALSE)</f>
        <v>1409</v>
      </c>
      <c r="P16" s="1">
        <f>VLOOKUP($B16, '[1]Pro of OHF steel'!$B$2:$X$31, $A$1, FALSE)</f>
        <v>0</v>
      </c>
      <c r="Q16" s="1">
        <f>VLOOKUP($B16, '[1]Pro of EAF steel'!$B$2:$X$31, $A$1, FALSE)</f>
        <v>4238</v>
      </c>
      <c r="R16" s="1">
        <f>VLOOKUP($B16, '[1]Exp of ingots and semis'!$B$2:$X$31, $A$1, FALSE)</f>
        <v>25</v>
      </c>
      <c r="S16" s="1">
        <f>VLOOKUP($B16, '[1]Imp of ingots and semis'!$B$2:$X$31, $A$1, FALSE)</f>
        <v>591</v>
      </c>
      <c r="T16" s="1">
        <f>VLOOKUP($B16, '[1]Pro of hr long'!$B$2:$X$31, $A$1, FALSE)+VLOOKUP($B16, '[1]Pro of seamless tubes'!$B$2:$X$31, $A$1, FALSE)</f>
        <v>7199</v>
      </c>
      <c r="U16" s="1">
        <f>VLOOKUP($B16, '[1]Exp of long'!$B$2:$X$31, $A$1, FALSE)</f>
        <v>79</v>
      </c>
      <c r="V16" s="1">
        <f>VLOOKUP($B16, '[1]Imp of long'!$B$2:$X$31, $A$1, FALSE)</f>
        <v>4130</v>
      </c>
      <c r="W16" s="1">
        <f>VLOOKUP($B16, '[1]Pro of hr flat'!$B$2:$X$31, $A$1, FALSE)*parameters!$B$8</f>
        <v>0</v>
      </c>
      <c r="X16" s="1">
        <f>VLOOKUP($B16, '[1]Exp of flat'!$B$2:$X$31, $A$1, FALSE)</f>
        <v>1154</v>
      </c>
      <c r="Y16" s="1">
        <f>VLOOKUP($B16, '[1]Imp of flat'!$B$2:$X$31, $A$1, FALSE)</f>
        <v>11100</v>
      </c>
      <c r="Z16" s="1">
        <f>VLOOKUP($B16, '[1]Indirect exp'!$B$2:$X$31, $A$1, FALSE)</f>
        <v>874</v>
      </c>
      <c r="AA16" s="1">
        <f>VLOOKUP($B16, '[1]Indirect imp'!$B$2:$X$31, $A$1, FALSE)</f>
        <v>2027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65</v>
      </c>
      <c r="G17" s="1">
        <f>VLOOKUP($B17, '[1]Pro of pig iron'!$B$2:$X$31, $A$1, FALSE)*(1-VLOOKUP($B17, '[1]Foundry share'!$B$2:$X$31, $A$1, FALSE))</f>
        <v>10097</v>
      </c>
      <c r="H17" s="1">
        <f>VLOOKUP($B17, '[1]Exp of pig iron'!$B$2:$X$31, $A$1, FALSE)</f>
        <v>34</v>
      </c>
      <c r="I17" s="1">
        <f>VLOOKUP($B17, '[1]Imp of pig iron'!$B$2:$X$31, $A$1, FALSE)</f>
        <v>150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16</v>
      </c>
      <c r="L17" s="1">
        <f>VLOOKUP($B17, '[1]Imp of DRI'!$B$2:$X$31, $A$1, FALSE)</f>
        <v>74</v>
      </c>
      <c r="M17" s="1">
        <f>VLOOKUP($B17, '[1]Exp of scrap'!$B$2:$X$31, $A$1, FALSE)</f>
        <v>5380</v>
      </c>
      <c r="N17" s="1">
        <f>VLOOKUP($B17, '[1]Imp of scrap'!$B$2:$X$31, $A$1, FALSE)</f>
        <v>2247</v>
      </c>
      <c r="O17" s="1">
        <f>VLOOKUP($B17, '[1]Pro of BOF steel'!$B$2:$X$31, $A$1, FALSE)</f>
        <v>9825</v>
      </c>
      <c r="P17" s="1">
        <f>VLOOKUP($B17, '[1]Pro of OHF steel'!$B$2:$X$31, $A$1, FALSE)</f>
        <v>0</v>
      </c>
      <c r="Q17" s="1">
        <f>VLOOKUP($B17, '[1]Pro of EAF steel'!$B$2:$X$31, $A$1, FALSE)</f>
        <v>5159</v>
      </c>
      <c r="R17" s="1">
        <f>VLOOKUP($B17, '[1]Exp of ingots and semis'!$B$2:$X$31, $A$1, FALSE)</f>
        <v>767</v>
      </c>
      <c r="S17" s="1">
        <f>VLOOKUP($B17, '[1]Imp of ingots and semis'!$B$2:$X$31, $A$1, FALSE)</f>
        <v>2094</v>
      </c>
      <c r="T17" s="1">
        <f>VLOOKUP($B17, '[1]Pro of hr long'!$B$2:$X$31, $A$1, FALSE)+VLOOKUP($B17, '[1]Pro of seamless tubes'!$B$2:$X$31, $A$1, FALSE)</f>
        <v>4768</v>
      </c>
      <c r="U17" s="1">
        <f>VLOOKUP($B17, '[1]Exp of long'!$B$2:$X$31, $A$1, FALSE)</f>
        <v>2416</v>
      </c>
      <c r="V17" s="1">
        <f>VLOOKUP($B17, '[1]Imp of long'!$B$2:$X$31, $A$1, FALSE)</f>
        <v>2876</v>
      </c>
      <c r="W17" s="1">
        <f>VLOOKUP($B17, '[1]Pro of hr flat'!$B$2:$X$31, $A$1, FALSE)*parameters!$B$8</f>
        <v>10267.345661450925</v>
      </c>
      <c r="X17" s="1">
        <f>VLOOKUP($B17, '[1]Exp of flat'!$B$2:$X$31, $A$1, FALSE)</f>
        <v>10102</v>
      </c>
      <c r="Y17" s="1">
        <f>VLOOKUP($B17, '[1]Imp of flat'!$B$2:$X$31, $A$1, FALSE)</f>
        <v>7386</v>
      </c>
      <c r="Z17" s="1">
        <f>VLOOKUP($B17, '[1]Indirect exp'!$B$2:$X$31, $A$1, FALSE)</f>
        <v>8561</v>
      </c>
      <c r="AA17" s="1">
        <f>VLOOKUP($B17, '[1]Indirect imp'!$B$2:$X$31, $A$1, FALSE)</f>
        <v>12107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4450</v>
      </c>
      <c r="H18" s="1">
        <f>VLOOKUP($B18, '[1]Exp of pig iron'!$B$2:$X$31, $A$1, FALSE)</f>
        <v>5</v>
      </c>
      <c r="I18" s="1">
        <f>VLOOKUP($B18, '[1]Imp of pig iron'!$B$2:$X$31, $A$1, FALSE)</f>
        <v>247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3</v>
      </c>
      <c r="L18" s="1">
        <f>VLOOKUP($B18, '[1]Imp of DRI'!$B$2:$X$31, $A$1, FALSE)</f>
        <v>734</v>
      </c>
      <c r="M18" s="1">
        <f>VLOOKUP($B18, '[1]Exp of scrap'!$B$2:$X$31, $A$1, FALSE)</f>
        <v>345</v>
      </c>
      <c r="N18" s="1">
        <f>VLOOKUP($B18, '[1]Imp of scrap'!$B$2:$X$31, $A$1, FALSE)</f>
        <v>5030</v>
      </c>
      <c r="O18" s="1">
        <f>VLOOKUP($B18, '[1]Pro of BOF steel'!$B$2:$X$31, $A$1, FALSE)</f>
        <v>4701</v>
      </c>
      <c r="P18" s="1">
        <f>VLOOKUP($B18, '[1]Pro of OHF steel'!$B$2:$X$31, $A$1, FALSE)</f>
        <v>0</v>
      </c>
      <c r="Q18" s="1">
        <f>VLOOKUP($B18, '[1]Pro of EAF steel'!$B$2:$X$31, $A$1, FALSE)</f>
        <v>10144</v>
      </c>
      <c r="R18" s="1">
        <f>VLOOKUP($B18, '[1]Exp of ingots and semis'!$B$2:$X$31, $A$1, FALSE)</f>
        <v>151</v>
      </c>
      <c r="S18" s="1">
        <f>VLOOKUP($B18, '[1]Imp of ingots and semis'!$B$2:$X$31, $A$1, FALSE)</f>
        <v>843</v>
      </c>
      <c r="T18" s="1">
        <f>VLOOKUP($B18, '[1]Pro of hr long'!$B$2:$X$31, $A$1, FALSE)+VLOOKUP($B18, '[1]Pro of seamless tubes'!$B$2:$X$31, $A$1, FALSE)</f>
        <v>9270</v>
      </c>
      <c r="U18" s="1">
        <f>VLOOKUP($B18, '[1]Exp of long'!$B$2:$X$31, $A$1, FALSE)</f>
        <v>6184</v>
      </c>
      <c r="V18" s="1">
        <f>VLOOKUP($B18, '[1]Imp of long'!$B$2:$X$31, $A$1, FALSE)</f>
        <v>1143</v>
      </c>
      <c r="W18" s="1">
        <f>VLOOKUP($B18, '[1]Pro of hr flat'!$B$2:$X$31, $A$1, FALSE)*parameters!$B$8</f>
        <v>4593.4907539118067</v>
      </c>
      <c r="X18" s="1">
        <f>VLOOKUP($B18, '[1]Exp of flat'!$B$2:$X$31, $A$1, FALSE)</f>
        <v>2453</v>
      </c>
      <c r="Y18" s="1">
        <f>VLOOKUP($B18, '[1]Imp of flat'!$B$2:$X$31, $A$1, FALSE)</f>
        <v>6315</v>
      </c>
      <c r="Z18" s="1">
        <f>VLOOKUP($B18, '[1]Indirect exp'!$B$2:$X$31, $A$1, FALSE)</f>
        <v>9205</v>
      </c>
      <c r="AA18" s="1">
        <f>VLOOKUP($B18, '[1]Indirect imp'!$B$2:$X$31, $A$1, FALSE)</f>
        <v>7306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46220</v>
      </c>
      <c r="D19" s="1">
        <f>VLOOKUP($B19, '[1]Pro of iron ore'!$B$2:$X$31, $A$1, FALSE)*(1-VLOOKUP($B19, '[1]Foundry share'!$B$2:$X$31, $A$1, FALSE))</f>
        <v>27700</v>
      </c>
      <c r="E19" s="47">
        <f>VLOOKUP($B19, '[1]Iron content'!$B$2:$X$31, $A$1, FALSE)</f>
        <v>0.5993076590220684</v>
      </c>
      <c r="F19" s="1">
        <f>VLOOKUP($B19, '[1]Exp of usable iron ore'!$B$2:$X$31, $A$1, FALSE)*parameters!$B$12</f>
        <v>23961.600000000002</v>
      </c>
      <c r="G19" s="1">
        <f>VLOOKUP($B19, '[1]Pro of pig iron'!$B$2:$X$31, $A$1, FALSE)*(1-VLOOKUP($B19, '[1]Foundry share'!$B$2:$X$31, $A$1, FALSE))</f>
        <v>5851</v>
      </c>
      <c r="H19" s="1">
        <f>VLOOKUP($B19, '[1]Exp of pig iron'!$B$2:$X$31, $A$1, FALSE)</f>
        <v>16</v>
      </c>
      <c r="I19" s="1">
        <f>VLOOKUP($B19, '[1]Imp of pig iron'!$B$2:$X$31, $A$1, FALSE)</f>
        <v>57</v>
      </c>
      <c r="J19" s="1">
        <f>VLOOKUP($B19, '[1]Pro of DRI'!$B$2:$X$31, $A$1, FALSE)*(1-VLOOKUP($B19, '[1]Foundry share'!$B$2:$X$31, $A$1, FALSE))</f>
        <v>1502</v>
      </c>
      <c r="K19" s="1">
        <f>VLOOKUP($B19, '[1]Exp of DRI'!$B$2:$X$31, $A$1, FALSE)</f>
        <v>0</v>
      </c>
      <c r="L19" s="1">
        <f>VLOOKUP($B19, '[1]Imp of DRI'!$B$2:$X$31, $A$1, FALSE)</f>
        <v>5</v>
      </c>
      <c r="M19" s="1">
        <f>VLOOKUP($B19, '[1]Exp of scrap'!$B$2:$X$31, $A$1, FALSE)</f>
        <v>3415</v>
      </c>
      <c r="N19" s="1">
        <f>VLOOKUP($B19, '[1]Imp of scrap'!$B$2:$X$31, $A$1, FALSE)</f>
        <v>1516</v>
      </c>
      <c r="O19" s="1">
        <f>VLOOKUP($B19, '[1]Pro of BOF steel'!$B$2:$X$31, $A$1, FALSE)</f>
        <v>6715</v>
      </c>
      <c r="P19" s="1">
        <f>VLOOKUP($B19, '[1]Pro of OHF steel'!$B$2:$X$31, $A$1, FALSE)</f>
        <v>0</v>
      </c>
      <c r="Q19" s="1">
        <f>VLOOKUP($B19, '[1]Pro of EAF steel'!$B$2:$X$31, $A$1, FALSE)</f>
        <v>5757</v>
      </c>
      <c r="R19" s="1">
        <f>VLOOKUP($B19, '[1]Exp of ingots and semis'!$B$2:$X$31, $A$1, FALSE)</f>
        <v>205</v>
      </c>
      <c r="S19" s="1">
        <f>VLOOKUP($B19, '[1]Imp of ingots and semis'!$B$2:$X$31, $A$1, FALSE)</f>
        <v>267</v>
      </c>
      <c r="T19" s="1">
        <f>VLOOKUP($B19, '[1]Pro of hr long'!$B$2:$X$31, $A$1, FALSE)+VLOOKUP($B19, '[1]Pro of seamless tubes'!$B$2:$X$31, $A$1, FALSE)</f>
        <v>2968</v>
      </c>
      <c r="U19" s="1">
        <f>VLOOKUP($B19, '[1]Exp of long'!$B$2:$X$31, $A$1, FALSE)</f>
        <v>1625</v>
      </c>
      <c r="V19" s="1">
        <f>VLOOKUP($B19, '[1]Imp of long'!$B$2:$X$31, $A$1, FALSE)</f>
        <v>2539</v>
      </c>
      <c r="W19" s="1">
        <f>VLOOKUP($B19, '[1]Pro of hr flat'!$B$2:$X$31, $A$1, FALSE)*parameters!$B$8</f>
        <v>8727.4381223328583</v>
      </c>
      <c r="X19" s="1">
        <f>VLOOKUP($B19, '[1]Exp of flat'!$B$2:$X$31, $A$1, FALSE)</f>
        <v>3207</v>
      </c>
      <c r="Y19" s="1">
        <f>VLOOKUP($B19, '[1]Imp of flat'!$B$2:$X$31, $A$1, FALSE)</f>
        <v>3630</v>
      </c>
      <c r="Z19" s="1">
        <f>VLOOKUP($B19, '[1]Indirect exp'!$B$2:$X$31, $A$1, FALSE)</f>
        <v>5685</v>
      </c>
      <c r="AA19" s="1">
        <f>VLOOKUP($B19, '[1]Indirect imp'!$B$2:$X$31, $A$1, FALSE)</f>
        <v>11398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3056</v>
      </c>
      <c r="D20" s="1">
        <f>VLOOKUP($B20, '[1]Pro of iron ore'!$B$2:$X$31, $A$1, FALSE)*(1-VLOOKUP($B20, '[1]Foundry share'!$B$2:$X$31, $A$1, FALSE))</f>
        <v>1710</v>
      </c>
      <c r="E20" s="47">
        <f>VLOOKUP($B20, '[1]Iron content'!$B$2:$X$31, $A$1, FALSE)</f>
        <v>0.55955497382198949</v>
      </c>
      <c r="F20" s="1">
        <f>VLOOKUP($B20, '[1]Exp of usable iron ore'!$B$2:$X$31, $A$1, FALSE)*parameters!$B$12</f>
        <v>2034.5</v>
      </c>
      <c r="G20" s="1">
        <f>VLOOKUP($B20, '[1]Pro of pig iron'!$B$2:$X$31, $A$1, FALSE)*(1-VLOOKUP($B20, '[1]Foundry share'!$B$2:$X$31, $A$1, FALSE))</f>
        <v>2460</v>
      </c>
      <c r="H20" s="1">
        <f>VLOOKUP($B20, '[1]Exp of pig iron'!$B$2:$X$31, $A$1, FALSE)</f>
        <v>283</v>
      </c>
      <c r="I20" s="1">
        <f>VLOOKUP($B20, '[1]Imp of pig iron'!$B$2:$X$31, $A$1, FALSE)</f>
        <v>9</v>
      </c>
      <c r="J20" s="1">
        <f>VLOOKUP($B20, '[1]Pro of DRI'!$B$2:$X$31, $A$1, FALSE)*(1-VLOOKUP($B20, '[1]Foundry share'!$B$2:$X$31, $A$1, FALSE))</f>
        <v>53</v>
      </c>
      <c r="K20" s="1">
        <f>VLOOKUP($B20, '[1]Exp of DRI'!$B$2:$X$31, $A$1, FALSE)</f>
        <v>1</v>
      </c>
      <c r="L20" s="1">
        <f>VLOOKUP($B20, '[1]Imp of DRI'!$B$2:$X$31, $A$1, FALSE)</f>
        <v>34</v>
      </c>
      <c r="M20" s="1">
        <f>VLOOKUP($B20, '[1]Exp of scrap'!$B$2:$X$31, $A$1, FALSE)</f>
        <v>52</v>
      </c>
      <c r="N20" s="1">
        <f>VLOOKUP($B20, '[1]Imp of scrap'!$B$2:$X$31, $A$1, FALSE)</f>
        <v>1020</v>
      </c>
      <c r="O20" s="1">
        <f>VLOOKUP($B20, '[1]Pro of BOF steel'!$B$2:$X$31, $A$1, FALSE)</f>
        <v>2720</v>
      </c>
      <c r="P20" s="1">
        <f>VLOOKUP($B20, '[1]Pro of OHF steel'!$B$2:$X$31, $A$1, FALSE)</f>
        <v>0</v>
      </c>
      <c r="Q20" s="1">
        <f>VLOOKUP($B20, '[1]Pro of EAF steel'!$B$2:$X$31, $A$1, FALSE)</f>
        <v>2134</v>
      </c>
      <c r="R20" s="1">
        <f>VLOOKUP($B20, '[1]Exp of ingots and semis'!$B$2:$X$31, $A$1, FALSE)</f>
        <v>635</v>
      </c>
      <c r="S20" s="1">
        <f>VLOOKUP($B20, '[1]Imp of ingots and semis'!$B$2:$X$31, $A$1, FALSE)</f>
        <v>4574</v>
      </c>
      <c r="T20" s="1">
        <f>VLOOKUP($B20, '[1]Pro of hr long'!$B$2:$X$31, $A$1, FALSE)+VLOOKUP($B20, '[1]Pro of seamless tubes'!$B$2:$X$31, $A$1, FALSE)</f>
        <v>3196</v>
      </c>
      <c r="U20" s="1">
        <f>VLOOKUP($B20, '[1]Exp of long'!$B$2:$X$31, $A$1, FALSE)</f>
        <v>98</v>
      </c>
      <c r="V20" s="1">
        <f>VLOOKUP($B20, '[1]Imp of long'!$B$2:$X$31, $A$1, FALSE)</f>
        <v>1775</v>
      </c>
      <c r="W20" s="1">
        <f>VLOOKUP($B20, '[1]Pro of hr flat'!$B$2:$X$31, $A$1, FALSE)*parameters!$B$8</f>
        <v>2887.4480796586058</v>
      </c>
      <c r="X20" s="1">
        <f>VLOOKUP($B20, '[1]Exp of flat'!$B$2:$X$31, $A$1, FALSE)</f>
        <v>487</v>
      </c>
      <c r="Y20" s="1">
        <f>VLOOKUP($B20, '[1]Imp of flat'!$B$2:$X$31, $A$1, FALSE)</f>
        <v>4336</v>
      </c>
      <c r="Z20" s="1">
        <f>VLOOKUP($B20, '[1]Indirect exp'!$B$2:$X$31, $A$1, FALSE)</f>
        <v>1643</v>
      </c>
      <c r="AA20" s="1">
        <f>VLOOKUP($B20, '[1]Indirect imp'!$B$2:$X$31, $A$1, FALSE)</f>
        <v>4301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4821</v>
      </c>
      <c r="H21" s="1">
        <f>VLOOKUP($B21, '[1]Exp of pig iron'!$B$2:$X$31, $A$1, FALSE)</f>
        <v>0</v>
      </c>
      <c r="I21" s="1">
        <f>VLOOKUP($B21, '[1]Imp of pig iron'!$B$2:$X$31, $A$1, FALSE)</f>
        <v>237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1431</v>
      </c>
      <c r="N21" s="1">
        <f>VLOOKUP($B21, '[1]Imp of scrap'!$B$2:$X$31, $A$1, FALSE)</f>
        <v>745</v>
      </c>
      <c r="O21" s="1">
        <f>VLOOKUP($B21, '[1]Pro of BOF steel'!$B$2:$X$31, $A$1, FALSE)</f>
        <v>5321</v>
      </c>
      <c r="P21" s="1">
        <f>VLOOKUP($B21, '[1]Pro of OHF steel'!$B$2:$X$31, $A$1, FALSE)</f>
        <v>0</v>
      </c>
      <c r="Q21" s="1">
        <f>VLOOKUP($B21, '[1]Pro of EAF steel'!$B$2:$X$31, $A$1, FALSE)</f>
        <v>3877</v>
      </c>
      <c r="R21" s="1">
        <f>VLOOKUP($B21, '[1]Exp of ingots and semis'!$B$2:$X$31, $A$1, FALSE)</f>
        <v>674</v>
      </c>
      <c r="S21" s="1">
        <f>VLOOKUP($B21, '[1]Imp of ingots and semis'!$B$2:$X$31, $A$1, FALSE)</f>
        <v>238</v>
      </c>
      <c r="T21" s="1">
        <f>VLOOKUP($B21, '[1]Pro of hr long'!$B$2:$X$31, $A$1, FALSE)+VLOOKUP($B21, '[1]Pro of seamless tubes'!$B$2:$X$31, $A$1, FALSE)</f>
        <v>5065</v>
      </c>
      <c r="U21" s="1">
        <f>VLOOKUP($B21, '[1]Exp of long'!$B$2:$X$31, $A$1, FALSE)</f>
        <v>2528</v>
      </c>
      <c r="V21" s="1">
        <f>VLOOKUP($B21, '[1]Imp of long'!$B$2:$X$31, $A$1, FALSE)</f>
        <v>2129</v>
      </c>
      <c r="W21" s="1">
        <f>VLOOKUP($B21, '[1]Pro of hr flat'!$B$2:$X$31, $A$1, FALSE)*parameters!$B$8</f>
        <v>2805.8378378378379</v>
      </c>
      <c r="X21" s="1">
        <f>VLOOKUP($B21, '[1]Exp of flat'!$B$2:$X$31, $A$1, FALSE)</f>
        <v>1358</v>
      </c>
      <c r="Y21" s="1">
        <f>VLOOKUP($B21, '[1]Imp of flat'!$B$2:$X$31, $A$1, FALSE)</f>
        <v>6153</v>
      </c>
      <c r="Z21" s="1">
        <f>VLOOKUP($B21, '[1]Indirect exp'!$B$2:$X$31, $A$1, FALSE)</f>
        <v>9400</v>
      </c>
      <c r="AA21" s="1">
        <f>VLOOKUP($B21, '[1]Indirect imp'!$B$2:$X$31, $A$1, FALSE)</f>
        <v>6985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1500</v>
      </c>
      <c r="D22" s="1">
        <f>VLOOKUP($B22, '[1]Pro of iron ore'!$B$2:$X$31, $A$1, FALSE)*(1-VLOOKUP($B22, '[1]Foundry share'!$B$2:$X$31, $A$1, FALSE))</f>
        <v>938</v>
      </c>
      <c r="E22" s="47">
        <f>VLOOKUP($B22, '[1]Iron content'!$B$2:$X$31, $A$1, FALSE)</f>
        <v>0.6253333333333333</v>
      </c>
      <c r="F22" s="1">
        <f>VLOOKUP($B22, '[1]Exp of usable iron ore'!$B$2:$X$31, $A$1, FALSE)*parameters!$B$12</f>
        <v>103.35000000000001</v>
      </c>
      <c r="G22" s="1">
        <f>VLOOKUP($B22, '[1]Pro of pig iron'!$B$2:$X$31, $A$1, FALSE)*(1-VLOOKUP($B22, '[1]Foundry share'!$B$2:$X$31, $A$1, FALSE))</f>
        <v>500</v>
      </c>
      <c r="H22" s="1">
        <f>VLOOKUP($B22, '[1]Exp of pig iron'!$B$2:$X$31, $A$1, FALSE)</f>
        <v>0</v>
      </c>
      <c r="I22" s="1">
        <f>VLOOKUP($B22, '[1]Imp of pig iron'!$B$2:$X$31, $A$1, FALSE)</f>
        <v>177</v>
      </c>
      <c r="J22" s="1">
        <f>VLOOKUP($B22, '[1]Pro of DRI'!$B$2:$X$31, $A$1, FALSE)*(1-VLOOKUP($B22, '[1]Foundry share'!$B$2:$X$31, $A$1, FALSE))</f>
        <v>2451</v>
      </c>
      <c r="K22" s="1">
        <f>VLOOKUP($B22, '[1]Exp of DRI'!$B$2:$X$31, $A$1, FALSE)</f>
        <v>0</v>
      </c>
      <c r="L22" s="1">
        <f>VLOOKUP($B22, '[1]Imp of DRI'!$B$2:$X$31, $A$1, FALSE)</f>
        <v>0</v>
      </c>
      <c r="M22" s="1">
        <f>VLOOKUP($B22, '[1]Exp of scrap'!$B$2:$X$31, $A$1, FALSE)</f>
        <v>13</v>
      </c>
      <c r="N22" s="1">
        <f>VLOOKUP($B22, '[1]Imp of scrap'!$B$2:$X$31, $A$1, FALSE)</f>
        <v>928</v>
      </c>
      <c r="O22" s="1">
        <f>VLOOKUP($B22, '[1]Pro of BOF steel'!$B$2:$X$31, $A$1, FALSE)</f>
        <v>580</v>
      </c>
      <c r="P22" s="1">
        <f>VLOOKUP($B22, '[1]Pro of OHF steel'!$B$2:$X$31, $A$1, FALSE)</f>
        <v>0</v>
      </c>
      <c r="Q22" s="1">
        <f>VLOOKUP($B22, '[1]Pro of EAF steel'!$B$2:$X$31, $A$1, FALSE)</f>
        <v>4930</v>
      </c>
      <c r="R22" s="1">
        <f>VLOOKUP($B22, '[1]Exp of ingots and semis'!$B$2:$X$31, $A$1, FALSE)</f>
        <v>34</v>
      </c>
      <c r="S22" s="1">
        <f>VLOOKUP($B22, '[1]Imp of ingots and semis'!$B$2:$X$31, $A$1, FALSE)</f>
        <v>3570</v>
      </c>
      <c r="T22" s="1">
        <f>VLOOKUP($B22, '[1]Pro of hr long'!$B$2:$X$31, $A$1, FALSE)+VLOOKUP($B22, '[1]Pro of seamless tubes'!$B$2:$X$31, $A$1, FALSE)</f>
        <v>6986</v>
      </c>
      <c r="U22" s="1">
        <f>VLOOKUP($B22, '[1]Exp of long'!$B$2:$X$31, $A$1, FALSE)</f>
        <v>30</v>
      </c>
      <c r="V22" s="1">
        <f>VLOOKUP($B22, '[1]Imp of long'!$B$2:$X$31, $A$1, FALSE)</f>
        <v>2538</v>
      </c>
      <c r="W22" s="1">
        <f>VLOOKUP($B22, '[1]Pro of hr flat'!$B$2:$X$31, $A$1, FALSE)*parameters!$B$8</f>
        <v>669.39829302987198</v>
      </c>
      <c r="X22" s="1">
        <f>VLOOKUP($B22, '[1]Exp of flat'!$B$2:$X$31, $A$1, FALSE)</f>
        <v>135</v>
      </c>
      <c r="Y22" s="1">
        <f>VLOOKUP($B22, '[1]Imp of flat'!$B$2:$X$31, $A$1, FALSE)</f>
        <v>1375</v>
      </c>
      <c r="Z22" s="1">
        <f>VLOOKUP($B22, '[1]Indirect exp'!$B$2:$X$31, $A$1, FALSE)</f>
        <v>132</v>
      </c>
      <c r="AA22" s="1">
        <f>VLOOKUP($B22, '[1]Indirect imp'!$B$2:$X$31, $A$1, FALSE)</f>
        <v>1160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36</v>
      </c>
      <c r="J23" s="1">
        <f>VLOOKUP($B23, '[1]Pro of DRI'!$B$2:$X$31, $A$1, FALSE)*(1-VLOOKUP($B23, '[1]Foundry share'!$B$2:$X$31, $A$1, FALSE))</f>
        <v>3809.5258623430868</v>
      </c>
      <c r="K23" s="1">
        <f>VLOOKUP($B23, '[1]Exp of DRI'!$B$2:$X$31, $A$1, FALSE)</f>
        <v>10</v>
      </c>
      <c r="L23" s="1">
        <f>VLOOKUP($B23, '[1]Imp of DRI'!$B$2:$X$31, $A$1, FALSE)</f>
        <v>13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5229</v>
      </c>
      <c r="R23" s="1">
        <f>VLOOKUP($B23, '[1]Exp of ingots and semis'!$B$2:$X$31, $A$1, FALSE)</f>
        <v>7</v>
      </c>
      <c r="S23" s="1">
        <f>VLOOKUP($B23, '[1]Imp of ingots and semis'!$B$2:$X$31, $A$1, FALSE)</f>
        <v>1557</v>
      </c>
      <c r="T23" s="1">
        <f>VLOOKUP($B23, '[1]Pro of hr long'!$B$2:$X$31, $A$1, FALSE)+VLOOKUP($B23, '[1]Pro of seamless tubes'!$B$2:$X$31, $A$1, FALSE)</f>
        <v>3500</v>
      </c>
      <c r="U23" s="1">
        <f>VLOOKUP($B23, '[1]Exp of long'!$B$2:$X$31, $A$1, FALSE)</f>
        <v>1</v>
      </c>
      <c r="V23" s="1">
        <f>VLOOKUP($B23, '[1]Imp of long'!$B$2:$X$31, $A$1, FALSE)</f>
        <v>2092</v>
      </c>
      <c r="W23" s="1">
        <f>VLOOKUP($B23, '[1]Pro of hr flat'!$B$2:$X$31, $A$1, FALSE)*parameters!$B$8</f>
        <v>1943.1009957325746</v>
      </c>
      <c r="X23" s="1">
        <f>VLOOKUP($B23, '[1]Exp of flat'!$B$2:$X$31, $A$1, FALSE)</f>
        <v>58</v>
      </c>
      <c r="Y23" s="1">
        <f>VLOOKUP($B23, '[1]Imp of flat'!$B$2:$X$31, $A$1, FALSE)</f>
        <v>2815</v>
      </c>
      <c r="Z23" s="1">
        <f>VLOOKUP($B23, '[1]Indirect exp'!$B$2:$X$31, $A$1, FALSE)</f>
        <v>719</v>
      </c>
      <c r="AA23" s="1">
        <f>VLOOKUP($B23, '[1]Indirect imp'!$B$2:$X$31, $A$1, FALSE)</f>
        <v>6130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2783</v>
      </c>
      <c r="D24" s="1">
        <f>VLOOKUP($B24, '[1]Pro of iron ore'!$B$2:$X$31, $A$1, FALSE)*(1-VLOOKUP($B24, '[1]Foundry share'!$B$2:$X$31, $A$1, FALSE))</f>
        <v>891</v>
      </c>
      <c r="E24" s="47">
        <f>VLOOKUP($B24, '[1]Iron content'!$B$2:$X$31, $A$1, FALSE)</f>
        <v>0.3201581027667984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5805</v>
      </c>
      <c r="H24" s="1">
        <f>VLOOKUP($B24, '[1]Exp of pig iron'!$B$2:$X$31, $A$1, FALSE)</f>
        <v>2</v>
      </c>
      <c r="I24" s="1">
        <f>VLOOKUP($B24, '[1]Imp of pig iron'!$B$2:$X$31, $A$1, FALSE)</f>
        <v>62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29</v>
      </c>
      <c r="M24" s="1">
        <f>VLOOKUP($B24, '[1]Exp of scrap'!$B$2:$X$31, $A$1, FALSE)</f>
        <v>1051</v>
      </c>
      <c r="N24" s="1">
        <f>VLOOKUP($B24, '[1]Imp of scrap'!$B$2:$X$31, $A$1, FALSE)</f>
        <v>1098</v>
      </c>
      <c r="O24" s="1">
        <f>VLOOKUP($B24, '[1]Pro of BOF steel'!$B$2:$X$31, $A$1, FALSE)</f>
        <v>7020</v>
      </c>
      <c r="P24" s="1">
        <f>VLOOKUP($B24, '[1]Pro of OHF steel'!$B$2:$X$31, $A$1, FALSE)</f>
        <v>0</v>
      </c>
      <c r="Q24" s="1">
        <f>VLOOKUP($B24, '[1]Pro of EAF steel'!$B$2:$X$31, $A$1, FALSE)</f>
        <v>667</v>
      </c>
      <c r="R24" s="1">
        <f>VLOOKUP($B24, '[1]Exp of ingots and semis'!$B$2:$X$31, $A$1, FALSE)</f>
        <v>241</v>
      </c>
      <c r="S24" s="1">
        <f>VLOOKUP($B24, '[1]Imp of ingots and semis'!$B$2:$X$31, $A$1, FALSE)</f>
        <v>604</v>
      </c>
      <c r="T24" s="1">
        <f>VLOOKUP($B24, '[1]Pro of hr long'!$B$2:$X$31, $A$1, FALSE)+VLOOKUP($B24, '[1]Pro of seamless tubes'!$B$2:$X$31, $A$1, FALSE)</f>
        <v>1978</v>
      </c>
      <c r="U24" s="1">
        <f>VLOOKUP($B24, '[1]Exp of long'!$B$2:$X$31, $A$1, FALSE)</f>
        <v>1518</v>
      </c>
      <c r="V24" s="1">
        <f>VLOOKUP($B24, '[1]Imp of long'!$B$2:$X$31, $A$1, FALSE)</f>
        <v>1252</v>
      </c>
      <c r="W24" s="1">
        <f>VLOOKUP($B24, '[1]Pro of hr flat'!$B$2:$X$31, $A$1, FALSE)*parameters!$B$8</f>
        <v>5463.0284495021333</v>
      </c>
      <c r="X24" s="1">
        <f>VLOOKUP($B24, '[1]Exp of flat'!$B$2:$X$31, $A$1, FALSE)</f>
        <v>4978</v>
      </c>
      <c r="Y24" s="1">
        <f>VLOOKUP($B24, '[1]Imp of flat'!$B$2:$X$31, $A$1, FALSE)</f>
        <v>1933</v>
      </c>
      <c r="Z24" s="1">
        <f>VLOOKUP($B24, '[1]Indirect exp'!$B$2:$X$31, $A$1, FALSE)</f>
        <v>3685</v>
      </c>
      <c r="AA24" s="1">
        <f>VLOOKUP($B24, '[1]Indirect imp'!$B$2:$X$31, $A$1, FALSE)</f>
        <v>3781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3.9000000000000004</v>
      </c>
      <c r="G25" s="1">
        <f>VLOOKUP($B25, '[1]Pro of pig iron'!$B$2:$X$31, $A$1, FALSE)*(1-VLOOKUP($B25, '[1]Foundry share'!$B$2:$X$31, $A$1, FALSE))</f>
        <v>4248</v>
      </c>
      <c r="H25" s="1">
        <f>VLOOKUP($B25, '[1]Exp of pig iron'!$B$2:$X$31, $A$1, FALSE)</f>
        <v>144</v>
      </c>
      <c r="I25" s="1">
        <f>VLOOKUP($B25, '[1]Imp of pig iron'!$B$2:$X$31, $A$1, FALSE)</f>
        <v>182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0</v>
      </c>
      <c r="L25" s="1">
        <f>VLOOKUP($B25, '[1]Imp of DRI'!$B$2:$X$31, $A$1, FALSE)</f>
        <v>37</v>
      </c>
      <c r="M25" s="1">
        <f>VLOOKUP($B25, '[1]Exp of scrap'!$B$2:$X$31, $A$1, FALSE)</f>
        <v>3152</v>
      </c>
      <c r="N25" s="1">
        <f>VLOOKUP($B25, '[1]Imp of scrap'!$B$2:$X$31, $A$1, FALSE)</f>
        <v>4167</v>
      </c>
      <c r="O25" s="1">
        <f>VLOOKUP($B25, '[1]Pro of BOF steel'!$B$2:$X$31, $A$1, FALSE)</f>
        <v>4809</v>
      </c>
      <c r="P25" s="1">
        <f>VLOOKUP($B25, '[1]Pro of OHF steel'!$B$2:$X$31, $A$1, FALSE)</f>
        <v>0</v>
      </c>
      <c r="Q25" s="1">
        <f>VLOOKUP($B25, '[1]Pro of EAF steel'!$B$2:$X$31, $A$1, FALSE)</f>
        <v>2448</v>
      </c>
      <c r="R25" s="1">
        <f>VLOOKUP($B25, '[1]Exp of ingots and semis'!$B$2:$X$31, $A$1, FALSE)</f>
        <v>163</v>
      </c>
      <c r="S25" s="1">
        <f>VLOOKUP($B25, '[1]Imp of ingots and semis'!$B$2:$X$31, $A$1, FALSE)</f>
        <v>2180</v>
      </c>
      <c r="T25" s="1">
        <f>VLOOKUP($B25, '[1]Pro of hr long'!$B$2:$X$31, $A$1, FALSE)+VLOOKUP($B25, '[1]Pro of seamless tubes'!$B$2:$X$31, $A$1, FALSE)</f>
        <v>798</v>
      </c>
      <c r="U25" s="1">
        <f>VLOOKUP($B25, '[1]Exp of long'!$B$2:$X$31, $A$1, FALSE)</f>
        <v>1324</v>
      </c>
      <c r="V25" s="1">
        <f>VLOOKUP($B25, '[1]Imp of long'!$B$2:$X$31, $A$1, FALSE)</f>
        <v>1534</v>
      </c>
      <c r="W25" s="1">
        <f>VLOOKUP($B25, '[1]Pro of hr flat'!$B$2:$X$31, $A$1, FALSE)*parameters!$B$8</f>
        <v>7908.4210526315792</v>
      </c>
      <c r="X25" s="1">
        <f>VLOOKUP($B25, '[1]Exp of flat'!$B$2:$X$31, $A$1, FALSE)</f>
        <v>13394</v>
      </c>
      <c r="Y25" s="1">
        <f>VLOOKUP($B25, '[1]Imp of flat'!$B$2:$X$31, $A$1, FALSE)</f>
        <v>7809</v>
      </c>
      <c r="Z25" s="1">
        <f>VLOOKUP($B25, '[1]Indirect exp'!$B$2:$X$31, $A$1, FALSE)</f>
        <v>6826</v>
      </c>
      <c r="AA25" s="1">
        <f>VLOOKUP($B25, '[1]Indirect imp'!$B$2:$X$31, $A$1, FALSE)</f>
        <v>7108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0</v>
      </c>
      <c r="G26" s="1">
        <f>VLOOKUP($B26, '[1]Pro of pig iron'!$B$2:$X$31, $A$1, FALSE)*(1-VLOOKUP($B26, '[1]Foundry share'!$B$2:$X$31, $A$1, FALSE))</f>
        <v>8774</v>
      </c>
      <c r="H26" s="1">
        <f>VLOOKUP($B26, '[1]Exp of pig iron'!$B$2:$X$31, $A$1, FALSE)</f>
        <v>3</v>
      </c>
      <c r="I26" s="1">
        <f>VLOOKUP($B26, '[1]Imp of pig iron'!$B$2:$X$31, $A$1, FALSE)</f>
        <v>47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15</v>
      </c>
      <c r="M26" s="1">
        <f>VLOOKUP($B26, '[1]Exp of scrap'!$B$2:$X$31, $A$1, FALSE)</f>
        <v>7270</v>
      </c>
      <c r="N26" s="1">
        <f>VLOOKUP($B26, '[1]Imp of scrap'!$B$2:$X$31, $A$1, FALSE)</f>
        <v>302</v>
      </c>
      <c r="O26" s="1">
        <f>VLOOKUP($B26, '[1]Pro of BOF steel'!$B$2:$X$31, $A$1, FALSE)</f>
        <v>9051</v>
      </c>
      <c r="P26" s="1">
        <f>VLOOKUP($B26, '[1]Pro of OHF steel'!$B$2:$X$31, $A$1, FALSE)</f>
        <v>0</v>
      </c>
      <c r="Q26" s="1">
        <f>VLOOKUP($B26, '[1]Pro of EAF steel'!$B$2:$X$31, $A$1, FALSE)</f>
        <v>1856</v>
      </c>
      <c r="R26" s="1">
        <f>VLOOKUP($B26, '[1]Exp of ingots and semis'!$B$2:$X$31, $A$1, FALSE)</f>
        <v>2687</v>
      </c>
      <c r="S26" s="1">
        <f>VLOOKUP($B26, '[1]Imp of ingots and semis'!$B$2:$X$31, $A$1, FALSE)</f>
        <v>363</v>
      </c>
      <c r="T26" s="1">
        <f>VLOOKUP($B26, '[1]Pro of hr long'!$B$2:$X$31, $A$1, FALSE)+VLOOKUP($B26, '[1]Pro of seamless tubes'!$B$2:$X$31, $A$1, FALSE)</f>
        <v>3270</v>
      </c>
      <c r="U26" s="1">
        <f>VLOOKUP($B26, '[1]Exp of long'!$B$2:$X$31, $A$1, FALSE)</f>
        <v>1865</v>
      </c>
      <c r="V26" s="1">
        <f>VLOOKUP($B26, '[1]Imp of long'!$B$2:$X$31, $A$1, FALSE)</f>
        <v>2189</v>
      </c>
      <c r="W26" s="1">
        <f>VLOOKUP($B26, '[1]Pro of hr flat'!$B$2:$X$31, $A$1, FALSE)*parameters!$B$8</f>
        <v>4583.7752489331433</v>
      </c>
      <c r="X26" s="1">
        <f>VLOOKUP($B26, '[1]Exp of flat'!$B$2:$X$31, $A$1, FALSE)</f>
        <v>2118</v>
      </c>
      <c r="Y26" s="1">
        <f>VLOOKUP($B26, '[1]Imp of flat'!$B$2:$X$31, $A$1, FALSE)</f>
        <v>3615</v>
      </c>
      <c r="Z26" s="1">
        <f>VLOOKUP($B26, '[1]Indirect exp'!$B$2:$X$31, $A$1, FALSE)</f>
        <v>5815</v>
      </c>
      <c r="AA26" s="1">
        <f>VLOOKUP($B26, '[1]Indirect imp'!$B$2:$X$31, $A$1, FALSE)</f>
        <v>11853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15185.300000000001</v>
      </c>
      <c r="G27" s="1">
        <f>VLOOKUP($B27, '[1]Pro of pig iron'!$B$2:$X$31, $A$1, FALSE)*(1-VLOOKUP($B27, '[1]Foundry share'!$B$2:$X$31, $A$1, FALSE))</f>
        <v>5570.829455959537</v>
      </c>
      <c r="H27" s="1">
        <f>VLOOKUP($B27, '[1]Exp of pig iron'!$B$2:$X$31, $A$1, FALSE)</f>
        <v>220</v>
      </c>
      <c r="I27" s="1">
        <f>VLOOKUP($B27, '[1]Imp of pig iron'!$B$2:$X$31, $A$1, FALSE)</f>
        <v>401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13</v>
      </c>
      <c r="L27" s="1">
        <f>VLOOKUP($B27, '[1]Imp of DRI'!$B$2:$X$31, $A$1, FALSE)</f>
        <v>82</v>
      </c>
      <c r="M27" s="1">
        <f>VLOOKUP($B27, '[1]Exp of scrap'!$B$2:$X$31, $A$1, FALSE)</f>
        <v>4055</v>
      </c>
      <c r="N27" s="1">
        <f>VLOOKUP($B27, '[1]Imp of scrap'!$B$2:$X$31, $A$1, FALSE)</f>
        <v>1641</v>
      </c>
      <c r="O27" s="1">
        <f>VLOOKUP($B27, '[1]Pro of BOF steel'!$B$2:$X$31, $A$1, FALSE)</f>
        <v>6888</v>
      </c>
      <c r="P27" s="1">
        <f>VLOOKUP($B27, '[1]Pro of OHF steel'!$B$2:$X$31, $A$1, FALSE)</f>
        <v>0</v>
      </c>
      <c r="Q27" s="1">
        <f>VLOOKUP($B27, '[1]Pro of EAF steel'!$B$2:$X$31, $A$1, FALSE)</f>
        <v>107</v>
      </c>
      <c r="R27" s="1">
        <f>VLOOKUP($B27, '[1]Exp of ingots and semis'!$B$2:$X$31, $A$1, FALSE)</f>
        <v>785</v>
      </c>
      <c r="S27" s="1">
        <f>VLOOKUP($B27, '[1]Imp of ingots and semis'!$B$2:$X$31, $A$1, FALSE)</f>
        <v>750</v>
      </c>
      <c r="T27" s="1">
        <f>VLOOKUP($B27, '[1]Pro of hr long'!$B$2:$X$31, $A$1, FALSE)+VLOOKUP($B27, '[1]Pro of seamless tubes'!$B$2:$X$31, $A$1, FALSE)</f>
        <v>174</v>
      </c>
      <c r="U27" s="1">
        <f>VLOOKUP($B27, '[1]Exp of long'!$B$2:$X$31, $A$1, FALSE)</f>
        <v>738</v>
      </c>
      <c r="V27" s="1">
        <f>VLOOKUP($B27, '[1]Imp of long'!$B$2:$X$31, $A$1, FALSE)</f>
        <v>2096</v>
      </c>
      <c r="W27" s="1">
        <f>VLOOKUP($B27, '[1]Pro of hr flat'!$B$2:$X$31, $A$1, FALSE)*parameters!$B$8</f>
        <v>6461.7823613086766</v>
      </c>
      <c r="X27" s="1">
        <f>VLOOKUP($B27, '[1]Exp of flat'!$B$2:$X$31, $A$1, FALSE)</f>
        <v>8481</v>
      </c>
      <c r="Y27" s="1">
        <f>VLOOKUP($B27, '[1]Imp of flat'!$B$2:$X$31, $A$1, FALSE)</f>
        <v>3343</v>
      </c>
      <c r="Z27" s="1">
        <f>VLOOKUP($B27, '[1]Indirect exp'!$B$2:$X$31, $A$1, FALSE)</f>
        <v>5594</v>
      </c>
      <c r="AA27" s="1">
        <f>VLOOKUP($B27, '[1]Indirect imp'!$B$2:$X$31, $A$1, FALSE)</f>
        <v>6270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809882</v>
      </c>
      <c r="D28" s="1">
        <f>VLOOKUP($B28, '[1]Pro of iron ore'!$B$2:$X$31, $A$1, FALSE)*(1-VLOOKUP($B28, '[1]Foundry share'!$B$2:$X$31, $A$1, FALSE))</f>
        <v>500994</v>
      </c>
      <c r="E28" s="47">
        <f>VLOOKUP($B28, '[1]Iron content'!$B$2:$X$31, $A$1, FALSE)</f>
        <v>0.61860122832708964</v>
      </c>
      <c r="F28" s="1">
        <f>VLOOKUP($B28, '[1]Exp of usable iron ore'!$B$2:$X$31, $A$1, FALSE)*parameters!$B$12</f>
        <v>526843.85</v>
      </c>
      <c r="G28" s="1">
        <f>VLOOKUP($B28, '[1]Pro of pig iron'!$B$2:$X$31, $A$1, FALSE)*(1-VLOOKUP($B28, '[1]Foundry share'!$B$2:$X$31, $A$1, FALSE))</f>
        <v>3594</v>
      </c>
      <c r="H28" s="1">
        <f>VLOOKUP($B28, '[1]Exp of pig iron'!$B$2:$X$31, $A$1, FALSE)</f>
        <v>0</v>
      </c>
      <c r="I28" s="1">
        <f>VLOOKUP($B28, '[1]Imp of pig iron'!$B$2:$X$31, $A$1, FALSE)</f>
        <v>12</v>
      </c>
      <c r="J28" s="1">
        <f>VLOOKUP($B28, '[1]Pro of DRI'!$B$2:$X$31, $A$1, FALSE)*(1-VLOOKUP($B28, '[1]Foundry share'!$B$2:$X$31, $A$1, FALSE))</f>
        <v>0</v>
      </c>
      <c r="K28" s="1">
        <f>VLOOKUP($B28, '[1]Exp of DRI'!$B$2:$X$31, $A$1, FALSE)</f>
        <v>0</v>
      </c>
      <c r="L28" s="1">
        <f>VLOOKUP($B28, '[1]Imp of DRI'!$B$2:$X$31, $A$1, FALSE)</f>
        <v>0</v>
      </c>
      <c r="M28" s="1">
        <f>VLOOKUP($B28, '[1]Exp of scrap'!$B$2:$X$31, $A$1, FALSE)</f>
        <v>1898</v>
      </c>
      <c r="N28" s="1">
        <f>VLOOKUP($B28, '[1]Imp of scrap'!$B$2:$X$31, $A$1, FALSE)</f>
        <v>22</v>
      </c>
      <c r="O28" s="1">
        <f>VLOOKUP($B28, '[1]Pro of BOF steel'!$B$2:$X$31, $A$1, FALSE)</f>
        <v>3797</v>
      </c>
      <c r="P28" s="1">
        <f>VLOOKUP($B28, '[1]Pro of OHF steel'!$B$2:$X$31, $A$1, FALSE)</f>
        <v>0</v>
      </c>
      <c r="Q28" s="1">
        <f>VLOOKUP($B28, '[1]Pro of EAF steel'!$B$2:$X$31, $A$1, FALSE)</f>
        <v>1127</v>
      </c>
      <c r="R28" s="1">
        <f>VLOOKUP($B28, '[1]Exp of ingots and semis'!$B$2:$X$31, $A$1, FALSE)</f>
        <v>49</v>
      </c>
      <c r="S28" s="1">
        <f>VLOOKUP($B28, '[1]Imp of ingots and semis'!$B$2:$X$31, $A$1, FALSE)</f>
        <v>2</v>
      </c>
      <c r="T28" s="1">
        <f>VLOOKUP($B28, '[1]Pro of hr long'!$B$2:$X$31, $A$1, FALSE)+VLOOKUP($B28, '[1]Pro of seamless tubes'!$B$2:$X$31, $A$1, FALSE)</f>
        <v>1679</v>
      </c>
      <c r="U28" s="1">
        <f>VLOOKUP($B28, '[1]Exp of long'!$B$2:$X$31, $A$1, FALSE)</f>
        <v>128</v>
      </c>
      <c r="V28" s="1">
        <f>VLOOKUP($B28, '[1]Imp of long'!$B$2:$X$31, $A$1, FALSE)</f>
        <v>806</v>
      </c>
      <c r="W28" s="1">
        <f>VLOOKUP($B28, '[1]Pro of hr flat'!$B$2:$X$31, $A$1, FALSE)*parameters!$B$8</f>
        <v>2553.2347083926029</v>
      </c>
      <c r="X28" s="1">
        <f>VLOOKUP($B28, '[1]Exp of flat'!$B$2:$X$31, $A$1, FALSE)</f>
        <v>579</v>
      </c>
      <c r="Y28" s="1">
        <f>VLOOKUP($B28, '[1]Imp of flat'!$B$2:$X$31, $A$1, FALSE)</f>
        <v>714</v>
      </c>
      <c r="Z28" s="1">
        <f>VLOOKUP($B28, '[1]Indirect exp'!$B$2:$X$31, $A$1, FALSE)</f>
        <v>890</v>
      </c>
      <c r="AA28" s="1">
        <f>VLOOKUP($B28, '[1]Indirect imp'!$B$2:$X$31, $A$1, FALSE)</f>
        <v>5827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72806</v>
      </c>
      <c r="D29" s="1">
        <f>VLOOKUP($B29, '[1]Pro of iron ore'!$B$2:$X$31, $A$1, FALSE)*(1-VLOOKUP($B29, '[1]Foundry share'!$B$2:$X$31, $A$1, FALSE))</f>
        <v>46000</v>
      </c>
      <c r="E29" s="47">
        <f>VLOOKUP($B29, '[1]Iron content'!$B$2:$X$31, $A$1, FALSE)</f>
        <v>0.63181605911600691</v>
      </c>
      <c r="F29" s="1">
        <f>VLOOKUP($B29, '[1]Exp of usable iron ore'!$B$2:$X$31, $A$1, FALSE)*parameters!$B$12</f>
        <v>42415.1</v>
      </c>
      <c r="G29" s="1">
        <f>VLOOKUP($B29, '[1]Pro of pig iron'!$B$2:$X$31, $A$1, FALSE)*(1-VLOOKUP($B29, '[1]Foundry share'!$B$2:$X$31, $A$1, FALSE))</f>
        <v>4464</v>
      </c>
      <c r="H29" s="1">
        <f>VLOOKUP($B29, '[1]Exp of pig iron'!$B$2:$X$31, $A$1, FALSE)</f>
        <v>434</v>
      </c>
      <c r="I29" s="1">
        <f>VLOOKUP($B29, '[1]Imp of pig iron'!$B$2:$X$31, $A$1, FALSE)</f>
        <v>0</v>
      </c>
      <c r="J29" s="1">
        <f>VLOOKUP($B29, '[1]Pro of DRI'!$B$2:$X$31, $A$1, FALSE)*(1-VLOOKUP($B29, '[1]Foundry share'!$B$2:$X$31, $A$1, FALSE))</f>
        <v>1125</v>
      </c>
      <c r="K29" s="1">
        <f>VLOOKUP($B29, '[1]Exp of DRI'!$B$2:$X$31, $A$1, FALSE)</f>
        <v>63</v>
      </c>
      <c r="L29" s="1">
        <f>VLOOKUP($B29, '[1]Imp of DRI'!$B$2:$X$31, $A$1, FALSE)</f>
        <v>0</v>
      </c>
      <c r="M29" s="1">
        <f>VLOOKUP($B29, '[1]Exp of scrap'!$B$2:$X$31, $A$1, FALSE)</f>
        <v>1266</v>
      </c>
      <c r="N29" s="1">
        <f>VLOOKUP($B29, '[1]Imp of scrap'!$B$2:$X$31, $A$1, FALSE)</f>
        <v>74</v>
      </c>
      <c r="O29" s="1">
        <f>VLOOKUP($B29, '[1]Pro of BOF steel'!$B$2:$X$31, $A$1, FALSE)</f>
        <v>3908</v>
      </c>
      <c r="P29" s="1">
        <f>VLOOKUP($B29, '[1]Pro of OHF steel'!$B$2:$X$31, $A$1, FALSE)</f>
        <v>0</v>
      </c>
      <c r="Q29" s="1">
        <f>VLOOKUP($B29, '[1]Pro of EAF steel'!$B$2:$X$31, $A$1, FALSE)</f>
        <v>2510</v>
      </c>
      <c r="R29" s="1">
        <f>VLOOKUP($B29, '[1]Exp of ingots and semis'!$B$2:$X$31, $A$1, FALSE)</f>
        <v>154</v>
      </c>
      <c r="S29" s="1">
        <f>VLOOKUP($B29, '[1]Imp of ingots and semis'!$B$2:$X$31, $A$1, FALSE)</f>
        <v>32</v>
      </c>
      <c r="T29" s="1">
        <f>VLOOKUP($B29, '[1]Pro of hr long'!$B$2:$X$31, $A$1, FALSE)+VLOOKUP($B29, '[1]Pro of seamless tubes'!$B$2:$X$31, $A$1, FALSE)</f>
        <v>2300</v>
      </c>
      <c r="U29" s="1">
        <f>VLOOKUP($B29, '[1]Exp of long'!$B$2:$X$31, $A$1, FALSE)</f>
        <v>494</v>
      </c>
      <c r="V29" s="1">
        <f>VLOOKUP($B29, '[1]Imp of long'!$B$2:$X$31, $A$1, FALSE)</f>
        <v>349</v>
      </c>
      <c r="W29" s="1">
        <f>VLOOKUP($B29, '[1]Pro of hr flat'!$B$2:$X$31, $A$1, FALSE)*parameters!$B$8</f>
        <v>3303.2716927453771</v>
      </c>
      <c r="X29" s="1">
        <f>VLOOKUP($B29, '[1]Exp of flat'!$B$2:$X$31, $A$1, FALSE)</f>
        <v>1360</v>
      </c>
      <c r="Y29" s="1">
        <f>VLOOKUP($B29, '[1]Imp of flat'!$B$2:$X$31, $A$1, FALSE)</f>
        <v>1149</v>
      </c>
      <c r="Z29" s="1">
        <f>VLOOKUP($B29, '[1]Indirect exp'!$B$2:$X$31, $A$1, FALSE)</f>
        <v>1518</v>
      </c>
      <c r="AA29" s="1">
        <f>VLOOKUP($B29, '[1]Indirect imp'!$B$2:$X$31, $A$1, FALSE)</f>
        <v>1621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1625</v>
      </c>
      <c r="D30" s="1">
        <f>VLOOKUP($B30, '[1]Pro of iron ore'!$B$2:$X$31, $A$1, FALSE)*(1-VLOOKUP($B30, '[1]Foundry share'!$B$2:$X$31, $A$1, FALSE))</f>
        <v>1020</v>
      </c>
      <c r="E30" s="47">
        <f>VLOOKUP($B30, '[1]Iron content'!$B$2:$X$31, $A$1, FALSE)</f>
        <v>0.62769230769230766</v>
      </c>
      <c r="F30" s="1">
        <f>VLOOKUP($B30, '[1]Exp of usable iron ore'!$B$2:$X$31, $A$1, FALSE)*parameters!$B$12</f>
        <v>8620.3000000000011</v>
      </c>
      <c r="G30" s="1">
        <f>VLOOKUP($B30, '[1]Pro of pig iron'!$B$2:$X$31, $A$1, FALSE)*(1-VLOOKUP($B30, '[1]Foundry share'!$B$2:$X$31, $A$1, FALSE))</f>
        <v>477</v>
      </c>
      <c r="H30" s="1">
        <f>VLOOKUP($B30, '[1]Exp of pig iron'!$B$2:$X$31, $A$1, FALSE)</f>
        <v>0</v>
      </c>
      <c r="I30" s="1">
        <f>VLOOKUP($B30, '[1]Imp of pig iron'!$B$2:$X$31, $A$1, FALSE)</f>
        <v>16</v>
      </c>
      <c r="J30" s="1">
        <f>VLOOKUP($B30, '[1]Pro of DRI'!$B$2:$X$31, $A$1, FALSE)*(1-VLOOKUP($B30, '[1]Foundry share'!$B$2:$X$31, $A$1, FALSE))</f>
        <v>957</v>
      </c>
      <c r="K30" s="1">
        <f>VLOOKUP($B30, '[1]Exp of DRI'!$B$2:$X$31, $A$1, FALSE)</f>
        <v>391</v>
      </c>
      <c r="L30" s="1">
        <f>VLOOKUP($B30, '[1]Imp of DRI'!$B$2:$X$31, $A$1, FALSE)</f>
        <v>54</v>
      </c>
      <c r="M30" s="1">
        <f>VLOOKUP($B30, '[1]Exp of scrap'!$B$2:$X$31, $A$1, FALSE)</f>
        <v>47</v>
      </c>
      <c r="N30" s="1">
        <f>VLOOKUP($B30, '[1]Imp of scrap'!$B$2:$X$31, $A$1, FALSE)</f>
        <v>446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3784</v>
      </c>
      <c r="R30" s="1">
        <f>VLOOKUP($B30, '[1]Exp of ingots and semis'!$B$2:$X$31, $A$1, FALSE)</f>
        <v>118</v>
      </c>
      <c r="S30" s="1">
        <f>VLOOKUP($B30, '[1]Imp of ingots and semis'!$B$2:$X$31, $A$1, FALSE)</f>
        <v>171</v>
      </c>
      <c r="T30" s="1">
        <f>VLOOKUP($B30, '[1]Pro of hr long'!$B$2:$X$31, $A$1, FALSE)+VLOOKUP($B30, '[1]Pro of seamless tubes'!$B$2:$X$31, $A$1, FALSE)</f>
        <v>3340</v>
      </c>
      <c r="U30" s="1">
        <f>VLOOKUP($B30, '[1]Exp of long'!$B$2:$X$31, $A$1, FALSE)</f>
        <v>378</v>
      </c>
      <c r="V30" s="1">
        <f>VLOOKUP($B30, '[1]Imp of long'!$B$2:$X$31, $A$1, FALSE)</f>
        <v>3454</v>
      </c>
      <c r="W30" s="1">
        <f>VLOOKUP($B30, '[1]Pro of hr flat'!$B$2:$X$31, $A$1, FALSE)*parameters!$B$8</f>
        <v>861.76529160739688</v>
      </c>
      <c r="X30" s="1">
        <f>VLOOKUP($B30, '[1]Exp of flat'!$B$2:$X$31, $A$1, FALSE)</f>
        <v>495</v>
      </c>
      <c r="Y30" s="1">
        <f>VLOOKUP($B30, '[1]Imp of flat'!$B$2:$X$31, $A$1, FALSE)</f>
        <v>3748</v>
      </c>
      <c r="Z30" s="1">
        <f>VLOOKUP($B30, '[1]Indirect exp'!$B$2:$X$31, $A$1, FALSE)</f>
        <v>1895</v>
      </c>
      <c r="AA30" s="1">
        <f>VLOOKUP($B30, '[1]Indirect imp'!$B$2:$X$31, $A$1, FALSE)</f>
        <v>2415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16</v>
      </c>
      <c r="D31" s="1">
        <f>VLOOKUP($B31, '[1]Pro of iron ore'!$B$2:$X$31, $A$1, FALSE)*(1-VLOOKUP($B31, '[1]Foundry share'!$B$2:$X$31, $A$1, FALSE))</f>
        <v>10</v>
      </c>
      <c r="E31" s="47">
        <f>VLOOKUP($B31, '[1]Iron content'!$B$2:$X$31, $A$1, FALSE)</f>
        <v>0.625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1</v>
      </c>
      <c r="I31" s="1">
        <f>VLOOKUP($B31, '[1]Imp of pig iron'!$B$2:$X$31, $A$1, FALSE)</f>
        <v>371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397</v>
      </c>
      <c r="N31" s="1">
        <f>VLOOKUP($B31, '[1]Imp of scrap'!$B$2:$X$31, $A$1, FALSE)</f>
        <v>945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5069</v>
      </c>
      <c r="R31" s="1">
        <f>VLOOKUP($B31, '[1]Exp of ingots and semis'!$B$2:$X$31, $A$1, FALSE)</f>
        <v>4</v>
      </c>
      <c r="S31" s="1">
        <f>VLOOKUP($B31, '[1]Imp of ingots and semis'!$B$2:$X$31, $A$1, FALSE)</f>
        <v>3171</v>
      </c>
      <c r="T31" s="1">
        <f>VLOOKUP($B31, '[1]Pro of hr long'!$B$2:$X$31, $A$1, FALSE)+VLOOKUP($B31, '[1]Pro of seamless tubes'!$B$2:$X$31, $A$1, FALSE)</f>
        <v>5133</v>
      </c>
      <c r="U31" s="1">
        <f>VLOOKUP($B31, '[1]Exp of long'!$B$2:$X$31, $A$1, FALSE)</f>
        <v>768</v>
      </c>
      <c r="V31" s="1">
        <f>VLOOKUP($B31, '[1]Imp of long'!$B$2:$X$31, $A$1, FALSE)</f>
        <v>2623</v>
      </c>
      <c r="W31" s="1">
        <f>VLOOKUP($B31, '[1]Pro of hr flat'!$B$2:$X$31, $A$1, FALSE)*parameters!$B$8</f>
        <v>2630.9587482219063</v>
      </c>
      <c r="X31" s="1">
        <f>VLOOKUP($B31, '[1]Exp of flat'!$B$2:$X$31, $A$1, FALSE)</f>
        <v>211</v>
      </c>
      <c r="Y31" s="1">
        <f>VLOOKUP($B31, '[1]Imp of flat'!$B$2:$X$31, $A$1, FALSE)</f>
        <v>8135</v>
      </c>
      <c r="Z31" s="1">
        <f>VLOOKUP($B31, '[1]Indirect exp'!$B$2:$X$31, $A$1, FALSE)</f>
        <v>4968</v>
      </c>
      <c r="AA31" s="1">
        <f>VLOOKUP($B31, '[1]Indirect imp'!$B$2:$X$31, $A$1, FALSE)</f>
        <v>3319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24500</v>
      </c>
      <c r="D32" s="1">
        <f>VLOOKUP($B32, '[1]Pro of iron ore'!$B$2:$X$31, $A$1, FALSE)*(1-VLOOKUP($B32, '[1]Foundry share'!$B$2:$X$31, $A$1, FALSE))</f>
        <v>15200</v>
      </c>
      <c r="E32" s="47">
        <f>VLOOKUP($B32, '[1]Iron content'!$B$2:$X$31, $A$1, FALSE)</f>
        <v>0.62040816326530612</v>
      </c>
      <c r="F32" s="1">
        <f>VLOOKUP($B32, '[1]Exp of usable iron ore'!$B$2:$X$31, $A$1, FALSE)*parameters!$B$12</f>
        <v>13058.5</v>
      </c>
      <c r="G32" s="1">
        <f>VLOOKUP($B32, '[1]Pro of pig iron'!$B$2:$X$31, $A$1, FALSE)*(1-VLOOKUP($B32, '[1]Foundry share'!$B$2:$X$31, $A$1, FALSE))</f>
        <v>2865</v>
      </c>
      <c r="H32" s="1">
        <f>VLOOKUP($B32, '[1]Exp of pig iron'!$B$2:$X$31, $A$1, FALSE)</f>
        <v>77</v>
      </c>
      <c r="I32" s="1">
        <f>VLOOKUP($B32, '[1]Imp of pig iron'!$B$2:$X$31, $A$1, FALSE)</f>
        <v>51</v>
      </c>
      <c r="J32" s="1">
        <f>VLOOKUP($B32, '[1]Pro of DRI'!$B$2:$X$31, $A$1, FALSE)*(1-VLOOKUP($B32, '[1]Foundry share'!$B$2:$X$31, $A$1, FALSE))</f>
        <v>109</v>
      </c>
      <c r="K32" s="1">
        <f>VLOOKUP($B32, '[1]Exp of DRI'!$B$2:$X$31, $A$1, FALSE)</f>
        <v>3</v>
      </c>
      <c r="L32" s="1">
        <f>VLOOKUP($B32, '[1]Imp of DRI'!$B$2:$X$31, $A$1, FALSE)</f>
        <v>32</v>
      </c>
      <c r="M32" s="1">
        <f>VLOOKUP($B32, '[1]Exp of scrap'!$B$2:$X$31, $A$1, FALSE)</f>
        <v>1246</v>
      </c>
      <c r="N32" s="1">
        <f>VLOOKUP($B32, '[1]Imp of scrap'!$B$2:$X$31, $A$1, FALSE)</f>
        <v>261</v>
      </c>
      <c r="O32" s="1">
        <f>VLOOKUP($B32, '[1]Pro of BOF steel'!$B$2:$X$31, $A$1, FALSE)</f>
        <v>2890</v>
      </c>
      <c r="P32" s="1">
        <f>VLOOKUP($B32, '[1]Pro of OHF steel'!$B$2:$X$31, $A$1, FALSE)</f>
        <v>0</v>
      </c>
      <c r="Q32" s="1">
        <f>VLOOKUP($B32, '[1]Pro of EAF steel'!$B$2:$X$31, $A$1, FALSE)</f>
        <v>1667</v>
      </c>
      <c r="R32" s="1">
        <f>VLOOKUP($B32, '[1]Exp of ingots and semis'!$B$2:$X$31, $A$1, FALSE)</f>
        <v>174</v>
      </c>
      <c r="S32" s="1">
        <f>VLOOKUP($B32, '[1]Imp of ingots and semis'!$B$2:$X$31, $A$1, FALSE)</f>
        <v>244</v>
      </c>
      <c r="T32" s="1">
        <f>VLOOKUP($B32, '[1]Pro of hr long'!$B$2:$X$31, $A$1, FALSE)+VLOOKUP($B32, '[1]Pro of seamless tubes'!$B$2:$X$31, $A$1, FALSE)</f>
        <v>850</v>
      </c>
      <c r="U32" s="1">
        <f>VLOOKUP($B32, '[1]Exp of long'!$B$2:$X$31, $A$1, FALSE)</f>
        <v>486</v>
      </c>
      <c r="V32" s="1">
        <f>VLOOKUP($B32, '[1]Imp of long'!$B$2:$X$31, $A$1, FALSE)</f>
        <v>916</v>
      </c>
      <c r="W32" s="1">
        <f>VLOOKUP($B32, '[1]Pro of hr flat'!$B$2:$X$31, $A$1, FALSE)*parameters!$B$8</f>
        <v>3011.8065433854908</v>
      </c>
      <c r="X32" s="1">
        <f>VLOOKUP($B32, '[1]Exp of flat'!$B$2:$X$31, $A$1, FALSE)</f>
        <v>2426</v>
      </c>
      <c r="Y32" s="1">
        <f>VLOOKUP($B32, '[1]Imp of flat'!$B$2:$X$31, $A$1, FALSE)</f>
        <v>1586</v>
      </c>
      <c r="Z32" s="1">
        <f>VLOOKUP($B32, '[1]Indirect exp'!$B$2:$X$31, $A$1, FALSE)</f>
        <v>2704</v>
      </c>
      <c r="AA32" s="1">
        <f>VLOOKUP($B32, '[1]Indirect imp'!$B$2:$X$31, $A$1, FALSE)</f>
        <v>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642979.30993989436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642979.30993989436</v>
      </c>
      <c r="M2" s="17"/>
      <c r="N2" s="17">
        <f ca="1">Q2-(L2+O2+P2)</f>
        <v>0</v>
      </c>
      <c r="O2" s="11" cm="1">
        <f t="array" aca="1" ref="O2" ca="1">INDIRECT("'data'!$F$" &amp; $A$1)</f>
        <v>71.5</v>
      </c>
      <c r="P2" s="13">
        <f ca="1">IF(-(L2-Q2+O2)&lt;0, -(L2-Q2+O2), 0)</f>
        <v>-400865.6237059444</v>
      </c>
      <c r="Q2" s="17" cm="1">
        <f t="array" aca="1" ref="Q2" ca="1">INDIRECT("'data'!$D$" &amp; $A$1)</f>
        <v>242185.18623394999</v>
      </c>
      <c r="R2" s="17">
        <f ca="1">SUM(L2:P2)</f>
        <v>242185.18623394996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632131.34328358213</v>
      </c>
      <c r="G3" s="14">
        <f ca="1">Q3-O3-P3-F3</f>
        <v>6796.2520036909264</v>
      </c>
      <c r="H3" s="14"/>
      <c r="I3" s="14"/>
      <c r="J3" s="14"/>
      <c r="K3" s="13"/>
      <c r="L3" s="16">
        <f t="shared" ca="1" si="0"/>
        <v>638927.59528727306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159.70499999999998</v>
      </c>
      <c r="P3" s="13" cm="1">
        <f t="array" aca="1" ref="P3" ca="1">-INDIRECT("'data'!$I$" &amp; $A$1)*parameters!$B$13</f>
        <v>-158.76</v>
      </c>
      <c r="Q3" s="16" cm="1">
        <f t="array" aca="1" ref="Q3" ca="1">INDIRECT("'data'!$G$" &amp; $A$1)*parameters!$B$13</f>
        <v>638928.540287273</v>
      </c>
      <c r="R3" s="16">
        <f t="shared" ref="R3:R10" ca="1" si="2">SUM(L3:P3)</f>
        <v>638928.540287273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129.72</v>
      </c>
      <c r="H4" s="14"/>
      <c r="I4" s="14"/>
      <c r="J4" s="14"/>
      <c r="K4" s="13"/>
      <c r="L4" s="16">
        <f t="shared" ca="1" si="0"/>
        <v>129.72</v>
      </c>
      <c r="M4" s="16"/>
      <c r="N4" s="16">
        <f t="shared" ca="1" si="1"/>
        <v>0</v>
      </c>
      <c r="O4" s="11" cm="1">
        <f t="array" aca="1" ref="O4" ca="1">INDIRECT("'data'!$K$" &amp; $A$1)*parameters!$B$14</f>
        <v>37.72</v>
      </c>
      <c r="P4" s="13" cm="1">
        <f t="array" aca="1" ref="P4" ca="1">-INDIRECT("'data'!$L$" &amp; $A$1)*parameters!$B$14</f>
        <v>-167.44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158032.83582089553</v>
      </c>
      <c r="G5" s="14">
        <f ca="1">Q7/parameters!$B$7-(G3+G4)</f>
        <v>41671.582855243243</v>
      </c>
      <c r="H5" s="14"/>
      <c r="I5" s="14"/>
      <c r="J5" s="14"/>
      <c r="K5" s="13"/>
      <c r="L5" s="16">
        <f t="shared" ca="1" si="0"/>
        <v>199704.41867613877</v>
      </c>
      <c r="M5" s="16"/>
      <c r="N5" s="16"/>
      <c r="O5" s="11" cm="1">
        <f t="array" aca="1" ref="O5" ca="1">INDIRECT("'data'!$M$" &amp; $A$1)*parameters!$B$15</f>
        <v>0.98</v>
      </c>
      <c r="P5" s="13" cm="1">
        <f t="array" aca="1" ref="P5" ca="1">-INDIRECT("'data'!$N$" &amp; $A$1)*parameters!$B$15</f>
        <v>-2281.44</v>
      </c>
      <c r="Q5" s="16">
        <f ca="1">SUM(L5:P5)</f>
        <v>197423.95867613878</v>
      </c>
      <c r="R5" s="16">
        <f t="shared" ca="1" si="2"/>
        <v>197423.95867613878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741174</v>
      </c>
      <c r="I6" s="14"/>
      <c r="J6" s="14"/>
      <c r="K6" s="13"/>
      <c r="L6" s="16">
        <f t="shared" ca="1" si="0"/>
        <v>741174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741174</v>
      </c>
      <c r="R6" s="16">
        <f t="shared" ca="1" si="2"/>
        <v>741174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46507.86</v>
      </c>
      <c r="I7" s="14"/>
      <c r="J7" s="14"/>
      <c r="K7" s="13"/>
      <c r="L7" s="16">
        <f t="shared" ca="1" si="0"/>
        <v>46507.86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46507.86</v>
      </c>
      <c r="R7" s="16">
        <f t="shared" ca="1" si="2"/>
        <v>46507.86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527225</v>
      </c>
      <c r="J8" s="14">
        <f ca="1">Q10/J18</f>
        <v>313091.86344238976</v>
      </c>
      <c r="K8" s="13"/>
      <c r="L8" s="16">
        <f t="shared" ca="1" si="0"/>
        <v>840316.86344238976</v>
      </c>
      <c r="M8" s="16"/>
      <c r="N8" s="16">
        <f t="shared" ca="1" si="3"/>
        <v>-52347.86344238976</v>
      </c>
      <c r="O8" s="11" cm="1">
        <f t="array" aca="1" ref="O8" ca="1">INDIRECT("'data'!$R$" &amp; $A$1)*parameters!$B$15</f>
        <v>7.84</v>
      </c>
      <c r="P8" s="13" cm="1">
        <f t="array" aca="1" ref="P8" ca="1">-INDIRECT("'data'!$S$" &amp; $A$1)*parameters!$B$15</f>
        <v>-294.98</v>
      </c>
      <c r="Q8" s="16">
        <f ca="1">SUM(Q6:Q7)</f>
        <v>787681.86</v>
      </c>
      <c r="R8" s="16">
        <f t="shared" ca="1" si="2"/>
        <v>787681.86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466937.66000000003</v>
      </c>
      <c r="L9" s="16">
        <f t="shared" ca="1" si="0"/>
        <v>466937.66000000003</v>
      </c>
      <c r="M9" s="16"/>
      <c r="N9" s="16">
        <f t="shared" ca="1" si="3"/>
        <v>0</v>
      </c>
      <c r="O9" s="11" cm="1">
        <f t="array" aca="1" ref="O9" ca="1">INDIRECT("'data'!$U$" &amp; $A$1)*parameters!$B$15</f>
        <v>51303.979999999996</v>
      </c>
      <c r="P9" s="13" cm="1">
        <f t="array" aca="1" ref="P9" ca="1">-INDIRECT("'data'!$V$" &amp; $A$1)*parameters!$B$15</f>
        <v>-1561.1399999999999</v>
      </c>
      <c r="Q9" s="16" cm="1">
        <f t="array" aca="1" ref="Q9" ca="1">INDIRECT("'data'!$T$" &amp; $A$1)*parameters!$B$15</f>
        <v>516680.5</v>
      </c>
      <c r="R9" s="16">
        <f t="shared" ca="1" si="2"/>
        <v>516680.5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269892.84617354197</v>
      </c>
      <c r="L10" s="16">
        <f t="shared" ca="1" si="0"/>
        <v>269892.84617354197</v>
      </c>
      <c r="M10" s="16"/>
      <c r="N10" s="16">
        <f t="shared" ca="1" si="3"/>
        <v>0</v>
      </c>
      <c r="O10" s="11" cm="1">
        <f t="array" aca="1" ref="O10" ca="1">INDIRECT("'data'!$X$" &amp; $A$1)*parameters!$B$15</f>
        <v>47495.7</v>
      </c>
      <c r="P10" s="13" cm="1">
        <f t="array" aca="1" ref="P10" ca="1">-INDIRECT("'data'!$Y$" &amp; $A$1)*parameters!$B$15</f>
        <v>-10558.52</v>
      </c>
      <c r="Q10" s="16" cm="1">
        <f t="array" aca="1" ref="Q10" ca="1">INDIRECT("'data'!$W$" &amp; $A$1)*parameters!$B$15</f>
        <v>306830.02617354196</v>
      </c>
      <c r="R10" s="16">
        <f t="shared" ca="1" si="2"/>
        <v>306830.02617354196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611642.22810924612</v>
      </c>
      <c r="N11" s="19"/>
      <c r="O11" s="21" cm="1">
        <f t="array" aca="1" ref="O11" ca="1">INDIRECT("'data'!$Z$" &amp; $A$1)*parameters!$B$15</f>
        <v>69045.899999999994</v>
      </c>
      <c r="P11" s="27" cm="1">
        <f t="array" aca="1" ref="P11" ca="1">-INDIRECT("'data'!$AA$" &amp; $A$1)*parameters!$B$15</f>
        <v>-9658.8799999999992</v>
      </c>
      <c r="Q11" s="16">
        <f ca="1">K9*parameters!$B$10+K10*parameters!$B$11</f>
        <v>671029.24810924614</v>
      </c>
      <c r="R11" s="16">
        <f t="shared" ref="R11:R17" ca="1" si="4">SUM(L11:P11)</f>
        <v>671029.24810924614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-4050.7696526213549</v>
      </c>
      <c r="D12" s="9">
        <f ca="1">-(D17-Q4)</f>
        <v>0</v>
      </c>
      <c r="E12" s="9">
        <f ca="1">-(E17-Q5)</f>
        <v>-24400.713993680081</v>
      </c>
      <c r="F12" s="9">
        <f ca="1">-(F17-Q6)</f>
        <v>-48990.179104477633</v>
      </c>
      <c r="G12" s="9">
        <f ca="1">-(G17-Q7)</f>
        <v>-2089.69485893417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-79531.357609713246</v>
      </c>
      <c r="M12" s="17"/>
      <c r="N12" s="17"/>
      <c r="O12" s="10"/>
      <c r="P12" s="12"/>
      <c r="Q12" s="9">
        <f t="shared" ref="Q12:Q17" ca="1" si="6">SUM(L12:P12)</f>
        <v>-79531.357609713246</v>
      </c>
      <c r="R12" s="17">
        <f t="shared" ca="1" si="4"/>
        <v>-79531.357609713246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-10544.5</v>
      </c>
      <c r="J13" s="14">
        <f ca="1">-(J17-Q10)</f>
        <v>-6261.8372688477975</v>
      </c>
      <c r="K13" s="13">
        <f ca="1">-(K17-Q11)</f>
        <v>-65801.258064295864</v>
      </c>
      <c r="L13" s="14">
        <f t="shared" ca="1" si="5"/>
        <v>-82607.595333143661</v>
      </c>
      <c r="M13" s="16">
        <f ca="1">-E15</f>
        <v>-139217.0773366752</v>
      </c>
      <c r="N13" s="16"/>
      <c r="O13" s="11"/>
      <c r="P13" s="13"/>
      <c r="Q13" s="14">
        <f t="shared" ca="1" si="6"/>
        <v>-221824.67266981886</v>
      </c>
      <c r="R13" s="16">
        <f t="shared" ca="1" si="4"/>
        <v>-221824.67266981886</v>
      </c>
    </row>
    <row r="14" spans="1:20">
      <c r="A14" s="18" t="s">
        <v>78</v>
      </c>
      <c r="B14" s="11"/>
      <c r="C14" s="14"/>
      <c r="D14" s="14"/>
      <c r="E14" s="14">
        <f ca="1">-(I13+J13)-K13</f>
        <v>82607.595333143661</v>
      </c>
      <c r="F14" s="14"/>
      <c r="G14" s="14"/>
      <c r="H14" s="14"/>
      <c r="I14" s="14"/>
      <c r="J14" s="14"/>
      <c r="K14" s="13"/>
      <c r="L14" s="14">
        <f t="shared" ca="1" si="5"/>
        <v>82607.595333143661</v>
      </c>
      <c r="M14" s="16"/>
      <c r="N14" s="16"/>
      <c r="O14" s="11"/>
      <c r="P14" s="13"/>
      <c r="Q14" s="14">
        <f t="shared" ca="1" si="6"/>
        <v>82607.595333143661</v>
      </c>
      <c r="R14" s="16">
        <f t="shared" ca="1" si="4"/>
        <v>82607.595333143661</v>
      </c>
    </row>
    <row r="15" spans="1:20">
      <c r="A15" s="18" t="s">
        <v>79</v>
      </c>
      <c r="B15" s="11"/>
      <c r="C15" s="14"/>
      <c r="D15" s="14"/>
      <c r="E15" s="14">
        <f ca="1">E17-E14</f>
        <v>139217.0773366752</v>
      </c>
      <c r="F15" s="14"/>
      <c r="G15" s="14"/>
      <c r="H15" s="14"/>
      <c r="I15" s="14"/>
      <c r="J15" s="14"/>
      <c r="K15" s="13"/>
      <c r="L15" s="14">
        <f t="shared" ca="1" si="5"/>
        <v>139217.0773366752</v>
      </c>
      <c r="M15" s="16"/>
      <c r="N15" s="16"/>
      <c r="O15" s="11"/>
      <c r="P15" s="13"/>
      <c r="Q15" s="14">
        <f t="shared" ca="1" si="6"/>
        <v>139217.0773366752</v>
      </c>
      <c r="R15" s="16">
        <f t="shared" ca="1" si="4"/>
        <v>139217.0773366752</v>
      </c>
    </row>
    <row r="16" spans="1:20">
      <c r="A16" s="30" t="s">
        <v>89</v>
      </c>
      <c r="B16" s="21">
        <f ca="1">Q2</f>
        <v>242185.18623394999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242185.18623394999</v>
      </c>
      <c r="M16" s="19"/>
      <c r="N16" s="19"/>
      <c r="O16" s="21"/>
      <c r="P16" s="27"/>
      <c r="Q16" s="22">
        <f t="shared" ca="1" si="6"/>
        <v>242185.18623394999</v>
      </c>
      <c r="R16" s="19">
        <f t="shared" ca="1" si="4"/>
        <v>242185.18623394999</v>
      </c>
    </row>
    <row r="17" spans="1:18">
      <c r="A17" s="29" t="s">
        <v>88</v>
      </c>
      <c r="B17" s="9">
        <f ca="1">B16</f>
        <v>242185.18623394999</v>
      </c>
      <c r="C17" s="9">
        <f ca="1">SUM(C$2:C$11)</f>
        <v>642979.30993989436</v>
      </c>
      <c r="D17" s="9">
        <f ca="1">SUM(D$2:D$11)</f>
        <v>0</v>
      </c>
      <c r="E17" s="9">
        <f ca="1">$Q$5/parameters!$B$4</f>
        <v>221824.67266981886</v>
      </c>
      <c r="F17" s="9">
        <f t="shared" ref="F17:K17" ca="1" si="7">SUM(F$2:F$11)</f>
        <v>790164.17910447763</v>
      </c>
      <c r="G17" s="9">
        <f t="shared" ca="1" si="7"/>
        <v>48597.554858934171</v>
      </c>
      <c r="H17" s="9">
        <f t="shared" ca="1" si="7"/>
        <v>787681.86</v>
      </c>
      <c r="I17" s="9">
        <f t="shared" ca="1" si="7"/>
        <v>527225</v>
      </c>
      <c r="J17" s="9">
        <f t="shared" ca="1" si="7"/>
        <v>313091.86344238976</v>
      </c>
      <c r="K17" s="9">
        <f t="shared" ca="1" si="7"/>
        <v>736830.506173542</v>
      </c>
      <c r="L17" s="17">
        <f t="shared" ca="1" si="5"/>
        <v>4310580.1324230069</v>
      </c>
      <c r="M17" s="17"/>
      <c r="N17" s="17"/>
      <c r="O17" s="9"/>
      <c r="P17" s="14"/>
      <c r="Q17" s="11">
        <f t="shared" ca="1" si="6"/>
        <v>4310580.1324230069</v>
      </c>
      <c r="R17" s="17">
        <f t="shared" ca="1" si="4"/>
        <v>4310580.1324230069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0.9106968868512102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48187.258669809278</v>
      </c>
      <c r="D2" s="9">
        <f ca="1">Q4/parameters!$B$3</f>
        <v>18191.694741661475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66378.953411470749</v>
      </c>
      <c r="M2" s="17"/>
      <c r="N2" s="17">
        <f ca="1">Q2-(L2+O2+P2)</f>
        <v>7493.6802383408649</v>
      </c>
      <c r="O2" s="11" cm="1">
        <f t="array" aca="1" ref="O2" ca="1">INDIRECT("'data'!$F$" &amp; $A$1)</f>
        <v>2737.15</v>
      </c>
      <c r="P2" s="13">
        <f ca="1">IF(-(L2-Q2+O2)&lt;0, -(L2-Q2+O2), 0)</f>
        <v>0</v>
      </c>
      <c r="Q2" s="17" cm="1">
        <f t="array" aca="1" ref="Q2" ca="1">INDIRECT("'data'!$D$" &amp; $A$1)</f>
        <v>76609.783649811608</v>
      </c>
      <c r="R2" s="17">
        <f ca="1">SUM(L2:P2)</f>
        <v>76609.783649811608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31941.731343283587</v>
      </c>
      <c r="G3" s="14">
        <f ca="1">Q3-O3-P3-F3</f>
        <v>15462.832596905886</v>
      </c>
      <c r="H3" s="14"/>
      <c r="I3" s="14"/>
      <c r="J3" s="14"/>
      <c r="K3" s="13"/>
      <c r="L3" s="16">
        <f t="shared" ca="1" si="0"/>
        <v>47404.563940189473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512.18999999999994</v>
      </c>
      <c r="P3" s="13" cm="1">
        <f t="array" aca="1" ref="P3" ca="1">-INDIRECT("'data'!$I$" &amp; $A$1)*parameters!$B$13</f>
        <v>-33.074999999999996</v>
      </c>
      <c r="Q3" s="16" cm="1">
        <f t="array" aca="1" ref="Q3" ca="1">INDIRECT("'data'!$G$" &amp; $A$1)*parameters!$B$13</f>
        <v>47883.678940189478</v>
      </c>
      <c r="R3" s="16">
        <f t="shared" ref="R3:R10" ca="1" si="2">SUM(L3:P3)</f>
        <v>47883.678940189478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17990.607064789008</v>
      </c>
      <c r="H4" s="14"/>
      <c r="I4" s="14"/>
      <c r="J4" s="14"/>
      <c r="K4" s="13"/>
      <c r="L4" s="16">
        <f t="shared" ca="1" si="0"/>
        <v>17990.607064789008</v>
      </c>
      <c r="M4" s="16"/>
      <c r="N4" s="16">
        <f t="shared" ca="1" si="1"/>
        <v>0</v>
      </c>
      <c r="O4" s="11" cm="1">
        <f t="array" aca="1" ref="O4" ca="1">INDIRECT("'data'!$K$" &amp; $A$1)*parameters!$B$14</f>
        <v>121.44000000000001</v>
      </c>
      <c r="P4" s="13" cm="1">
        <f t="array" aca="1" ref="P4" ca="1">-INDIRECT("'data'!$L$" &amp; $A$1)*parameters!$B$14</f>
        <v>-34.96</v>
      </c>
      <c r="Q4" s="16" cm="1">
        <f t="array" aca="1" ref="Q4" ca="1">INDIRECT("'data'!$J$" &amp; $A$1)*parameters!$B$14</f>
        <v>18077.087064789008</v>
      </c>
      <c r="R4" s="16">
        <f t="shared" ca="1" si="2"/>
        <v>18077.087064789008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7985.4328358208968</v>
      </c>
      <c r="G5" s="14">
        <f ca="1">Q7/parameters!$B$7-(G3+G4)</f>
        <v>18577.699314271667</v>
      </c>
      <c r="H5" s="14"/>
      <c r="I5" s="14"/>
      <c r="J5" s="14"/>
      <c r="K5" s="13"/>
      <c r="L5" s="16">
        <f t="shared" ca="1" si="0"/>
        <v>26563.132150092562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-6575.8</v>
      </c>
      <c r="Q5" s="16">
        <f ca="1">SUM(L5:P5)</f>
        <v>19987.332150092563</v>
      </c>
      <c r="R5" s="16">
        <f t="shared" ca="1" si="2"/>
        <v>19987.332150092563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37451.68</v>
      </c>
      <c r="I6" s="14"/>
      <c r="J6" s="14"/>
      <c r="K6" s="13"/>
      <c r="L6" s="16">
        <f t="shared" ca="1" si="0"/>
        <v>37451.68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37451.68</v>
      </c>
      <c r="R6" s="16">
        <f t="shared" ca="1" si="2"/>
        <v>37451.68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49793.799999999996</v>
      </c>
      <c r="I7" s="14"/>
      <c r="J7" s="14"/>
      <c r="K7" s="13"/>
      <c r="L7" s="16">
        <f t="shared" ca="1" si="0"/>
        <v>49793.799999999996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49793.799999999996</v>
      </c>
      <c r="R7" s="16">
        <f t="shared" ca="1" si="2"/>
        <v>49793.799999999996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43636.127700847326</v>
      </c>
      <c r="J8" s="14">
        <f ca="1">Q10/J18</f>
        <v>43605.432299152686</v>
      </c>
      <c r="K8" s="13"/>
      <c r="L8" s="16">
        <f t="shared" ca="1" si="0"/>
        <v>87241.560000000012</v>
      </c>
      <c r="M8" s="16"/>
      <c r="N8" s="16">
        <f t="shared" ca="1" si="3"/>
        <v>0</v>
      </c>
      <c r="O8" s="11" cm="1">
        <f t="array" aca="1" ref="O8" ca="1">INDIRECT("'data'!$R$" &amp; $A$1)*parameters!$B$15</f>
        <v>753.62</v>
      </c>
      <c r="P8" s="13" cm="1">
        <f t="array" aca="1" ref="P8" ca="1">-INDIRECT("'data'!$S$" &amp; $A$1)*parameters!$B$15</f>
        <v>-749.69999999999993</v>
      </c>
      <c r="Q8" s="16">
        <f ca="1">SUM(Q6:Q7)</f>
        <v>87245.48</v>
      </c>
      <c r="R8" s="16">
        <f t="shared" ca="1" si="2"/>
        <v>87245.48000000001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44667.42</v>
      </c>
      <c r="L9" s="16">
        <f t="shared" ca="1" si="0"/>
        <v>44667.42</v>
      </c>
      <c r="M9" s="16"/>
      <c r="N9" s="16">
        <f t="shared" ca="1" si="3"/>
        <v>0</v>
      </c>
      <c r="O9" s="11" cm="1">
        <f t="array" aca="1" ref="O9" ca="1">INDIRECT("'data'!$U$" &amp; $A$1)*parameters!$B$15</f>
        <v>750.68</v>
      </c>
      <c r="P9" s="13" cm="1">
        <f t="array" aca="1" ref="P9" ca="1">-INDIRECT("'data'!$V$" &amp; $A$1)*parameters!$B$15</f>
        <v>-1974.7</v>
      </c>
      <c r="Q9" s="16" cm="1">
        <f t="array" aca="1" ref="Q9" ca="1">INDIRECT("'data'!$T$" &amp; $A$1)*parameters!$B$15</f>
        <v>43443.4</v>
      </c>
      <c r="R9" s="16">
        <f t="shared" ca="1" si="2"/>
        <v>43443.4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48759.720170697015</v>
      </c>
      <c r="L10" s="16">
        <f t="shared" ca="1" si="0"/>
        <v>48759.720170697015</v>
      </c>
      <c r="M10" s="16"/>
      <c r="N10" s="16">
        <f t="shared" ca="1" si="3"/>
        <v>0</v>
      </c>
      <c r="O10" s="11" cm="1">
        <f t="array" aca="1" ref="O10" ca="1">INDIRECT("'data'!$X$" &amp; $A$1)*parameters!$B$15</f>
        <v>4285.54</v>
      </c>
      <c r="P10" s="13" cm="1">
        <f t="array" aca="1" ref="P10" ca="1">-INDIRECT("'data'!$Y$" &amp; $A$1)*parameters!$B$15</f>
        <v>-9632.42</v>
      </c>
      <c r="Q10" s="16" cm="1">
        <f t="array" aca="1" ref="Q10" ca="1">INDIRECT("'data'!$W$" &amp; $A$1)*parameters!$B$15</f>
        <v>43412.840170697018</v>
      </c>
      <c r="R10" s="16">
        <f t="shared" ca="1" si="2"/>
        <v>43412.840170697018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83515.994146799421</v>
      </c>
      <c r="N11" s="19"/>
      <c r="O11" s="21" cm="1">
        <f t="array" aca="1" ref="O11" ca="1">INDIRECT("'data'!$Z$" &amp; $A$1)*parameters!$B$15</f>
        <v>4954.88</v>
      </c>
      <c r="P11" s="27" cm="1">
        <f t="array" aca="1" ref="P11" ca="1">-INDIRECT("'data'!$AA$" &amp; $A$1)*parameters!$B$15</f>
        <v>-4550.1400000000003</v>
      </c>
      <c r="Q11" s="16">
        <f ca="1">K9*parameters!$B$10+K10*parameters!$B$11</f>
        <v>83920.734146799427</v>
      </c>
      <c r="R11" s="16">
        <f t="shared" ref="R11:R17" ca="1" si="4">SUM(L11:P11)</f>
        <v>83920.734146799427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-303.57972961979976</v>
      </c>
      <c r="D12" s="9">
        <f ca="1">-(D17-Q4)</f>
        <v>-114.60767687246698</v>
      </c>
      <c r="E12" s="9">
        <f ca="1">-(E17-Q5)</f>
        <v>-2470.3444230451496</v>
      </c>
      <c r="F12" s="9">
        <f ca="1">-(F17-Q6)</f>
        <v>-2475.4841791044819</v>
      </c>
      <c r="G12" s="9">
        <f ca="1">-(G17-Q7)</f>
        <v>-2237.3389759665661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-7601.3549846084643</v>
      </c>
      <c r="M12" s="17"/>
      <c r="N12" s="17"/>
      <c r="O12" s="10"/>
      <c r="P12" s="12"/>
      <c r="Q12" s="9">
        <f t="shared" ref="Q12:Q17" ca="1" si="6">SUM(L12:P12)</f>
        <v>-7601.3549846084643</v>
      </c>
      <c r="R12" s="17">
        <f t="shared" ca="1" si="4"/>
        <v>-7601.3549846084643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-192.72770084732474</v>
      </c>
      <c r="J13" s="14">
        <f ca="1">-(J17-Q10)</f>
        <v>-192.59212845566799</v>
      </c>
      <c r="K13" s="13">
        <f ca="1">-(K17-Q11)</f>
        <v>-9506.4060238975799</v>
      </c>
      <c r="L13" s="14">
        <f t="shared" ca="1" si="5"/>
        <v>-9891.7258532005726</v>
      </c>
      <c r="M13" s="16">
        <f ca="1">-E15</f>
        <v>-12565.95071993714</v>
      </c>
      <c r="N13" s="16"/>
      <c r="O13" s="11"/>
      <c r="P13" s="13"/>
      <c r="Q13" s="14">
        <f t="shared" ca="1" si="6"/>
        <v>-22457.676573137713</v>
      </c>
      <c r="R13" s="16">
        <f t="shared" ca="1" si="4"/>
        <v>-22457.676573137713</v>
      </c>
    </row>
    <row r="14" spans="1:20">
      <c r="A14" s="18" t="s">
        <v>78</v>
      </c>
      <c r="B14" s="11"/>
      <c r="C14" s="14"/>
      <c r="D14" s="14"/>
      <c r="E14" s="14">
        <f ca="1">-(I13+J13)-K13</f>
        <v>9891.7258532005726</v>
      </c>
      <c r="F14" s="14"/>
      <c r="G14" s="14"/>
      <c r="H14" s="14"/>
      <c r="I14" s="14"/>
      <c r="J14" s="14"/>
      <c r="K14" s="13"/>
      <c r="L14" s="14">
        <f t="shared" ca="1" si="5"/>
        <v>9891.7258532005726</v>
      </c>
      <c r="M14" s="16"/>
      <c r="N14" s="16"/>
      <c r="O14" s="11"/>
      <c r="P14" s="13"/>
      <c r="Q14" s="14">
        <f t="shared" ca="1" si="6"/>
        <v>9891.7258532005726</v>
      </c>
      <c r="R14" s="16">
        <f t="shared" ca="1" si="4"/>
        <v>9891.7258532005726</v>
      </c>
    </row>
    <row r="15" spans="1:20">
      <c r="A15" s="18" t="s">
        <v>79</v>
      </c>
      <c r="B15" s="11"/>
      <c r="C15" s="14"/>
      <c r="D15" s="14"/>
      <c r="E15" s="14">
        <f ca="1">E17-E14</f>
        <v>12565.95071993714</v>
      </c>
      <c r="F15" s="14"/>
      <c r="G15" s="14"/>
      <c r="H15" s="14"/>
      <c r="I15" s="14"/>
      <c r="J15" s="14"/>
      <c r="K15" s="13"/>
      <c r="L15" s="14">
        <f t="shared" ca="1" si="5"/>
        <v>12565.95071993714</v>
      </c>
      <c r="M15" s="16"/>
      <c r="N15" s="16"/>
      <c r="O15" s="11"/>
      <c r="P15" s="13"/>
      <c r="Q15" s="14">
        <f t="shared" ca="1" si="6"/>
        <v>12565.95071993714</v>
      </c>
      <c r="R15" s="16">
        <f t="shared" ca="1" si="4"/>
        <v>12565.95071993714</v>
      </c>
    </row>
    <row r="16" spans="1:20">
      <c r="A16" s="30" t="s">
        <v>89</v>
      </c>
      <c r="B16" s="21">
        <f ca="1">Q2</f>
        <v>76609.783649811608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76609.783649811608</v>
      </c>
      <c r="M16" s="19"/>
      <c r="N16" s="19"/>
      <c r="O16" s="21"/>
      <c r="P16" s="27"/>
      <c r="Q16" s="22">
        <f t="shared" ca="1" si="6"/>
        <v>76609.783649811608</v>
      </c>
      <c r="R16" s="19">
        <f t="shared" ca="1" si="4"/>
        <v>76609.783649811608</v>
      </c>
    </row>
    <row r="17" spans="1:18">
      <c r="A17" s="29" t="s">
        <v>88</v>
      </c>
      <c r="B17" s="9">
        <f ca="1">B16</f>
        <v>76609.783649811608</v>
      </c>
      <c r="C17" s="9">
        <f ca="1">SUM(C$2:C$11)</f>
        <v>48187.258669809278</v>
      </c>
      <c r="D17" s="9">
        <f ca="1">SUM(D$2:D$11)</f>
        <v>18191.694741661475</v>
      </c>
      <c r="E17" s="9">
        <f ca="1">$Q$5/parameters!$B$4</f>
        <v>22457.676573137713</v>
      </c>
      <c r="F17" s="9">
        <f t="shared" ref="F17:K17" ca="1" si="7">SUM(F$2:F$11)</f>
        <v>39927.164179104482</v>
      </c>
      <c r="G17" s="9">
        <f t="shared" ca="1" si="7"/>
        <v>52031.138975966562</v>
      </c>
      <c r="H17" s="9">
        <f t="shared" ca="1" si="7"/>
        <v>87245.48</v>
      </c>
      <c r="I17" s="9">
        <f t="shared" ca="1" si="7"/>
        <v>43636.127700847326</v>
      </c>
      <c r="J17" s="9">
        <f t="shared" ca="1" si="7"/>
        <v>43605.432299152686</v>
      </c>
      <c r="K17" s="9">
        <f t="shared" ca="1" si="7"/>
        <v>93427.140170697006</v>
      </c>
      <c r="L17" s="17">
        <f t="shared" ca="1" si="5"/>
        <v>525318.89696018817</v>
      </c>
      <c r="M17" s="17"/>
      <c r="N17" s="17"/>
      <c r="O17" s="9"/>
      <c r="P17" s="14"/>
      <c r="Q17" s="11">
        <f t="shared" ca="1" si="6"/>
        <v>525318.89696018817</v>
      </c>
      <c r="R17" s="17">
        <f t="shared" ca="1" si="4"/>
        <v>525318.89696018817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8">
        <f ca="1">(Q9+Q10)/(Q8-O8-P8)</f>
        <v>0.99558329964178782</v>
      </c>
      <c r="J18" s="39">
        <f ca="1">I18</f>
        <v>0.99558329964178782</v>
      </c>
      <c r="K18" s="40">
        <f ca="1">1-(-K13)/K17</f>
        <v>0.8982479180404237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77040.751735936385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77040.751735936385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-77040.751735936385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75393.228358208973</v>
      </c>
      <c r="G3" s="14">
        <f ca="1">Q3-O3-P3-F3</f>
        <v>1204.6916417910106</v>
      </c>
      <c r="H3" s="14"/>
      <c r="I3" s="14"/>
      <c r="J3" s="14"/>
      <c r="K3" s="13"/>
      <c r="L3" s="16">
        <f t="shared" ca="1" si="0"/>
        <v>76597.919999999984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51.029999999999994</v>
      </c>
      <c r="P3" s="13" cm="1">
        <f t="array" aca="1" ref="P3" ca="1">-INDIRECT("'data'!$I$" &amp; $A$1)*parameters!$B$13</f>
        <v>-93.554999999999993</v>
      </c>
      <c r="Q3" s="16" cm="1">
        <f t="array" aca="1" ref="Q3" ca="1">INDIRECT("'data'!$G$" &amp; $A$1)*parameters!$B$13</f>
        <v>76555.39499999999</v>
      </c>
      <c r="R3" s="16">
        <f t="shared" ref="R3:R10" ca="1" si="2">SUM(L3:P3)</f>
        <v>76555.39499999999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25.759999999999998</v>
      </c>
      <c r="H4" s="14"/>
      <c r="I4" s="14"/>
      <c r="J4" s="14"/>
      <c r="K4" s="13"/>
      <c r="L4" s="16">
        <f t="shared" ca="1" si="0"/>
        <v>25.759999999999998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-26.68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Q6/parameters!$B$5*11%</f>
        <v>9318.2641791044789</v>
      </c>
      <c r="G5" s="14">
        <f ca="1">Q7/parameters!$B$7-(G3+G4)</f>
        <v>23400.624638250789</v>
      </c>
      <c r="H5" s="14"/>
      <c r="I5" s="14"/>
      <c r="J5" s="14"/>
      <c r="K5" s="13"/>
      <c r="L5" s="16">
        <f t="shared" ca="1" si="0"/>
        <v>32718.88881735527</v>
      </c>
      <c r="M5" s="16"/>
      <c r="N5" s="16"/>
      <c r="O5" s="11" cm="1">
        <f t="array" aca="1" ref="O5" ca="1">INDIRECT("'data'!$M$" &amp; $A$1)*parameters!$B$15</f>
        <v>7690.0599999999995</v>
      </c>
      <c r="P5" s="13" cm="1">
        <f t="array" aca="1" ref="P5" ca="1">-INDIRECT("'data'!$N$" &amp; $A$1)*parameters!$B$15</f>
        <v>-146.02000000000001</v>
      </c>
      <c r="Q5" s="16">
        <f ca="1">SUM(L5:P5)</f>
        <v>40262.92881735527</v>
      </c>
      <c r="R5" s="16">
        <f t="shared" ca="1" si="2"/>
        <v>40262.92881735527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79459.38</v>
      </c>
      <c r="I6" s="14"/>
      <c r="J6" s="14"/>
      <c r="K6" s="13"/>
      <c r="L6" s="16">
        <f t="shared" ca="1" si="0"/>
        <v>79459.38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79459.38</v>
      </c>
      <c r="R6" s="16">
        <f t="shared" ca="1" si="2"/>
        <v>79459.38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23571.94</v>
      </c>
      <c r="I7" s="14"/>
      <c r="J7" s="14"/>
      <c r="K7" s="13"/>
      <c r="L7" s="16">
        <f t="shared" ca="1" si="0"/>
        <v>23571.94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23571.94</v>
      </c>
      <c r="R7" s="16">
        <f t="shared" ca="1" si="2"/>
        <v>23571.94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32903.790395662014</v>
      </c>
      <c r="J8" s="14">
        <f ca="1">Q10/J18</f>
        <v>65562.689604338011</v>
      </c>
      <c r="K8" s="13"/>
      <c r="L8" s="16">
        <f t="shared" ca="1" si="0"/>
        <v>98466.480000000025</v>
      </c>
      <c r="M8" s="16"/>
      <c r="N8" s="16">
        <f t="shared" ca="1" si="3"/>
        <v>0</v>
      </c>
      <c r="O8" s="11" cm="1">
        <f t="array" aca="1" ref="O8" ca="1">INDIRECT("'data'!$R$" &amp; $A$1)*parameters!$B$15</f>
        <v>4717.72</v>
      </c>
      <c r="P8" s="13" cm="1">
        <f t="array" aca="1" ref="P8" ca="1">-INDIRECT("'data'!$S$" &amp; $A$1)*parameters!$B$15</f>
        <v>-152.88</v>
      </c>
      <c r="Q8" s="16">
        <f ca="1">SUM(Q6:Q7)</f>
        <v>103031.32</v>
      </c>
      <c r="R8" s="16">
        <f t="shared" ca="1" si="2"/>
        <v>103031.32000000002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25441.78</v>
      </c>
      <c r="L9" s="16">
        <f t="shared" ca="1" si="0"/>
        <v>25441.78</v>
      </c>
      <c r="M9" s="16"/>
      <c r="N9" s="16">
        <f t="shared" ca="1" si="3"/>
        <v>0</v>
      </c>
      <c r="O9" s="11" cm="1">
        <f t="array" aca="1" ref="O9" ca="1">INDIRECT("'data'!$U$" &amp; $A$1)*parameters!$B$15</f>
        <v>5464.48</v>
      </c>
      <c r="P9" s="13" cm="1">
        <f t="array" aca="1" ref="P9" ca="1">-INDIRECT("'data'!$V$" &amp; $A$1)*parameters!$B$15</f>
        <v>-950.6</v>
      </c>
      <c r="Q9" s="16" cm="1">
        <f t="array" aca="1" ref="Q9" ca="1">INDIRECT("'data'!$T$" &amp; $A$1)*parameters!$B$15</f>
        <v>29955.66</v>
      </c>
      <c r="R9" s="16">
        <f t="shared" ca="1" si="2"/>
        <v>29955.66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36005.690697012804</v>
      </c>
      <c r="L10" s="16">
        <f t="shared" ca="1" si="0"/>
        <v>36005.690697012804</v>
      </c>
      <c r="M10" s="16"/>
      <c r="N10" s="16">
        <f t="shared" ca="1" si="3"/>
        <v>0</v>
      </c>
      <c r="O10" s="11" cm="1">
        <f t="array" aca="1" ref="O10" ca="1">INDIRECT("'data'!$X$" &amp; $A$1)*parameters!$B$15</f>
        <v>28017.22</v>
      </c>
      <c r="P10" s="13" cm="1">
        <f t="array" aca="1" ref="P10" ca="1">-INDIRECT("'data'!$Y$" &amp; $A$1)*parameters!$B$15</f>
        <v>-4334.54</v>
      </c>
      <c r="Q10" s="16" cm="1">
        <f t="array" aca="1" ref="Q10" ca="1">INDIRECT("'data'!$W$" &amp; $A$1)*parameters!$B$15</f>
        <v>59688.370697012804</v>
      </c>
      <c r="R10" s="16">
        <f t="shared" ca="1" si="2"/>
        <v>59688.370697012804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40558.447199431001</v>
      </c>
      <c r="N11" s="19"/>
      <c r="O11" s="21" cm="1">
        <f t="array" aca="1" ref="O11" ca="1">INDIRECT("'data'!$Z$" &amp; $A$1)*parameters!$B$15</f>
        <v>21314.02</v>
      </c>
      <c r="P11" s="27" cm="1">
        <f t="array" aca="1" ref="P11" ca="1">-INDIRECT("'data'!$AA$" &amp; $A$1)*parameters!$B$15</f>
        <v>-6992.3</v>
      </c>
      <c r="Q11" s="16">
        <f ca="1">K9*parameters!$B$10+K10*parameters!$B$11</f>
        <v>54880.167199431002</v>
      </c>
      <c r="R11" s="16">
        <f t="shared" ref="R11:R17" ca="1" si="4">SUM(L11:P11)</f>
        <v>54880.167199431002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-485.35673593639513</v>
      </c>
      <c r="D12" s="9">
        <f ca="1">-(D17-Q4)</f>
        <v>0</v>
      </c>
      <c r="E12" s="9">
        <f ca="1">-(E17-Q5)</f>
        <v>-4976.317044841664</v>
      </c>
      <c r="F12" s="9">
        <f ca="1">-(F17-Q6)</f>
        <v>-5252.1125373134419</v>
      </c>
      <c r="G12" s="9">
        <f ca="1">-(G17-Q7)</f>
        <v>-1059.1362800417992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-11772.9225981333</v>
      </c>
      <c r="M12" s="17"/>
      <c r="N12" s="17"/>
      <c r="O12" s="10"/>
      <c r="P12" s="12"/>
      <c r="Q12" s="9">
        <f t="shared" ref="Q12:Q17" ca="1" si="6">SUM(L12:P12)</f>
        <v>-11772.9225981333</v>
      </c>
      <c r="R12" s="17">
        <f t="shared" ca="1" si="4"/>
        <v>-11772.9225981333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-2948.1303956620141</v>
      </c>
      <c r="J13" s="14">
        <f ca="1">-(J17-Q10)</f>
        <v>-5874.318907325207</v>
      </c>
      <c r="K13" s="13">
        <f ca="1">-(K17-Q11)</f>
        <v>-6567.3034975818009</v>
      </c>
      <c r="L13" s="14">
        <f t="shared" ca="1" si="5"/>
        <v>-15389.752800569022</v>
      </c>
      <c r="M13" s="16">
        <f ca="1">-E15</f>
        <v>-29849.493061627913</v>
      </c>
      <c r="N13" s="16"/>
      <c r="O13" s="11"/>
      <c r="P13" s="13"/>
      <c r="Q13" s="14">
        <f t="shared" ca="1" si="6"/>
        <v>-45239.245862196934</v>
      </c>
      <c r="R13" s="16">
        <f t="shared" ca="1" si="4"/>
        <v>-45239.245862196934</v>
      </c>
    </row>
    <row r="14" spans="1:20">
      <c r="A14" s="18" t="s">
        <v>78</v>
      </c>
      <c r="B14" s="11"/>
      <c r="C14" s="14"/>
      <c r="D14" s="14"/>
      <c r="E14" s="14">
        <f ca="1">-(I13+J13)-K13</f>
        <v>15389.752800569022</v>
      </c>
      <c r="F14" s="14"/>
      <c r="G14" s="14"/>
      <c r="H14" s="14"/>
      <c r="I14" s="14"/>
      <c r="J14" s="14"/>
      <c r="K14" s="13"/>
      <c r="L14" s="14">
        <f t="shared" ca="1" si="5"/>
        <v>15389.752800569022</v>
      </c>
      <c r="M14" s="16"/>
      <c r="N14" s="16"/>
      <c r="O14" s="11"/>
      <c r="P14" s="13"/>
      <c r="Q14" s="14">
        <f t="shared" ca="1" si="6"/>
        <v>15389.752800569022</v>
      </c>
      <c r="R14" s="16">
        <f t="shared" ca="1" si="4"/>
        <v>15389.752800569022</v>
      </c>
    </row>
    <row r="15" spans="1:20">
      <c r="A15" s="18" t="s">
        <v>79</v>
      </c>
      <c r="B15" s="11"/>
      <c r="C15" s="14"/>
      <c r="D15" s="14"/>
      <c r="E15" s="14">
        <f ca="1">E17-E14</f>
        <v>29849.493061627913</v>
      </c>
      <c r="F15" s="14"/>
      <c r="G15" s="14"/>
      <c r="H15" s="14"/>
      <c r="I15" s="14"/>
      <c r="J15" s="14"/>
      <c r="K15" s="13"/>
      <c r="L15" s="14">
        <f t="shared" ca="1" si="5"/>
        <v>29849.493061627913</v>
      </c>
      <c r="M15" s="16"/>
      <c r="N15" s="16"/>
      <c r="O15" s="11"/>
      <c r="P15" s="13"/>
      <c r="Q15" s="14">
        <f t="shared" ca="1" si="6"/>
        <v>29849.493061627913</v>
      </c>
      <c r="R15" s="16">
        <f t="shared" ca="1" si="4"/>
        <v>29849.493061627913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77040.751735936385</v>
      </c>
      <c r="D17" s="9">
        <f ca="1">SUM(D$2:D$11)</f>
        <v>0</v>
      </c>
      <c r="E17" s="9">
        <f ca="1">$Q$5/parameters!$B$4</f>
        <v>45239.245862196934</v>
      </c>
      <c r="F17" s="9">
        <f t="shared" ref="F17:K17" ca="1" si="7">SUM(F$2:F$11)</f>
        <v>84711.492537313447</v>
      </c>
      <c r="G17" s="9">
        <f t="shared" ca="1" si="7"/>
        <v>24631.076280041798</v>
      </c>
      <c r="H17" s="9">
        <f t="shared" ca="1" si="7"/>
        <v>103031.32</v>
      </c>
      <c r="I17" s="9">
        <f t="shared" ca="1" si="7"/>
        <v>32903.790395662014</v>
      </c>
      <c r="J17" s="9">
        <f t="shared" ca="1" si="7"/>
        <v>65562.689604338011</v>
      </c>
      <c r="K17" s="9">
        <f t="shared" ca="1" si="7"/>
        <v>61447.470697012803</v>
      </c>
      <c r="L17" s="17">
        <f t="shared" ca="1" si="5"/>
        <v>494567.83711250138</v>
      </c>
      <c r="M17" s="17"/>
      <c r="N17" s="17"/>
      <c r="O17" s="9"/>
      <c r="P17" s="14"/>
      <c r="Q17" s="11">
        <f t="shared" ca="1" si="6"/>
        <v>494567.83711250138</v>
      </c>
      <c r="R17" s="17">
        <f t="shared" ca="1" si="4"/>
        <v>494567.83711250138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0.91040149599145603</v>
      </c>
      <c r="J18" s="39">
        <f ca="1">I18</f>
        <v>0.91040149599145603</v>
      </c>
      <c r="K18" s="40">
        <f ca="1">1-(-K13)/K17</f>
        <v>0.89312329013566605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24188.462312569183</v>
      </c>
      <c r="D2" s="9">
        <f ca="1">Q4/parameters!$B$3</f>
        <v>1018.4160209318708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25206.878333501056</v>
      </c>
      <c r="M2" s="17"/>
      <c r="N2" s="17">
        <f ca="1">Q2-(L2+O2+P2)</f>
        <v>0</v>
      </c>
      <c r="O2" s="11" cm="1">
        <f t="array" aca="1" ref="O2" ca="1">INDIRECT("'data'!$F$" &amp; $A$1)</f>
        <v>5302.05</v>
      </c>
      <c r="P2" s="13">
        <f ca="1">IF(-(L2-Q2+O2)&lt;0, -(L2-Q2+O2), 0)</f>
        <v>-1708.9283335010559</v>
      </c>
      <c r="Q2" s="17" cm="1">
        <f t="array" aca="1" ref="Q2" ca="1">INDIRECT("'data'!$D$" &amp; $A$1)</f>
        <v>28800</v>
      </c>
      <c r="R2" s="17">
        <f ca="1">SUM(L2:P2)</f>
        <v>28800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25183.179104477611</v>
      </c>
      <c r="G3" s="14">
        <f ca="1">Q3-O3-P3-F3</f>
        <v>3074.2108955223885</v>
      </c>
      <c r="H3" s="14"/>
      <c r="I3" s="14"/>
      <c r="J3" s="14"/>
      <c r="K3" s="13"/>
      <c r="L3" s="16">
        <f t="shared" ca="1" si="0"/>
        <v>28257.39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63.314999999999998</v>
      </c>
      <c r="P3" s="13" cm="1">
        <f t="array" aca="1" ref="P3" ca="1">-INDIRECT("'data'!$I$" &amp; $A$1)*parameters!$B$13</f>
        <v>-4284.63</v>
      </c>
      <c r="Q3" s="16" cm="1">
        <f t="array" aca="1" ref="Q3" ca="1">INDIRECT("'data'!$G$" &amp; $A$1)*parameters!$B$13</f>
        <v>24036.074999999997</v>
      </c>
      <c r="R3" s="16">
        <f t="shared" ref="R3:R10" ca="1" si="2">SUM(L3:P3)</f>
        <v>24036.074999999997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2709.4</v>
      </c>
      <c r="H4" s="14"/>
      <c r="I4" s="14"/>
      <c r="J4" s="14"/>
      <c r="K4" s="13"/>
      <c r="L4" s="16">
        <f t="shared" ca="1" si="0"/>
        <v>2709.4</v>
      </c>
      <c r="M4" s="16"/>
      <c r="N4" s="16">
        <f t="shared" ca="1" si="1"/>
        <v>0</v>
      </c>
      <c r="O4" s="11" cm="1">
        <f t="array" aca="1" ref="O4" ca="1">INDIRECT("'data'!$K$" &amp; $A$1)*parameters!$B$14</f>
        <v>19.32</v>
      </c>
      <c r="P4" s="13" cm="1">
        <f t="array" aca="1" ref="P4" ca="1">-INDIRECT("'data'!$L$" &amp; $A$1)*parameters!$B$14</f>
        <v>-1716.72</v>
      </c>
      <c r="Q4" s="16" cm="1">
        <f t="array" aca="1" ref="Q4" ca="1">INDIRECT("'data'!$J$" &amp; $A$1)*parameters!$B$14</f>
        <v>1012</v>
      </c>
      <c r="R4" s="16">
        <f t="shared" ca="1" si="2"/>
        <v>1012.0000000000002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Q6/parameters!$B$5*18%</f>
        <v>5528.0149253731342</v>
      </c>
      <c r="G5" s="14">
        <f ca="1">Q7/parameters!$B$7-(G3+G4)</f>
        <v>44854.842605000078</v>
      </c>
      <c r="H5" s="14"/>
      <c r="I5" s="14"/>
      <c r="J5" s="14"/>
      <c r="K5" s="13"/>
      <c r="L5" s="16">
        <f t="shared" ca="1" si="0"/>
        <v>50382.857530373214</v>
      </c>
      <c r="M5" s="16"/>
      <c r="N5" s="16"/>
      <c r="O5" s="11" cm="1">
        <f t="array" aca="1" ref="O5" ca="1">INDIRECT("'data'!$M$" &amp; $A$1)*parameters!$B$15</f>
        <v>12716.48</v>
      </c>
      <c r="P5" s="13" cm="1">
        <f t="array" aca="1" ref="P5" ca="1">-INDIRECT("'data'!$N$" &amp; $A$1)*parameters!$B$15</f>
        <v>-3442.74</v>
      </c>
      <c r="Q5" s="16">
        <f ca="1">SUM(L5:P5)</f>
        <v>59656.597530373219</v>
      </c>
      <c r="R5" s="16">
        <f t="shared" ca="1" si="2"/>
        <v>59656.597530373219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28807.1</v>
      </c>
      <c r="I6" s="14"/>
      <c r="J6" s="14"/>
      <c r="K6" s="13"/>
      <c r="L6" s="16">
        <f t="shared" ca="1" si="0"/>
        <v>28807.1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28807.1</v>
      </c>
      <c r="R6" s="16">
        <f t="shared" ca="1" si="2"/>
        <v>28807.1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48461</v>
      </c>
      <c r="I7" s="14"/>
      <c r="J7" s="14"/>
      <c r="K7" s="13"/>
      <c r="L7" s="16">
        <f t="shared" ca="1" si="0"/>
        <v>48461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48461</v>
      </c>
      <c r="R7" s="16">
        <f t="shared" ca="1" si="2"/>
        <v>48461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24392.578641503496</v>
      </c>
      <c r="J8" s="14">
        <f ca="1">Q10/J18</f>
        <v>59165.161358496509</v>
      </c>
      <c r="K8" s="13"/>
      <c r="L8" s="16">
        <f t="shared" ca="1" si="0"/>
        <v>83557.740000000005</v>
      </c>
      <c r="M8" s="16"/>
      <c r="N8" s="16">
        <f t="shared" ca="1" si="3"/>
        <v>0</v>
      </c>
      <c r="O8" s="11" cm="1">
        <f t="array" aca="1" ref="O8" ca="1">INDIRECT("'data'!$R$" &amp; $A$1)*parameters!$B$15</f>
        <v>139.16</v>
      </c>
      <c r="P8" s="13" cm="1">
        <f t="array" aca="1" ref="P8" ca="1">-INDIRECT("'data'!$S$" &amp; $A$1)*parameters!$B$15</f>
        <v>-6428.8</v>
      </c>
      <c r="Q8" s="16">
        <f ca="1">SUM(Q6:Q7)</f>
        <v>77268.100000000006</v>
      </c>
      <c r="R8" s="16">
        <f t="shared" ca="1" si="2"/>
        <v>77268.100000000006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27469.4</v>
      </c>
      <c r="L9" s="16">
        <f t="shared" ca="1" si="0"/>
        <v>27469.4</v>
      </c>
      <c r="M9" s="16"/>
      <c r="N9" s="16">
        <f t="shared" ca="1" si="3"/>
        <v>0</v>
      </c>
      <c r="O9" s="11" cm="1">
        <f t="array" aca="1" ref="O9" ca="1">INDIRECT("'data'!$U$" &amp; $A$1)*parameters!$B$15</f>
        <v>2059.96</v>
      </c>
      <c r="P9" s="13" cm="1">
        <f t="array" aca="1" ref="P9" ca="1">-INDIRECT("'data'!$V$" &amp; $A$1)*parameters!$B$15</f>
        <v>-7415.66</v>
      </c>
      <c r="Q9" s="16" cm="1">
        <f t="array" aca="1" ref="Q9" ca="1">INDIRECT("'data'!$T$" &amp; $A$1)*parameters!$B$15</f>
        <v>22113.7</v>
      </c>
      <c r="R9" s="16">
        <f t="shared" ca="1" si="2"/>
        <v>22113.7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62148.951351351359</v>
      </c>
      <c r="L10" s="16">
        <f t="shared" ca="1" si="0"/>
        <v>62148.951351351359</v>
      </c>
      <c r="M10" s="16"/>
      <c r="N10" s="16">
        <f t="shared" ca="1" si="3"/>
        <v>0</v>
      </c>
      <c r="O10" s="11" cm="1">
        <f t="array" aca="1" ref="O10" ca="1">INDIRECT("'data'!$X$" &amp; $A$1)*parameters!$B$15</f>
        <v>5928.0199999999995</v>
      </c>
      <c r="P10" s="13" cm="1">
        <f t="array" aca="1" ref="P10" ca="1">-INDIRECT("'data'!$Y$" &amp; $A$1)*parameters!$B$15</f>
        <v>-14439.32</v>
      </c>
      <c r="Q10" s="16" cm="1">
        <f t="array" aca="1" ref="Q10" ca="1">INDIRECT("'data'!$W$" &amp; $A$1)*parameters!$B$15</f>
        <v>53637.651351351356</v>
      </c>
      <c r="R10" s="16">
        <f t="shared" ca="1" si="2"/>
        <v>53637.651351351356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101572.17416216218</v>
      </c>
      <c r="N11" s="19"/>
      <c r="O11" s="21" cm="1">
        <f t="array" aca="1" ref="O11" ca="1">INDIRECT("'data'!$Z$" &amp; $A$1)*parameters!$B$15</f>
        <v>19537.28</v>
      </c>
      <c r="P11" s="27" cm="1">
        <f t="array" aca="1" ref="P11" ca="1">-INDIRECT("'data'!$AA$" &amp; $A$1)*parameters!$B$15</f>
        <v>-41840.120000000003</v>
      </c>
      <c r="Q11" s="16">
        <f ca="1">K9*parameters!$B$10+K10*parameters!$B$11</f>
        <v>79269.334162162166</v>
      </c>
      <c r="R11" s="16">
        <f t="shared" ref="R11:R17" ca="1" si="4">SUM(L11:P11)</f>
        <v>79269.33416216218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-152.38731256918618</v>
      </c>
      <c r="D12" s="9">
        <f ca="1">-(D17-Q4)</f>
        <v>-6.4160209318707757</v>
      </c>
      <c r="E12" s="9">
        <f ca="1">-(E17-Q5)</f>
        <v>-7373.2873352146635</v>
      </c>
      <c r="F12" s="9">
        <f ca="1">-(F17-Q6)</f>
        <v>-1904.0940298507485</v>
      </c>
      <c r="G12" s="9">
        <f ca="1">-(G17-Q7)</f>
        <v>-2177.4535005224679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-11613.638199088937</v>
      </c>
      <c r="M12" s="17"/>
      <c r="N12" s="17"/>
      <c r="O12" s="10"/>
      <c r="P12" s="12"/>
      <c r="Q12" s="9">
        <f t="shared" ref="Q12:Q17" ca="1" si="6">SUM(L12:P12)</f>
        <v>-11613.638199088937</v>
      </c>
      <c r="R12" s="17">
        <f t="shared" ca="1" si="4"/>
        <v>-11613.638199088937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-2278.8786415034956</v>
      </c>
      <c r="J13" s="14">
        <f ca="1">-(J17-Q10)</f>
        <v>-5527.5100071451525</v>
      </c>
      <c r="K13" s="13">
        <f ca="1">-(K17-Q11)</f>
        <v>-10349.017189189195</v>
      </c>
      <c r="L13" s="14">
        <f t="shared" ca="1" si="5"/>
        <v>-18155.405837837843</v>
      </c>
      <c r="M13" s="16">
        <f ca="1">-E15</f>
        <v>-48874.479027750043</v>
      </c>
      <c r="N13" s="16"/>
      <c r="O13" s="11"/>
      <c r="P13" s="13"/>
      <c r="Q13" s="14">
        <f t="shared" ca="1" si="6"/>
        <v>-67029.884865587883</v>
      </c>
      <c r="R13" s="16">
        <f t="shared" ca="1" si="4"/>
        <v>-67029.884865587883</v>
      </c>
    </row>
    <row r="14" spans="1:20">
      <c r="A14" s="18" t="s">
        <v>78</v>
      </c>
      <c r="B14" s="11"/>
      <c r="C14" s="14"/>
      <c r="D14" s="14"/>
      <c r="E14" s="14">
        <f ca="1">-(I13+J13)-K13</f>
        <v>18155.405837837843</v>
      </c>
      <c r="F14" s="14"/>
      <c r="G14" s="14"/>
      <c r="H14" s="14"/>
      <c r="I14" s="14"/>
      <c r="J14" s="14"/>
      <c r="K14" s="13"/>
      <c r="L14" s="14">
        <f t="shared" ca="1" si="5"/>
        <v>18155.405837837843</v>
      </c>
      <c r="M14" s="16"/>
      <c r="N14" s="16"/>
      <c r="O14" s="11"/>
      <c r="P14" s="13"/>
      <c r="Q14" s="14">
        <f t="shared" ca="1" si="6"/>
        <v>18155.405837837843</v>
      </c>
      <c r="R14" s="16">
        <f t="shared" ca="1" si="4"/>
        <v>18155.405837837843</v>
      </c>
    </row>
    <row r="15" spans="1:20">
      <c r="A15" s="18" t="s">
        <v>79</v>
      </c>
      <c r="B15" s="11"/>
      <c r="C15" s="14"/>
      <c r="D15" s="14"/>
      <c r="E15" s="14">
        <f ca="1">E17-E14</f>
        <v>48874.479027750043</v>
      </c>
      <c r="F15" s="14"/>
      <c r="G15" s="14"/>
      <c r="H15" s="14"/>
      <c r="I15" s="14"/>
      <c r="J15" s="14"/>
      <c r="K15" s="13"/>
      <c r="L15" s="14">
        <f t="shared" ca="1" si="5"/>
        <v>48874.479027750043</v>
      </c>
      <c r="M15" s="16"/>
      <c r="N15" s="16"/>
      <c r="O15" s="11"/>
      <c r="P15" s="13"/>
      <c r="Q15" s="14">
        <f t="shared" ca="1" si="6"/>
        <v>48874.479027750043</v>
      </c>
      <c r="R15" s="16">
        <f t="shared" ca="1" si="4"/>
        <v>48874.479027750043</v>
      </c>
    </row>
    <row r="16" spans="1:20">
      <c r="A16" s="30" t="s">
        <v>89</v>
      </c>
      <c r="B16" s="21">
        <f ca="1">Q2</f>
        <v>28800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28800</v>
      </c>
      <c r="M16" s="19"/>
      <c r="N16" s="19"/>
      <c r="O16" s="21"/>
      <c r="P16" s="27"/>
      <c r="Q16" s="22">
        <f t="shared" ca="1" si="6"/>
        <v>28800</v>
      </c>
      <c r="R16" s="19">
        <f t="shared" ca="1" si="4"/>
        <v>28800</v>
      </c>
    </row>
    <row r="17" spans="1:18">
      <c r="A17" s="29" t="s">
        <v>88</v>
      </c>
      <c r="B17" s="9">
        <f ca="1">B16</f>
        <v>28800</v>
      </c>
      <c r="C17" s="9">
        <f ca="1">SUM(C$2:C$11)</f>
        <v>24188.462312569183</v>
      </c>
      <c r="D17" s="9">
        <f ca="1">SUM(D$2:D$11)</f>
        <v>1018.4160209318708</v>
      </c>
      <c r="E17" s="9">
        <f ca="1">$Q$5/parameters!$B$4</f>
        <v>67029.884865587883</v>
      </c>
      <c r="F17" s="9">
        <f t="shared" ref="F17:K17" ca="1" si="7">SUM(F$2:F$11)</f>
        <v>30711.194029850747</v>
      </c>
      <c r="G17" s="9">
        <f t="shared" ca="1" si="7"/>
        <v>50638.453500522468</v>
      </c>
      <c r="H17" s="9">
        <f t="shared" ca="1" si="7"/>
        <v>77268.100000000006</v>
      </c>
      <c r="I17" s="9">
        <f t="shared" ca="1" si="7"/>
        <v>24392.578641503496</v>
      </c>
      <c r="J17" s="9">
        <f t="shared" ca="1" si="7"/>
        <v>59165.161358496509</v>
      </c>
      <c r="K17" s="9">
        <f t="shared" ca="1" si="7"/>
        <v>89618.351351351361</v>
      </c>
      <c r="L17" s="17">
        <f t="shared" ca="1" si="5"/>
        <v>452830.60208081349</v>
      </c>
      <c r="M17" s="17"/>
      <c r="N17" s="17"/>
      <c r="O17" s="9"/>
      <c r="P17" s="14"/>
      <c r="Q17" s="11">
        <f t="shared" ca="1" si="6"/>
        <v>452830.60208081349</v>
      </c>
      <c r="R17" s="17">
        <f t="shared" ca="1" si="4"/>
        <v>452830.60208081349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0.90657491874901541</v>
      </c>
      <c r="J18" s="39">
        <f ca="1">I18</f>
        <v>0.90657491874901541</v>
      </c>
      <c r="K18" s="40">
        <f ca="1">1-(-K13)/K17</f>
        <v>0.88452122770462971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49977.442890208309</v>
      </c>
      <c r="D2" s="9">
        <f ca="1">Q4/parameters!$B$3</f>
        <v>5032.8268088960449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55010.269699104356</v>
      </c>
      <c r="M2" s="17"/>
      <c r="N2" s="17">
        <f ca="1">Q2-(L2+O2+P2)</f>
        <v>0</v>
      </c>
      <c r="O2" s="11" cm="1">
        <f t="array" aca="1" ref="O2" ca="1">INDIRECT("'data'!$F$" &amp; $A$1)</f>
        <v>13806.65</v>
      </c>
      <c r="P2" s="13">
        <f ca="1">IF(-(L2-Q2+O2)&lt;0, -(L2-Q2+O2), 0)</f>
        <v>-9197.9196991043555</v>
      </c>
      <c r="Q2" s="17" cm="1">
        <f t="array" aca="1" ref="Q2" ca="1">INDIRECT("'data'!$D$" &amp; $A$1)</f>
        <v>59619</v>
      </c>
      <c r="R2" s="17">
        <f ca="1">SUM(L2:P2)</f>
        <v>59619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40662.686567164186</v>
      </c>
      <c r="G3" s="14">
        <f ca="1">Q3-O3-P3-F3</f>
        <v>3954.5434328358097</v>
      </c>
      <c r="H3" s="14"/>
      <c r="I3" s="14"/>
      <c r="J3" s="14"/>
      <c r="K3" s="13"/>
      <c r="L3" s="16">
        <f t="shared" ca="1" si="0"/>
        <v>44617.229999999996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5045.3549999999996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49662.584999999999</v>
      </c>
      <c r="R3" s="16">
        <f t="shared" ref="R3:R10" ca="1" si="2">SUM(L3:P3)</f>
        <v>49662.584999999992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2970.68</v>
      </c>
      <c r="H4" s="14"/>
      <c r="I4" s="14"/>
      <c r="J4" s="14"/>
      <c r="K4" s="13"/>
      <c r="L4" s="16">
        <f t="shared" ca="1" si="0"/>
        <v>2970.68</v>
      </c>
      <c r="M4" s="16"/>
      <c r="N4" s="16">
        <f t="shared" ca="1" si="1"/>
        <v>0</v>
      </c>
      <c r="O4" s="11" cm="1">
        <f t="array" aca="1" ref="O4" ca="1">INDIRECT("'data'!$K$" &amp; $A$1)*parameters!$B$14</f>
        <v>2030.44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5001.12</v>
      </c>
      <c r="R4" s="16">
        <f t="shared" ca="1" si="2"/>
        <v>5001.12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10165.671641791047</v>
      </c>
      <c r="G5" s="14">
        <f ca="1">Q7/parameters!$B$7-(G3+G4)</f>
        <v>15193.898824217482</v>
      </c>
      <c r="H5" s="14"/>
      <c r="I5" s="14"/>
      <c r="J5" s="14"/>
      <c r="K5" s="13"/>
      <c r="L5" s="16">
        <f t="shared" ca="1" si="0"/>
        <v>25359.570466008528</v>
      </c>
      <c r="M5" s="16"/>
      <c r="N5" s="16"/>
      <c r="O5" s="11" cm="1">
        <f t="array" aca="1" ref="O5" ca="1">INDIRECT("'data'!$M$" &amp; $A$1)*parameters!$B$15</f>
        <v>5791.8</v>
      </c>
      <c r="P5" s="13" cm="1">
        <f t="array" aca="1" ref="P5" ca="1">-INDIRECT("'data'!$N$" &amp; $A$1)*parameters!$B$15</f>
        <v>-230.29999999999998</v>
      </c>
      <c r="Q5" s="16">
        <f ca="1">SUM(L5:P5)</f>
        <v>30921.070466008528</v>
      </c>
      <c r="R5" s="16">
        <f t="shared" ca="1" si="2"/>
        <v>30921.070466008528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47677</v>
      </c>
      <c r="I6" s="14"/>
      <c r="J6" s="14"/>
      <c r="K6" s="13"/>
      <c r="L6" s="16">
        <f t="shared" ca="1" si="0"/>
        <v>47677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47677</v>
      </c>
      <c r="R6" s="16">
        <f t="shared" ca="1" si="2"/>
        <v>47677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21168</v>
      </c>
      <c r="I7" s="14"/>
      <c r="J7" s="14"/>
      <c r="K7" s="13"/>
      <c r="L7" s="16">
        <f t="shared" ca="1" si="0"/>
        <v>21168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21168</v>
      </c>
      <c r="R7" s="16">
        <f t="shared" ca="1" si="2"/>
        <v>21168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23346.190446617551</v>
      </c>
      <c r="J8" s="14">
        <f ca="1">Q10/J18</f>
        <v>30502.84955338245</v>
      </c>
      <c r="K8" s="13"/>
      <c r="L8" s="16">
        <f t="shared" ca="1" si="0"/>
        <v>53849.04</v>
      </c>
      <c r="M8" s="16"/>
      <c r="N8" s="16">
        <f t="shared" ca="1" si="3"/>
        <v>0</v>
      </c>
      <c r="O8" s="11" cm="1">
        <f t="array" aca="1" ref="O8" ca="1">INDIRECT("'data'!$R$" &amp; $A$1)*parameters!$B$15</f>
        <v>15003.8</v>
      </c>
      <c r="P8" s="13" cm="1">
        <f t="array" aca="1" ref="P8" ca="1">-INDIRECT("'data'!$S$" &amp; $A$1)*parameters!$B$15</f>
        <v>-7.84</v>
      </c>
      <c r="Q8" s="16">
        <f ca="1">SUM(Q6:Q7)</f>
        <v>68845</v>
      </c>
      <c r="R8" s="16">
        <f t="shared" ca="1" si="2"/>
        <v>68845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17300.920000000002</v>
      </c>
      <c r="L9" s="16">
        <f t="shared" ca="1" si="0"/>
        <v>17300.920000000002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4012.12</v>
      </c>
      <c r="P9" s="13" cm="1">
        <f t="array" aca="1" ref="P9" ca="1">-INDIRECT("'data'!$V$" &amp; $A$1)*parameters!$B$15</f>
        <v>-1207.3599999999999</v>
      </c>
      <c r="Q9" s="16" cm="1">
        <f t="array" aca="1" ref="Q9" ca="1">INDIRECT("'data'!$T$" &amp; $A$1)*parameters!$B$15</f>
        <v>20105.68</v>
      </c>
      <c r="R9" s="16">
        <f t="shared" ca="1" si="2"/>
        <v>20105.68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20019.516671408248</v>
      </c>
      <c r="L10" s="16">
        <f t="shared" ca="1" si="0"/>
        <v>20019.516671408248</v>
      </c>
      <c r="M10" s="16"/>
      <c r="N10" s="16">
        <f t="shared" ca="1" si="3"/>
        <v>0</v>
      </c>
      <c r="O10" s="11" cm="1">
        <f t="array" aca="1" ref="O10" ca="1">INDIRECT("'data'!$X$" &amp; $A$1)*parameters!$B$15</f>
        <v>8860.18</v>
      </c>
      <c r="P10" s="13" cm="1">
        <f t="array" aca="1" ref="P10" ca="1">-INDIRECT("'data'!$Y$" &amp; $A$1)*parameters!$B$15</f>
        <v>-2610.7199999999998</v>
      </c>
      <c r="Q10" s="16" cm="1">
        <f t="array" aca="1" ref="Q10" ca="1">INDIRECT("'data'!$W$" &amp; $A$1)*parameters!$B$15</f>
        <v>26268.976671408247</v>
      </c>
      <c r="R10" s="16">
        <f t="shared" ca="1" si="2"/>
        <v>26268.976671408247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37363.38913741109</v>
      </c>
      <c r="N11" s="19"/>
      <c r="O11" s="21" cm="1">
        <f t="array" aca="1" ref="O11" ca="1">INDIRECT("'data'!$Z$" &amp; $A$1)*parameters!$B$15</f>
        <v>2181.48</v>
      </c>
      <c r="P11" s="27" cm="1">
        <f t="array" aca="1" ref="P11" ca="1">-INDIRECT("'data'!$AA$" &amp; $A$1)*parameters!$B$15</f>
        <v>-6065.22</v>
      </c>
      <c r="Q11" s="16">
        <f ca="1">K9*parameters!$B$10+K10*parameters!$B$11</f>
        <v>33479.649137411092</v>
      </c>
      <c r="R11" s="16">
        <f t="shared" ref="R11:R17" ca="1" si="4">SUM(L11:P11)</f>
        <v>33479.649137411092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-314.85789020830998</v>
      </c>
      <c r="D12" s="9">
        <f ca="1">-(D17-Q4)</f>
        <v>-31.706808896045004</v>
      </c>
      <c r="E12" s="9">
        <f ca="1">-(E17-Q5)</f>
        <v>-3821.7053384954379</v>
      </c>
      <c r="F12" s="9">
        <f ca="1">-(F17-Q6)</f>
        <v>-3151.3582089552365</v>
      </c>
      <c r="G12" s="9">
        <f ca="1">-(G17-Q7)</f>
        <v>-951.12225705329183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-8270.7505036083203</v>
      </c>
      <c r="M12" s="17"/>
      <c r="N12" s="17"/>
      <c r="O12" s="10"/>
      <c r="P12" s="12"/>
      <c r="Q12" s="9">
        <f t="shared" ref="Q12:Q17" ca="1" si="6">SUM(L12:P12)</f>
        <v>-8270.7505036083203</v>
      </c>
      <c r="R12" s="17">
        <f t="shared" ca="1" si="4"/>
        <v>-8270.7505036083203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-3240.5104466175508</v>
      </c>
      <c r="J13" s="14">
        <f ca="1">-(J17-Q10)</f>
        <v>-4233.8728819742028</v>
      </c>
      <c r="K13" s="13">
        <f ca="1">-(K17-Q11)</f>
        <v>-3840.7875339971579</v>
      </c>
      <c r="L13" s="14">
        <f t="shared" ca="1" si="5"/>
        <v>-11315.170862588911</v>
      </c>
      <c r="M13" s="16">
        <f ca="1">-E15</f>
        <v>-23427.604941915055</v>
      </c>
      <c r="N13" s="16"/>
      <c r="O13" s="11"/>
      <c r="P13" s="13"/>
      <c r="Q13" s="14">
        <f t="shared" ca="1" si="6"/>
        <v>-34742.775804503966</v>
      </c>
      <c r="R13" s="16">
        <f t="shared" ca="1" si="4"/>
        <v>-34742.775804503966</v>
      </c>
    </row>
    <row r="14" spans="1:20">
      <c r="A14" s="18" t="s">
        <v>78</v>
      </c>
      <c r="B14" s="11"/>
      <c r="C14" s="14"/>
      <c r="D14" s="14"/>
      <c r="E14" s="14">
        <f ca="1">-(I13+J13)-K13</f>
        <v>11315.170862588911</v>
      </c>
      <c r="F14" s="14"/>
      <c r="G14" s="14"/>
      <c r="H14" s="14"/>
      <c r="I14" s="14"/>
      <c r="J14" s="14"/>
      <c r="K14" s="13"/>
      <c r="L14" s="14">
        <f t="shared" ca="1" si="5"/>
        <v>11315.170862588911</v>
      </c>
      <c r="M14" s="16"/>
      <c r="N14" s="16"/>
      <c r="O14" s="11"/>
      <c r="P14" s="13"/>
      <c r="Q14" s="14">
        <f t="shared" ca="1" si="6"/>
        <v>11315.170862588911</v>
      </c>
      <c r="R14" s="16">
        <f t="shared" ca="1" si="4"/>
        <v>11315.170862588911</v>
      </c>
    </row>
    <row r="15" spans="1:20">
      <c r="A15" s="18" t="s">
        <v>79</v>
      </c>
      <c r="B15" s="11"/>
      <c r="C15" s="14"/>
      <c r="D15" s="14"/>
      <c r="E15" s="14">
        <f ca="1">E17-E14</f>
        <v>23427.604941915055</v>
      </c>
      <c r="F15" s="14"/>
      <c r="G15" s="14"/>
      <c r="H15" s="14"/>
      <c r="I15" s="14"/>
      <c r="J15" s="14"/>
      <c r="K15" s="13"/>
      <c r="L15" s="14">
        <f t="shared" ca="1" si="5"/>
        <v>23427.604941915055</v>
      </c>
      <c r="M15" s="16"/>
      <c r="N15" s="16"/>
      <c r="O15" s="11"/>
      <c r="P15" s="13"/>
      <c r="Q15" s="14">
        <f t="shared" ca="1" si="6"/>
        <v>23427.604941915055</v>
      </c>
      <c r="R15" s="16">
        <f t="shared" ca="1" si="4"/>
        <v>23427.604941915055</v>
      </c>
    </row>
    <row r="16" spans="1:20">
      <c r="A16" s="30" t="s">
        <v>89</v>
      </c>
      <c r="B16" s="21">
        <f ca="1">Q2</f>
        <v>59619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59619</v>
      </c>
      <c r="M16" s="19"/>
      <c r="N16" s="19"/>
      <c r="O16" s="21"/>
      <c r="P16" s="27"/>
      <c r="Q16" s="22">
        <f t="shared" ca="1" si="6"/>
        <v>59619</v>
      </c>
      <c r="R16" s="19">
        <f t="shared" ca="1" si="4"/>
        <v>59619</v>
      </c>
    </row>
    <row r="17" spans="1:18">
      <c r="A17" s="29" t="s">
        <v>88</v>
      </c>
      <c r="B17" s="9">
        <f ca="1">B16</f>
        <v>59619</v>
      </c>
      <c r="C17" s="9">
        <f ca="1">SUM(C$2:C$11)</f>
        <v>49977.442890208309</v>
      </c>
      <c r="D17" s="9">
        <f ca="1">SUM(D$2:D$11)</f>
        <v>5032.8268088960449</v>
      </c>
      <c r="E17" s="9">
        <f ca="1">$Q$5/parameters!$B$4</f>
        <v>34742.775804503966</v>
      </c>
      <c r="F17" s="9">
        <f t="shared" ref="F17:K17" ca="1" si="7">SUM(F$2:F$11)</f>
        <v>50828.358208955236</v>
      </c>
      <c r="G17" s="9">
        <f t="shared" ca="1" si="7"/>
        <v>22119.122257053292</v>
      </c>
      <c r="H17" s="9">
        <f t="shared" ca="1" si="7"/>
        <v>68845</v>
      </c>
      <c r="I17" s="9">
        <f t="shared" ca="1" si="7"/>
        <v>23346.190446617551</v>
      </c>
      <c r="J17" s="9">
        <f t="shared" ca="1" si="7"/>
        <v>30502.84955338245</v>
      </c>
      <c r="K17" s="9">
        <f t="shared" ca="1" si="7"/>
        <v>37320.43667140825</v>
      </c>
      <c r="L17" s="17">
        <f t="shared" ca="1" si="5"/>
        <v>382334.00264102506</v>
      </c>
      <c r="M17" s="17"/>
      <c r="N17" s="17"/>
      <c r="O17" s="9"/>
      <c r="P17" s="14"/>
      <c r="Q17" s="11">
        <f t="shared" ca="1" si="6"/>
        <v>382334.00264102506</v>
      </c>
      <c r="R17" s="17">
        <f t="shared" ca="1" si="4"/>
        <v>382334.00264102506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0.93799999999999972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0.86119746371352668</v>
      </c>
      <c r="J18" s="39">
        <f ca="1">I18</f>
        <v>0.86119746371352668</v>
      </c>
      <c r="K18" s="40">
        <f ca="1">1-(-K13)/K17</f>
        <v>0.8970862112945307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45304.271913052224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45304.271913052224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-45304.271913052224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40537.313432835821</v>
      </c>
      <c r="G3" s="14">
        <f ca="1">Q3-O3-P3-F3</f>
        <v>4871.8265671641784</v>
      </c>
      <c r="H3" s="14"/>
      <c r="I3" s="14"/>
      <c r="J3" s="14"/>
      <c r="K3" s="13"/>
      <c r="L3" s="16">
        <f t="shared" ca="1" si="0"/>
        <v>45409.14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-390.28499999999997</v>
      </c>
      <c r="Q3" s="16" cm="1">
        <f t="array" aca="1" ref="Q3" ca="1">INDIRECT("'data'!$G$" &amp; $A$1)*parameters!$B$13</f>
        <v>45018.854999999996</v>
      </c>
      <c r="R3" s="16">
        <f t="shared" ref="R3:R10" ca="1" si="2">SUM(L3:P3)</f>
        <v>45018.854999999996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301.76</v>
      </c>
      <c r="H4" s="14"/>
      <c r="I4" s="14"/>
      <c r="J4" s="14"/>
      <c r="K4" s="13"/>
      <c r="L4" s="16">
        <f t="shared" ca="1" si="0"/>
        <v>301.76</v>
      </c>
      <c r="M4" s="16"/>
      <c r="N4" s="16">
        <f t="shared" ca="1" si="1"/>
        <v>0</v>
      </c>
      <c r="O4" s="11" cm="1">
        <f t="array" aca="1" ref="O4" ca="1">INDIRECT("'data'!$K$" &amp; $A$1)*parameters!$B$14</f>
        <v>16.560000000000002</v>
      </c>
      <c r="P4" s="13" cm="1">
        <f t="array" aca="1" ref="P4" ca="1">-INDIRECT("'data'!$L$" &amp; $A$1)*parameters!$B$14</f>
        <v>-318.32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10134.328358208957</v>
      </c>
      <c r="G5" s="14">
        <f ca="1">Q7/parameters!$B$7-(G3+G4)</f>
        <v>16506.225345061524</v>
      </c>
      <c r="H5" s="14"/>
      <c r="I5" s="14"/>
      <c r="J5" s="14"/>
      <c r="K5" s="13"/>
      <c r="L5" s="16">
        <f t="shared" ca="1" si="0"/>
        <v>26640.553703270481</v>
      </c>
      <c r="M5" s="16"/>
      <c r="N5" s="16"/>
      <c r="O5" s="11" cm="1">
        <f t="array" aca="1" ref="O5" ca="1">INDIRECT("'data'!$M$" &amp; $A$1)*parameters!$B$15</f>
        <v>409.64</v>
      </c>
      <c r="P5" s="13" cm="1">
        <f t="array" aca="1" ref="P5" ca="1">-INDIRECT("'data'!$N$" &amp; $A$1)*parameters!$B$15</f>
        <v>-5642.84</v>
      </c>
      <c r="Q5" s="16">
        <f ca="1">SUM(L5:P5)</f>
        <v>21407.353703270481</v>
      </c>
      <c r="R5" s="16">
        <f t="shared" ca="1" si="2"/>
        <v>21407.353703270481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47530</v>
      </c>
      <c r="I6" s="14"/>
      <c r="J6" s="14"/>
      <c r="K6" s="13"/>
      <c r="L6" s="16">
        <f t="shared" ca="1" si="0"/>
        <v>47530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47530</v>
      </c>
      <c r="R6" s="16">
        <f t="shared" ca="1" si="2"/>
        <v>47530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20747.579999999998</v>
      </c>
      <c r="I7" s="14"/>
      <c r="J7" s="14"/>
      <c r="K7" s="13"/>
      <c r="L7" s="16">
        <f t="shared" ca="1" si="0"/>
        <v>20747.579999999998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20747.579999999998</v>
      </c>
      <c r="R7" s="16">
        <f t="shared" ca="1" si="2"/>
        <v>20747.579999999998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21547.203224049099</v>
      </c>
      <c r="J8" s="14">
        <f ca="1">Q10/J18</f>
        <v>49136.276775950908</v>
      </c>
      <c r="K8" s="13"/>
      <c r="L8" s="16">
        <f t="shared" ca="1" si="0"/>
        <v>70683.48000000001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473.34</v>
      </c>
      <c r="P8" s="13" cm="1">
        <f t="array" aca="1" ref="P8" ca="1">-INDIRECT("'data'!$S$" &amp; $A$1)*parameters!$B$15</f>
        <v>-2879.24</v>
      </c>
      <c r="Q8" s="16">
        <f ca="1">SUM(Q6:Q7)</f>
        <v>68277.58</v>
      </c>
      <c r="R8" s="16">
        <f t="shared" ca="1" si="2"/>
        <v>68277.58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22412.600000000002</v>
      </c>
      <c r="L9" s="16">
        <f t="shared" ca="1" si="0"/>
        <v>22412.600000000002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3352.58</v>
      </c>
      <c r="P9" s="13" cm="1">
        <f t="array" aca="1" ref="P9" ca="1">-INDIRECT("'data'!$V$" &amp; $A$1)*parameters!$B$15</f>
        <v>-5921.16</v>
      </c>
      <c r="Q9" s="16" cm="1">
        <f t="array" aca="1" ref="Q9" ca="1">INDIRECT("'data'!$T$" &amp; $A$1)*parameters!$B$15</f>
        <v>19844.02</v>
      </c>
      <c r="R9" s="16">
        <f t="shared" ca="1" si="2"/>
        <v>19844.02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32466.275021337129</v>
      </c>
      <c r="L10" s="16">
        <f t="shared" ca="1" si="0"/>
        <v>32466.275021337129</v>
      </c>
      <c r="M10" s="16"/>
      <c r="N10" s="16">
        <f t="shared" ca="1" si="3"/>
        <v>0</v>
      </c>
      <c r="O10" s="11" cm="1">
        <f t="array" aca="1" ref="O10" ca="1">INDIRECT("'data'!$X$" &amp; $A$1)*parameters!$B$15</f>
        <v>24334.38</v>
      </c>
      <c r="P10" s="13" cm="1">
        <f t="array" aca="1" ref="P10" ca="1">-INDIRECT("'data'!$Y$" &amp; $A$1)*parameters!$B$15</f>
        <v>-11548.32</v>
      </c>
      <c r="Q10" s="16" cm="1">
        <f t="array" aca="1" ref="Q10" ca="1">INDIRECT("'data'!$W$" &amp; $A$1)*parameters!$B$15</f>
        <v>45252.33502133713</v>
      </c>
      <c r="R10" s="16">
        <f t="shared" ca="1" si="2"/>
        <v>45252.33502133713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33218.680518349931</v>
      </c>
      <c r="N11" s="19"/>
      <c r="O11" s="21" cm="1">
        <f t="array" aca="1" ref="O11" ca="1">INDIRECT("'data'!$Z$" &amp; $A$1)*parameters!$B$15</f>
        <v>22241.1</v>
      </c>
      <c r="P11" s="27" cm="1">
        <f t="array" aca="1" ref="P11" ca="1">-INDIRECT("'data'!$AA$" &amp; $A$1)*parameters!$B$15</f>
        <v>-6470.94</v>
      </c>
      <c r="Q11" s="16">
        <f ca="1">K9*parameters!$B$10+K10*parameters!$B$11</f>
        <v>48988.840518349927</v>
      </c>
      <c r="R11" s="16">
        <f t="shared" ref="R11:R17" ca="1" si="4">SUM(L11:P11)</f>
        <v>48988.840518349927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-285.41691305222776</v>
      </c>
      <c r="D12" s="9">
        <f ca="1">-(D17-Q4)</f>
        <v>0</v>
      </c>
      <c r="E12" s="9">
        <f ca="1">-(E17-Q5)</f>
        <v>-2645.8527048985998</v>
      </c>
      <c r="F12" s="9">
        <f ca="1">-(F17-Q6)</f>
        <v>-3141.6417910447781</v>
      </c>
      <c r="G12" s="9">
        <f ca="1">-(G17-Q7)</f>
        <v>-932.23191222570676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-7005.1433212213124</v>
      </c>
      <c r="M12" s="17"/>
      <c r="N12" s="17"/>
      <c r="O12" s="10"/>
      <c r="P12" s="12"/>
      <c r="Q12" s="9">
        <f t="shared" ref="Q12:Q17" ca="1" si="6">SUM(L12:P12)</f>
        <v>-7005.1433212213124</v>
      </c>
      <c r="R12" s="17">
        <f t="shared" ca="1" si="4"/>
        <v>-7005.1433212213124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-1703.1832240490985</v>
      </c>
      <c r="J13" s="14">
        <f ca="1">-(J17-Q10)</f>
        <v>-3883.9417546137774</v>
      </c>
      <c r="K13" s="13">
        <f ca="1">-(K17-Q11)</f>
        <v>-5890.0345029872042</v>
      </c>
      <c r="L13" s="14">
        <f t="shared" ca="1" si="5"/>
        <v>-11477.15948165008</v>
      </c>
      <c r="M13" s="16">
        <f ca="1">-E15</f>
        <v>-12576.046926519</v>
      </c>
      <c r="N13" s="16"/>
      <c r="O13" s="11"/>
      <c r="P13" s="13"/>
      <c r="Q13" s="14">
        <f t="shared" ca="1" si="6"/>
        <v>-24053.206408169081</v>
      </c>
      <c r="R13" s="16">
        <f t="shared" ca="1" si="4"/>
        <v>-24053.206408169081</v>
      </c>
    </row>
    <row r="14" spans="1:20">
      <c r="A14" s="18" t="s">
        <v>78</v>
      </c>
      <c r="B14" s="11"/>
      <c r="C14" s="14"/>
      <c r="D14" s="14"/>
      <c r="E14" s="14">
        <f ca="1">-(I13+J13)-K13</f>
        <v>11477.15948165008</v>
      </c>
      <c r="F14" s="14"/>
      <c r="G14" s="14"/>
      <c r="H14" s="14"/>
      <c r="I14" s="14"/>
      <c r="J14" s="14"/>
      <c r="K14" s="13"/>
      <c r="L14" s="14">
        <f t="shared" ca="1" si="5"/>
        <v>11477.15948165008</v>
      </c>
      <c r="M14" s="16"/>
      <c r="N14" s="16"/>
      <c r="O14" s="11"/>
      <c r="P14" s="13"/>
      <c r="Q14" s="14">
        <f t="shared" ca="1" si="6"/>
        <v>11477.15948165008</v>
      </c>
      <c r="R14" s="16">
        <f t="shared" ca="1" si="4"/>
        <v>11477.15948165008</v>
      </c>
    </row>
    <row r="15" spans="1:20">
      <c r="A15" s="18" t="s">
        <v>79</v>
      </c>
      <c r="B15" s="11"/>
      <c r="C15" s="14"/>
      <c r="D15" s="14"/>
      <c r="E15" s="14">
        <f ca="1">E17-E14</f>
        <v>12576.046926519</v>
      </c>
      <c r="F15" s="14"/>
      <c r="G15" s="14"/>
      <c r="H15" s="14"/>
      <c r="I15" s="14"/>
      <c r="J15" s="14"/>
      <c r="K15" s="13"/>
      <c r="L15" s="14">
        <f t="shared" ca="1" si="5"/>
        <v>12576.046926519</v>
      </c>
      <c r="M15" s="16"/>
      <c r="N15" s="16"/>
      <c r="O15" s="11"/>
      <c r="P15" s="13"/>
      <c r="Q15" s="14">
        <f t="shared" ca="1" si="6"/>
        <v>12576.046926519</v>
      </c>
      <c r="R15" s="16">
        <f t="shared" ca="1" si="4"/>
        <v>12576.046926519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45304.271913052224</v>
      </c>
      <c r="D17" s="9">
        <f ca="1">SUM(D$2:D$11)</f>
        <v>0</v>
      </c>
      <c r="E17" s="9">
        <f ca="1">$Q$5/parameters!$B$4</f>
        <v>24053.206408169081</v>
      </c>
      <c r="F17" s="9">
        <f t="shared" ref="F17:K17" ca="1" si="7">SUM(F$2:F$11)</f>
        <v>50671.641791044778</v>
      </c>
      <c r="G17" s="9">
        <f t="shared" ca="1" si="7"/>
        <v>21679.811912225705</v>
      </c>
      <c r="H17" s="9">
        <f t="shared" ca="1" si="7"/>
        <v>68277.58</v>
      </c>
      <c r="I17" s="9">
        <f t="shared" ca="1" si="7"/>
        <v>21547.203224049099</v>
      </c>
      <c r="J17" s="9">
        <f t="shared" ca="1" si="7"/>
        <v>49136.276775950908</v>
      </c>
      <c r="K17" s="9">
        <f t="shared" ca="1" si="7"/>
        <v>54878.875021337131</v>
      </c>
      <c r="L17" s="17">
        <f t="shared" ca="1" si="5"/>
        <v>335548.8670458289</v>
      </c>
      <c r="M17" s="17"/>
      <c r="N17" s="17"/>
      <c r="O17" s="9"/>
      <c r="P17" s="14"/>
      <c r="Q17" s="11">
        <f t="shared" ca="1" si="6"/>
        <v>335548.8670458289</v>
      </c>
      <c r="R17" s="17">
        <f t="shared" ca="1" si="4"/>
        <v>335548.8670458289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0.92095571725298653</v>
      </c>
      <c r="J18" s="39">
        <f ca="1">I18</f>
        <v>0.92095571725298653</v>
      </c>
      <c r="K18" s="40">
        <f ca="1">1-(-K13)/K17</f>
        <v>0.8926720983129276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26477.4982389051</v>
      </c>
      <c r="D2" s="9">
        <f ca="1">Q4/parameters!$B$3</f>
        <v>510.13384321223708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26987.632082117336</v>
      </c>
      <c r="M2" s="17"/>
      <c r="N2" s="16">
        <v>0</v>
      </c>
      <c r="O2" s="11" cm="1">
        <f t="array" aca="1" ref="O2" ca="1">INDIRECT("'data'!$F$" &amp; $A$1)</f>
        <v>42.25</v>
      </c>
      <c r="P2" s="13">
        <f ca="1">IF(-(L2-Q2+O2)&lt;0, -(L2-Q2+O2), 0)</f>
        <v>-27029.882082117336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25119.761194029852</v>
      </c>
      <c r="G3" s="14">
        <f ca="1">Q3-O3-P3-F3</f>
        <v>1574.5988059701485</v>
      </c>
      <c r="H3" s="14"/>
      <c r="I3" s="14"/>
      <c r="J3" s="14"/>
      <c r="K3" s="13"/>
      <c r="L3" s="16">
        <f t="shared" ca="1" si="0"/>
        <v>26694.36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133.245</v>
      </c>
      <c r="P3" s="13" cm="1">
        <f t="array" aca="1" ref="P3" ca="1">-INDIRECT("'data'!$I$" &amp; $A$1)*parameters!$B$13</f>
        <v>-516.91499999999996</v>
      </c>
      <c r="Q3" s="16" cm="1">
        <f t="array" aca="1" ref="Q3" ca="1">INDIRECT("'data'!$G$" &amp; $A$1)*parameters!$B$13</f>
        <v>26310.69</v>
      </c>
      <c r="R3" s="16">
        <f t="shared" ref="R3:R10" ca="1" si="2">SUM(L3:P3)</f>
        <v>26310.69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1095.72</v>
      </c>
      <c r="H4" s="14"/>
      <c r="I4" s="14"/>
      <c r="J4" s="14"/>
      <c r="K4" s="13"/>
      <c r="L4" s="16">
        <f t="shared" ca="1" si="0"/>
        <v>1095.72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-588.80000000000007</v>
      </c>
      <c r="Q4" s="16" cm="1">
        <f t="array" aca="1" ref="Q4" ca="1">INDIRECT("'data'!$J$" &amp; $A$1)*parameters!$B$14</f>
        <v>506.92</v>
      </c>
      <c r="R4" s="16">
        <f t="shared" ca="1" si="2"/>
        <v>506.91999999999996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6279.940298507463</v>
      </c>
      <c r="G5" s="14">
        <f ca="1">Q7/parameters!$B$7-(G3+G4)</f>
        <v>10255.031246276456</v>
      </c>
      <c r="H5" s="14"/>
      <c r="I5" s="14"/>
      <c r="J5" s="14"/>
      <c r="K5" s="13"/>
      <c r="L5" s="16">
        <f t="shared" ca="1" si="0"/>
        <v>16534.971544783919</v>
      </c>
      <c r="M5" s="16"/>
      <c r="N5" s="16"/>
      <c r="O5" s="11" cm="1">
        <f t="array" aca="1" ref="O5" ca="1">INDIRECT("'data'!$M$" &amp; $A$1)*parameters!$B$15</f>
        <v>7342.16</v>
      </c>
      <c r="P5" s="13" cm="1">
        <f t="array" aca="1" ref="P5" ca="1">-INDIRECT("'data'!$N$" &amp; $A$1)*parameters!$B$15</f>
        <v>-4151.28</v>
      </c>
      <c r="Q5" s="16">
        <f ca="1">SUM(L5:P5)</f>
        <v>19725.85154478392</v>
      </c>
      <c r="R5" s="16">
        <f t="shared" ca="1" si="2"/>
        <v>19725.85154478392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29452.92</v>
      </c>
      <c r="I6" s="14"/>
      <c r="J6" s="14"/>
      <c r="K6" s="13"/>
      <c r="L6" s="16">
        <f t="shared" ca="1" si="0"/>
        <v>29452.92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29452.92</v>
      </c>
      <c r="R6" s="16">
        <f t="shared" ca="1" si="2"/>
        <v>29452.92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12369.56</v>
      </c>
      <c r="I7" s="14"/>
      <c r="J7" s="14"/>
      <c r="K7" s="13"/>
      <c r="L7" s="16">
        <f t="shared" ca="1" si="0"/>
        <v>12369.56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12369.56</v>
      </c>
      <c r="R7" s="16">
        <f t="shared" ca="1" si="2"/>
        <v>12369.56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15565.194510802461</v>
      </c>
      <c r="J8" s="14">
        <f ca="1">Q10/J18</f>
        <v>26233.765489197529</v>
      </c>
      <c r="K8" s="13"/>
      <c r="L8" s="16">
        <f t="shared" ca="1" si="0"/>
        <v>41798.959999999992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1871.8</v>
      </c>
      <c r="P8" s="13" cm="1">
        <f t="array" aca="1" ref="P8" ca="1">-INDIRECT("'data'!$S$" &amp; $A$1)*parameters!$B$15</f>
        <v>-1848.28</v>
      </c>
      <c r="Q8" s="16">
        <f ca="1">SUM(Q6:Q7)</f>
        <v>41822.479999999996</v>
      </c>
      <c r="R8" s="16">
        <f t="shared" ca="1" si="2"/>
        <v>41822.479999999996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13257.439999999999</v>
      </c>
      <c r="L9" s="16">
        <f t="shared" ca="1" si="0"/>
        <v>13257.439999999999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7005.04</v>
      </c>
      <c r="P9" s="13" cm="1">
        <f t="array" aca="1" ref="P9" ca="1">-INDIRECT("'data'!$V$" &amp; $A$1)*parameters!$B$15</f>
        <v>-6802.18</v>
      </c>
      <c r="Q9" s="16" cm="1">
        <f t="array" aca="1" ref="Q9" ca="1">INDIRECT("'data'!$T$" &amp; $A$1)*parameters!$B$15</f>
        <v>13460.3</v>
      </c>
      <c r="R9" s="16">
        <f t="shared" ca="1" si="2"/>
        <v>13460.3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22916.451038406827</v>
      </c>
      <c r="L10" s="16">
        <f t="shared" ca="1" si="0"/>
        <v>22916.451038406827</v>
      </c>
      <c r="M10" s="16"/>
      <c r="N10" s="16">
        <f t="shared" ca="1" si="3"/>
        <v>0</v>
      </c>
      <c r="O10" s="11" cm="1">
        <f t="array" aca="1" ref="O10" ca="1">INDIRECT("'data'!$X$" &amp; $A$1)*parameters!$B$15</f>
        <v>13211.38</v>
      </c>
      <c r="P10" s="13" cm="1">
        <f t="array" aca="1" ref="P10" ca="1">-INDIRECT("'data'!$Y$" &amp; $A$1)*parameters!$B$15</f>
        <v>-13441.68</v>
      </c>
      <c r="Q10" s="16" cm="1">
        <f t="array" aca="1" ref="Q10" ca="1">INDIRECT("'data'!$W$" &amp; $A$1)*parameters!$B$15</f>
        <v>22686.151038406824</v>
      </c>
      <c r="R10" s="16">
        <f t="shared" ca="1" si="2"/>
        <v>22686.151038406824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22027.141493029871</v>
      </c>
      <c r="N11" s="19"/>
      <c r="O11" s="21" cm="1">
        <f t="array" aca="1" ref="O11" ca="1">INDIRECT("'data'!$Z$" &amp; $A$1)*parameters!$B$15</f>
        <v>31556.98</v>
      </c>
      <c r="P11" s="27" cm="1">
        <f t="array" aca="1" ref="P11" ca="1">-INDIRECT("'data'!$AA$" &amp; $A$1)*parameters!$B$15</f>
        <v>-21413.98</v>
      </c>
      <c r="Q11" s="16">
        <f ca="1">K9*parameters!$B$10+K10*parameters!$B$11</f>
        <v>32170.141493029871</v>
      </c>
      <c r="R11" s="16">
        <f t="shared" ref="R11:R17" ca="1" si="4">SUM(L11:P11)</f>
        <v>32170.141493029874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-166.80823890510146</v>
      </c>
      <c r="D12" s="9">
        <f ca="1">-(D17-Q4)</f>
        <v>-3.2138432122370659</v>
      </c>
      <c r="E12" s="9">
        <f ca="1">-(E17-Q5)</f>
        <v>-2438.0265954227325</v>
      </c>
      <c r="F12" s="9">
        <f ca="1">-(F17-Q6)</f>
        <v>-1946.7814925373168</v>
      </c>
      <c r="G12" s="9">
        <f ca="1">-(G17-Q7)</f>
        <v>-555.79005224660614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-5110.6202223239943</v>
      </c>
      <c r="M12" s="17"/>
      <c r="N12" s="17"/>
      <c r="O12" s="10"/>
      <c r="P12" s="12"/>
      <c r="Q12" s="9">
        <f t="shared" ref="Q12:Q17" ca="1" si="6">SUM(L12:P12)</f>
        <v>-5110.6202223239943</v>
      </c>
      <c r="R12" s="17">
        <f t="shared" ca="1" si="4"/>
        <v>-5110.6202223239943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-2104.8945108024618</v>
      </c>
      <c r="J13" s="14">
        <f ca="1">-(J17-Q10)</f>
        <v>-3547.6144507907047</v>
      </c>
      <c r="K13" s="13">
        <f ca="1">-(K17-Q11)</f>
        <v>-4003.7495453769588</v>
      </c>
      <c r="L13" s="14">
        <f t="shared" ca="1" si="5"/>
        <v>-9656.2585069701254</v>
      </c>
      <c r="M13" s="16">
        <f ca="1">-E15</f>
        <v>-12507.619633236527</v>
      </c>
      <c r="N13" s="16"/>
      <c r="O13" s="11"/>
      <c r="P13" s="13"/>
      <c r="Q13" s="14">
        <f t="shared" ca="1" si="6"/>
        <v>-22163.878140206652</v>
      </c>
      <c r="R13" s="16">
        <f t="shared" ca="1" si="4"/>
        <v>-22163.878140206652</v>
      </c>
    </row>
    <row r="14" spans="1:20">
      <c r="A14" s="18" t="s">
        <v>78</v>
      </c>
      <c r="B14" s="11"/>
      <c r="C14" s="14"/>
      <c r="D14" s="14"/>
      <c r="E14" s="14">
        <f ca="1">-(I13+J13)-K13</f>
        <v>9656.2585069701254</v>
      </c>
      <c r="F14" s="14"/>
      <c r="G14" s="14"/>
      <c r="H14" s="14"/>
      <c r="I14" s="14"/>
      <c r="J14" s="14"/>
      <c r="K14" s="13"/>
      <c r="L14" s="14">
        <f t="shared" ca="1" si="5"/>
        <v>9656.2585069701254</v>
      </c>
      <c r="M14" s="16"/>
      <c r="N14" s="16"/>
      <c r="O14" s="11"/>
      <c r="P14" s="13"/>
      <c r="Q14" s="14">
        <f t="shared" ca="1" si="6"/>
        <v>9656.2585069701254</v>
      </c>
      <c r="R14" s="16">
        <f t="shared" ca="1" si="4"/>
        <v>9656.2585069701254</v>
      </c>
    </row>
    <row r="15" spans="1:20">
      <c r="A15" s="18" t="s">
        <v>79</v>
      </c>
      <c r="B15" s="11"/>
      <c r="C15" s="14"/>
      <c r="D15" s="14"/>
      <c r="E15" s="14">
        <f ca="1">E17-E14</f>
        <v>12507.619633236527</v>
      </c>
      <c r="F15" s="14"/>
      <c r="G15" s="14"/>
      <c r="H15" s="14"/>
      <c r="I15" s="14"/>
      <c r="J15" s="14"/>
      <c r="K15" s="13"/>
      <c r="L15" s="14">
        <f t="shared" ca="1" si="5"/>
        <v>12507.619633236527</v>
      </c>
      <c r="M15" s="16"/>
      <c r="N15" s="16"/>
      <c r="O15" s="11"/>
      <c r="P15" s="13"/>
      <c r="Q15" s="14">
        <f t="shared" ca="1" si="6"/>
        <v>12507.619633236527</v>
      </c>
      <c r="R15" s="16">
        <f t="shared" ca="1" si="4"/>
        <v>12507.619633236527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26477.4982389051</v>
      </c>
      <c r="D17" s="9">
        <f ca="1">SUM(D$2:D$11)</f>
        <v>510.13384321223708</v>
      </c>
      <c r="E17" s="9">
        <f ca="1">$Q$5/parameters!$B$4</f>
        <v>22163.878140206652</v>
      </c>
      <c r="F17" s="9">
        <f t="shared" ref="F17:K17" ca="1" si="7">SUM(F$2:F$11)</f>
        <v>31399.701492537315</v>
      </c>
      <c r="G17" s="9">
        <f t="shared" ca="1" si="7"/>
        <v>12925.350052246606</v>
      </c>
      <c r="H17" s="9">
        <f t="shared" ca="1" si="7"/>
        <v>41822.479999999996</v>
      </c>
      <c r="I17" s="9">
        <f t="shared" ca="1" si="7"/>
        <v>15565.194510802461</v>
      </c>
      <c r="J17" s="9">
        <f t="shared" ca="1" si="7"/>
        <v>26233.765489197529</v>
      </c>
      <c r="K17" s="9">
        <f t="shared" ca="1" si="7"/>
        <v>36173.891038406829</v>
      </c>
      <c r="L17" s="17">
        <f t="shared" ca="1" si="5"/>
        <v>213271.89280551474</v>
      </c>
      <c r="M17" s="17"/>
      <c r="N17" s="17"/>
      <c r="O17" s="9"/>
      <c r="P17" s="14"/>
      <c r="Q17" s="11">
        <f t="shared" ca="1" si="6"/>
        <v>213271.89280551474</v>
      </c>
      <c r="R17" s="17">
        <f t="shared" ca="1" si="4"/>
        <v>213271.89280551474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0.86476914828519258</v>
      </c>
      <c r="J18" s="39">
        <f ca="1">I18</f>
        <v>0.86476914828519258</v>
      </c>
      <c r="K18" s="40">
        <f ca="1">1-(-K13)/K17</f>
        <v>0.88931935629689196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9684.8948374760985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9684.8948374760985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-4984.8948374760985</v>
      </c>
      <c r="Q2" s="17" cm="1">
        <f t="array" aca="1" ref="Q2" ca="1">INDIRECT("'data'!$D$" &amp; $A$1)</f>
        <v>4700</v>
      </c>
      <c r="R2" s="17">
        <f ca="1">SUM(L2:P2)</f>
        <v>4700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9223.2835820895525</v>
      </c>
      <c r="G3" s="14">
        <f ca="1">Q3-O3-P3-F3</f>
        <v>1503.4114179104472</v>
      </c>
      <c r="H3" s="14"/>
      <c r="I3" s="14"/>
      <c r="J3" s="14"/>
      <c r="K3" s="13"/>
      <c r="L3" s="16">
        <f t="shared" ca="1" si="0"/>
        <v>10726.695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4.7249999999999996</v>
      </c>
      <c r="P3" s="13" cm="1">
        <f t="array" aca="1" ref="P3" ca="1">-INDIRECT("'data'!$I$" &amp; $A$1)*parameters!$B$13</f>
        <v>-1107.54</v>
      </c>
      <c r="Q3" s="16" cm="1">
        <f t="array" aca="1" ref="Q3" ca="1">INDIRECT("'data'!$G$" &amp; $A$1)*parameters!$B$13</f>
        <v>9623.8799999999992</v>
      </c>
      <c r="R3" s="16">
        <f t="shared" ref="R3:R10" ca="1" si="2">SUM(L3:P3)</f>
        <v>9623.880000000001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43.24</v>
      </c>
      <c r="H4" s="14"/>
      <c r="I4" s="14"/>
      <c r="J4" s="14"/>
      <c r="K4" s="13"/>
      <c r="L4" s="16">
        <f t="shared" ca="1" si="0"/>
        <v>43.24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-43.24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2305.8208955223881</v>
      </c>
      <c r="G5" s="14">
        <f ca="1">Q7/parameters!$B$7-(G3+G4)</f>
        <v>19427.60145565277</v>
      </c>
      <c r="H5" s="14"/>
      <c r="I5" s="14"/>
      <c r="J5" s="14"/>
      <c r="K5" s="13"/>
      <c r="L5" s="16">
        <f t="shared" ca="1" si="0"/>
        <v>21733.422351175159</v>
      </c>
      <c r="M5" s="16"/>
      <c r="N5" s="16"/>
      <c r="O5" s="11" cm="1">
        <f t="array" aca="1" ref="O5" ca="1">INDIRECT("'data'!$M$" &amp; $A$1)*parameters!$B$15</f>
        <v>142.1</v>
      </c>
      <c r="P5" s="13" cm="1">
        <f t="array" aca="1" ref="P5" ca="1">-INDIRECT("'data'!$N$" &amp; $A$1)*parameters!$B$15</f>
        <v>-15925.98</v>
      </c>
      <c r="Q5" s="16">
        <f ca="1">SUM(L5:P5)</f>
        <v>5949.5423511751578</v>
      </c>
      <c r="R5" s="16">
        <f t="shared" ca="1" si="2"/>
        <v>5949.5423511751578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10814.3</v>
      </c>
      <c r="I6" s="14"/>
      <c r="J6" s="14"/>
      <c r="K6" s="13"/>
      <c r="L6" s="16">
        <f t="shared" ca="1" si="0"/>
        <v>10814.3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10814.3</v>
      </c>
      <c r="R6" s="16">
        <f t="shared" ca="1" si="2"/>
        <v>10814.3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20072.36</v>
      </c>
      <c r="I7" s="14"/>
      <c r="J7" s="14"/>
      <c r="K7" s="13"/>
      <c r="L7" s="16">
        <f t="shared" ca="1" si="0"/>
        <v>20072.36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20072.36</v>
      </c>
      <c r="R7" s="16">
        <f t="shared" ca="1" si="2"/>
        <v>20072.36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27761.173490432211</v>
      </c>
      <c r="J8" s="14">
        <f ca="1">Q10/J18</f>
        <v>10553.88650956779</v>
      </c>
      <c r="K8" s="13"/>
      <c r="L8" s="16">
        <f t="shared" ca="1" si="0"/>
        <v>38315.06</v>
      </c>
      <c r="M8" s="16"/>
      <c r="N8" s="16">
        <f t="shared" ca="1" si="3"/>
        <v>0</v>
      </c>
      <c r="O8" s="11" cm="1">
        <f t="array" aca="1" ref="O8" ca="1">INDIRECT("'data'!$R$" &amp; $A$1)*parameters!$B$15</f>
        <v>298.89999999999998</v>
      </c>
      <c r="P8" s="13" cm="1">
        <f t="array" aca="1" ref="P8" ca="1">-INDIRECT("'data'!$S$" &amp; $A$1)*parameters!$B$15</f>
        <v>-7727.3</v>
      </c>
      <c r="Q8" s="16">
        <f ca="1">SUM(Q6:Q7)</f>
        <v>30886.66</v>
      </c>
      <c r="R8" s="16">
        <f t="shared" ca="1" si="2"/>
        <v>30886.66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17566.5</v>
      </c>
      <c r="L9" s="16">
        <f t="shared" ca="1" si="0"/>
        <v>17566.5</v>
      </c>
      <c r="M9" s="16"/>
      <c r="N9" s="16">
        <f t="shared" ca="1" si="3"/>
        <v>0</v>
      </c>
      <c r="O9" s="11" cm="1">
        <f t="array" aca="1" ref="O9" ca="1">INDIRECT("'data'!$U$" &amp; $A$1)*parameters!$B$15</f>
        <v>9979.34</v>
      </c>
      <c r="P9" s="13" cm="1">
        <f t="array" aca="1" ref="P9" ca="1">-INDIRECT("'data'!$V$" &amp; $A$1)*parameters!$B$15</f>
        <v>-1526.84</v>
      </c>
      <c r="Q9" s="16" cm="1">
        <f t="array" aca="1" ref="Q9" ca="1">INDIRECT("'data'!$T$" &amp; $A$1)*parameters!$B$15</f>
        <v>26019</v>
      </c>
      <c r="R9" s="16">
        <f t="shared" ca="1" si="2"/>
        <v>26019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15939.149359886202</v>
      </c>
      <c r="L10" s="16">
        <f t="shared" ca="1" si="0"/>
        <v>15939.149359886202</v>
      </c>
      <c r="M10" s="16"/>
      <c r="N10" s="16">
        <f t="shared" ca="1" si="3"/>
        <v>0</v>
      </c>
      <c r="O10" s="11" cm="1">
        <f t="array" aca="1" ref="O10" ca="1">INDIRECT("'data'!$X$" &amp; $A$1)*parameters!$B$15</f>
        <v>2388.2599999999998</v>
      </c>
      <c r="P10" s="13" cm="1">
        <f t="array" aca="1" ref="P10" ca="1">-INDIRECT("'data'!$Y$" &amp; $A$1)*parameters!$B$15</f>
        <v>-8435.84</v>
      </c>
      <c r="Q10" s="16" cm="1">
        <f t="array" aca="1" ref="Q10" ca="1">INDIRECT("'data'!$W$" &amp; $A$1)*parameters!$B$15</f>
        <v>9891.5693598862017</v>
      </c>
      <c r="R10" s="16">
        <f t="shared" ca="1" si="2"/>
        <v>9891.5693598862017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28405.218449502132</v>
      </c>
      <c r="N11" s="19"/>
      <c r="O11" s="21" cm="1">
        <f t="array" aca="1" ref="O11" ca="1">INDIRECT("'data'!$Z$" &amp; $A$1)*parameters!$B$15</f>
        <v>6201.44</v>
      </c>
      <c r="P11" s="27" cm="1">
        <f t="array" aca="1" ref="P11" ca="1">-INDIRECT("'data'!$AA$" &amp; $A$1)*parameters!$B$15</f>
        <v>-4386.4799999999996</v>
      </c>
      <c r="Q11" s="16">
        <f ca="1">K9*parameters!$B$10+K10*parameters!$B$11</f>
        <v>30220.178449502131</v>
      </c>
      <c r="R11" s="16">
        <f t="shared" ref="R11:R17" ca="1" si="4">SUM(L11:P11)</f>
        <v>30220.178449502131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-61.014837476099274</v>
      </c>
      <c r="D12" s="9">
        <f ca="1">-(D17-Q4)</f>
        <v>0</v>
      </c>
      <c r="E12" s="9">
        <f ca="1">-(E17-Q5)</f>
        <v>-735.33669508906405</v>
      </c>
      <c r="F12" s="9">
        <f ca="1">-(F17-Q6)</f>
        <v>-714.80447761194227</v>
      </c>
      <c r="G12" s="9">
        <f ca="1">-(G17-Q7)</f>
        <v>-901.89287356321802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-2413.0488837403236</v>
      </c>
      <c r="M12" s="17"/>
      <c r="N12" s="17"/>
      <c r="O12" s="10"/>
      <c r="P12" s="12"/>
      <c r="Q12" s="9">
        <f t="shared" ref="Q12:Q17" ca="1" si="6">SUM(L12:P12)</f>
        <v>-2413.0488837403236</v>
      </c>
      <c r="R12" s="17">
        <f t="shared" ca="1" si="4"/>
        <v>-2413.0488837403236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-1742.1734904322111</v>
      </c>
      <c r="J13" s="14">
        <f ca="1">-(J17-Q10)</f>
        <v>-662.31714968158849</v>
      </c>
      <c r="K13" s="13">
        <f ca="1">-(K17-Q11)</f>
        <v>-3285.4709103840687</v>
      </c>
      <c r="L13" s="14">
        <f t="shared" ca="1" si="5"/>
        <v>-5689.9615504978683</v>
      </c>
      <c r="M13" s="16">
        <f ca="1">-E15</f>
        <v>-994.91749576635357</v>
      </c>
      <c r="N13" s="16"/>
      <c r="O13" s="11"/>
      <c r="P13" s="13"/>
      <c r="Q13" s="14">
        <f t="shared" ca="1" si="6"/>
        <v>-6684.8790462642219</v>
      </c>
      <c r="R13" s="16">
        <f t="shared" ca="1" si="4"/>
        <v>-6684.8790462642219</v>
      </c>
    </row>
    <row r="14" spans="1:20">
      <c r="A14" s="18" t="s">
        <v>78</v>
      </c>
      <c r="B14" s="11"/>
      <c r="C14" s="14"/>
      <c r="D14" s="14"/>
      <c r="E14" s="14">
        <f ca="1">-(I13+J13)-K13</f>
        <v>5689.9615504978683</v>
      </c>
      <c r="F14" s="14"/>
      <c r="G14" s="14"/>
      <c r="H14" s="14"/>
      <c r="I14" s="14"/>
      <c r="J14" s="14"/>
      <c r="K14" s="13"/>
      <c r="L14" s="14">
        <f t="shared" ca="1" si="5"/>
        <v>5689.9615504978683</v>
      </c>
      <c r="M14" s="16"/>
      <c r="N14" s="16"/>
      <c r="O14" s="11"/>
      <c r="P14" s="13"/>
      <c r="Q14" s="14">
        <f t="shared" ca="1" si="6"/>
        <v>5689.9615504978683</v>
      </c>
      <c r="R14" s="16">
        <f t="shared" ca="1" si="4"/>
        <v>5689.9615504978683</v>
      </c>
    </row>
    <row r="15" spans="1:20">
      <c r="A15" s="18" t="s">
        <v>79</v>
      </c>
      <c r="B15" s="11"/>
      <c r="C15" s="14"/>
      <c r="D15" s="14"/>
      <c r="E15" s="14">
        <f ca="1">E17-E14</f>
        <v>994.91749576635357</v>
      </c>
      <c r="F15" s="14"/>
      <c r="G15" s="14"/>
      <c r="H15" s="14"/>
      <c r="I15" s="14"/>
      <c r="J15" s="14"/>
      <c r="K15" s="13"/>
      <c r="L15" s="14">
        <f t="shared" ca="1" si="5"/>
        <v>994.91749576635357</v>
      </c>
      <c r="M15" s="16"/>
      <c r="N15" s="16"/>
      <c r="O15" s="11"/>
      <c r="P15" s="13"/>
      <c r="Q15" s="14">
        <f t="shared" ca="1" si="6"/>
        <v>994.91749576635357</v>
      </c>
      <c r="R15" s="16">
        <f t="shared" ca="1" si="4"/>
        <v>994.91749576635357</v>
      </c>
    </row>
    <row r="16" spans="1:20">
      <c r="A16" s="30" t="s">
        <v>89</v>
      </c>
      <c r="B16" s="21">
        <f ca="1">Q2</f>
        <v>4700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4700</v>
      </c>
      <c r="M16" s="19"/>
      <c r="N16" s="19"/>
      <c r="O16" s="21"/>
      <c r="P16" s="27"/>
      <c r="Q16" s="22">
        <f t="shared" ca="1" si="6"/>
        <v>4700</v>
      </c>
      <c r="R16" s="19">
        <f t="shared" ca="1" si="4"/>
        <v>4700</v>
      </c>
    </row>
    <row r="17" spans="1:18">
      <c r="A17" s="29" t="s">
        <v>88</v>
      </c>
      <c r="B17" s="9">
        <f ca="1">B16</f>
        <v>4700</v>
      </c>
      <c r="C17" s="9">
        <f ca="1">SUM(C$2:C$11)</f>
        <v>9684.8948374760985</v>
      </c>
      <c r="D17" s="9">
        <f ca="1">SUM(D$2:D$11)</f>
        <v>0</v>
      </c>
      <c r="E17" s="9">
        <f ca="1">$Q$5/parameters!$B$4</f>
        <v>6684.8790462642219</v>
      </c>
      <c r="F17" s="9">
        <f t="shared" ref="F17:K17" ca="1" si="7">SUM(F$2:F$11)</f>
        <v>11529.104477611942</v>
      </c>
      <c r="G17" s="9">
        <f t="shared" ca="1" si="7"/>
        <v>20974.252873563219</v>
      </c>
      <c r="H17" s="9">
        <f t="shared" ca="1" si="7"/>
        <v>30886.66</v>
      </c>
      <c r="I17" s="9">
        <f t="shared" ca="1" si="7"/>
        <v>27761.173490432211</v>
      </c>
      <c r="J17" s="9">
        <f t="shared" ca="1" si="7"/>
        <v>10553.88650956779</v>
      </c>
      <c r="K17" s="9">
        <f t="shared" ca="1" si="7"/>
        <v>33505.6493598862</v>
      </c>
      <c r="L17" s="17">
        <f t="shared" ca="1" si="5"/>
        <v>156280.50059480168</v>
      </c>
      <c r="M17" s="17"/>
      <c r="N17" s="17"/>
      <c r="O17" s="9"/>
      <c r="P17" s="14"/>
      <c r="Q17" s="11">
        <f t="shared" ca="1" si="6"/>
        <v>156280.50059480168</v>
      </c>
      <c r="R17" s="17">
        <f t="shared" ca="1" si="4"/>
        <v>156280.50059480168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0.93724424181734811</v>
      </c>
      <c r="J18" s="39">
        <f ca="1">I18</f>
        <v>0.93724424181734811</v>
      </c>
      <c r="K18" s="40">
        <f ca="1">1-(-K13)/K17</f>
        <v>0.90194277761655572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26613.489986917579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26613.489986917579</v>
      </c>
      <c r="M2" s="17"/>
      <c r="N2" s="17">
        <f ca="1">Q2-(L2+O2+P2)</f>
        <v>10950.410013082437</v>
      </c>
      <c r="O2" s="11" cm="1">
        <f t="array" aca="1" ref="O2" ca="1">INDIRECT("'data'!$F$" &amp; $A$1)</f>
        <v>238026.1</v>
      </c>
      <c r="P2" s="13">
        <f ca="1">IF(-(L2-Q2+O2)&lt;0, -(L2-Q2+O2), 0)</f>
        <v>0</v>
      </c>
      <c r="Q2" s="17" cm="1">
        <f t="array" aca="1" ref="Q2" ca="1">INDIRECT("'data'!$D$" &amp; $A$1)</f>
        <v>275590</v>
      </c>
      <c r="R2" s="17">
        <f ca="1">SUM(L2:P2)</f>
        <v>275590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22180.179104477611</v>
      </c>
      <c r="G3" s="14">
        <f ca="1">Q3-O3-P3-F3</f>
        <v>1665.0058955223867</v>
      </c>
      <c r="H3" s="14"/>
      <c r="I3" s="14"/>
      <c r="J3" s="14"/>
      <c r="K3" s="13"/>
      <c r="L3" s="16">
        <f t="shared" ca="1" si="0"/>
        <v>23845.184999999998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2600.64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26445.824999999997</v>
      </c>
      <c r="R3" s="16">
        <f t="shared" ref="R3:R10" ca="1" si="2">SUM(L3:P3)</f>
        <v>26445.824999999997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5545.0447761194037</v>
      </c>
      <c r="G5" s="14">
        <f ca="1">Q7/parameters!$B$7-(G3+G4)</f>
        <v>5216.4988066719707</v>
      </c>
      <c r="H5" s="14"/>
      <c r="I5" s="14"/>
      <c r="J5" s="14"/>
      <c r="K5" s="13"/>
      <c r="L5" s="16">
        <f t="shared" ca="1" si="0"/>
        <v>10761.543582791375</v>
      </c>
      <c r="M5" s="16"/>
      <c r="N5" s="16"/>
      <c r="O5" s="11" cm="1">
        <f t="array" aca="1" ref="O5" ca="1">INDIRECT("'data'!$M$" &amp; $A$1)*parameters!$B$15</f>
        <v>665.42</v>
      </c>
      <c r="P5" s="13" cm="1">
        <f t="array" aca="1" ref="P5" ca="1">-INDIRECT("'data'!$N$" &amp; $A$1)*parameters!$B$15</f>
        <v>-24.5</v>
      </c>
      <c r="Q5" s="16">
        <f ca="1">SUM(L5:P5)</f>
        <v>11402.463582791375</v>
      </c>
      <c r="R5" s="16">
        <f t="shared" ca="1" si="2"/>
        <v>11402.463582791375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26006.26</v>
      </c>
      <c r="I6" s="14"/>
      <c r="J6" s="14"/>
      <c r="K6" s="13"/>
      <c r="L6" s="16">
        <f t="shared" ca="1" si="0"/>
        <v>26006.26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26006.26</v>
      </c>
      <c r="R6" s="16">
        <f t="shared" ca="1" si="2"/>
        <v>26006.26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6585.5999999999995</v>
      </c>
      <c r="I7" s="14"/>
      <c r="J7" s="14"/>
      <c r="K7" s="13"/>
      <c r="L7" s="16">
        <f t="shared" ca="1" si="0"/>
        <v>6585.5999999999995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6585.5999999999995</v>
      </c>
      <c r="R7" s="16">
        <f t="shared" ca="1" si="2"/>
        <v>6585.5999999999995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10286.618732952482</v>
      </c>
      <c r="J8" s="14">
        <f ca="1">Q10/J18</f>
        <v>13835.101267047517</v>
      </c>
      <c r="K8" s="13"/>
      <c r="L8" s="16">
        <f t="shared" ca="1" si="0"/>
        <v>24121.72</v>
      </c>
      <c r="M8" s="16"/>
      <c r="N8" s="16">
        <f t="shared" ca="1" si="3"/>
        <v>0</v>
      </c>
      <c r="O8" s="11" cm="1">
        <f t="array" aca="1" ref="O8" ca="1">INDIRECT("'data'!$R$" &amp; $A$1)*parameters!$B$15</f>
        <v>8542.66</v>
      </c>
      <c r="P8" s="13" cm="1">
        <f t="array" aca="1" ref="P8" ca="1">-INDIRECT("'data'!$S$" &amp; $A$1)*parameters!$B$15</f>
        <v>-72.52</v>
      </c>
      <c r="Q8" s="16">
        <f ca="1">SUM(Q6:Q7)</f>
        <v>32591.859999999997</v>
      </c>
      <c r="R8" s="16">
        <f t="shared" ca="1" si="2"/>
        <v>32591.86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9440.34</v>
      </c>
      <c r="L9" s="16">
        <f t="shared" ca="1" si="0"/>
        <v>9440.34</v>
      </c>
      <c r="M9" s="16"/>
      <c r="N9" s="16">
        <f t="shared" ca="1" si="3"/>
        <v>0</v>
      </c>
      <c r="O9" s="11" cm="1">
        <f t="array" aca="1" ref="O9" ca="1">INDIRECT("'data'!$U$" &amp; $A$1)*parameters!$B$15</f>
        <v>1087.8</v>
      </c>
      <c r="P9" s="13" cm="1">
        <f t="array" aca="1" ref="P9" ca="1">-INDIRECT("'data'!$V$" &amp; $A$1)*parameters!$B$15</f>
        <v>-1050.56</v>
      </c>
      <c r="Q9" s="16" cm="1">
        <f t="array" aca="1" ref="Q9" ca="1">INDIRECT("'data'!$T$" &amp; $A$1)*parameters!$B$15</f>
        <v>9477.58</v>
      </c>
      <c r="R9" s="16">
        <f t="shared" ca="1" si="2"/>
        <v>9477.58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11101.555704125178</v>
      </c>
      <c r="L10" s="16">
        <f t="shared" ca="1" si="0"/>
        <v>11101.555704125178</v>
      </c>
      <c r="M10" s="16"/>
      <c r="N10" s="16">
        <f t="shared" ca="1" si="3"/>
        <v>0</v>
      </c>
      <c r="O10" s="11" cm="1">
        <f t="array" aca="1" ref="O10" ca="1">INDIRECT("'data'!$X$" &amp; $A$1)*parameters!$B$15</f>
        <v>3447.64</v>
      </c>
      <c r="P10" s="13" cm="1">
        <f t="array" aca="1" ref="P10" ca="1">-INDIRECT("'data'!$Y$" &amp; $A$1)*parameters!$B$15</f>
        <v>-1802.22</v>
      </c>
      <c r="Q10" s="16" cm="1">
        <f t="array" aca="1" ref="Q10" ca="1">INDIRECT("'data'!$W$" &amp; $A$1)*parameters!$B$15</f>
        <v>12746.975704125178</v>
      </c>
      <c r="R10" s="16">
        <f t="shared" ca="1" si="2"/>
        <v>12746.975704125178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19740.33750554765</v>
      </c>
      <c r="N11" s="19"/>
      <c r="O11" s="21" cm="1">
        <f t="array" aca="1" ref="O11" ca="1">INDIRECT("'data'!$Z$" &amp; $A$1)*parameters!$B$15</f>
        <v>2309.86</v>
      </c>
      <c r="P11" s="27" cm="1">
        <f t="array" aca="1" ref="P11" ca="1">-INDIRECT("'data'!$AA$" &amp; $A$1)*parameters!$B$15</f>
        <v>-3628.94</v>
      </c>
      <c r="Q11" s="16">
        <f ca="1">K9*parameters!$B$10+K10*parameters!$B$11</f>
        <v>18421.257505547652</v>
      </c>
      <c r="R11" s="16">
        <f t="shared" ref="R11:R17" ca="1" si="4">SUM(L11:P11)</f>
        <v>18421.257505547652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-167.6649869175817</v>
      </c>
      <c r="D12" s="9">
        <f ca="1">-(D17-Q4)</f>
        <v>0</v>
      </c>
      <c r="E12" s="9">
        <f ca="1">-(E17-Q5)</f>
        <v>-1409.293251805675</v>
      </c>
      <c r="F12" s="9">
        <f ca="1">-(F17-Q6)</f>
        <v>-1718.9638805970171</v>
      </c>
      <c r="G12" s="9">
        <f ca="1">-(G17-Q7)</f>
        <v>-295.90470219435792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-3591.8268215146318</v>
      </c>
      <c r="M12" s="17"/>
      <c r="N12" s="17"/>
      <c r="O12" s="10"/>
      <c r="P12" s="12"/>
      <c r="Q12" s="9">
        <f t="shared" ref="Q12:Q17" ca="1" si="6">SUM(L12:P12)</f>
        <v>-3591.8268215146318</v>
      </c>
      <c r="R12" s="17">
        <f t="shared" ca="1" si="4"/>
        <v>-3591.8268215146318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-809.03873295248195</v>
      </c>
      <c r="J13" s="14">
        <f ca="1">-(J17-Q10)</f>
        <v>-1088.1255629223397</v>
      </c>
      <c r="K13" s="13">
        <f ca="1">-(K17-Q11)</f>
        <v>-2120.6381985775261</v>
      </c>
      <c r="L13" s="14">
        <f t="shared" ca="1" si="5"/>
        <v>-4017.8024944523477</v>
      </c>
      <c r="M13" s="16">
        <f ca="1">-E15</f>
        <v>-8793.9543401447027</v>
      </c>
      <c r="N13" s="16"/>
      <c r="O13" s="11"/>
      <c r="P13" s="13"/>
      <c r="Q13" s="14">
        <f t="shared" ca="1" si="6"/>
        <v>-12811.75683459705</v>
      </c>
      <c r="R13" s="16">
        <f t="shared" ca="1" si="4"/>
        <v>-12811.75683459705</v>
      </c>
    </row>
    <row r="14" spans="1:20">
      <c r="A14" s="18" t="s">
        <v>78</v>
      </c>
      <c r="B14" s="11"/>
      <c r="C14" s="14"/>
      <c r="D14" s="14"/>
      <c r="E14" s="14">
        <f ca="1">-(I13+J13)-K13</f>
        <v>4017.8024944523477</v>
      </c>
      <c r="F14" s="14"/>
      <c r="G14" s="14"/>
      <c r="H14" s="14"/>
      <c r="I14" s="14"/>
      <c r="J14" s="14"/>
      <c r="K14" s="13"/>
      <c r="L14" s="14">
        <f t="shared" ca="1" si="5"/>
        <v>4017.8024944523477</v>
      </c>
      <c r="M14" s="16"/>
      <c r="N14" s="16"/>
      <c r="O14" s="11"/>
      <c r="P14" s="13"/>
      <c r="Q14" s="14">
        <f t="shared" ca="1" si="6"/>
        <v>4017.8024944523477</v>
      </c>
      <c r="R14" s="16">
        <f t="shared" ca="1" si="4"/>
        <v>4017.8024944523477</v>
      </c>
    </row>
    <row r="15" spans="1:20">
      <c r="A15" s="18" t="s">
        <v>79</v>
      </c>
      <c r="B15" s="11"/>
      <c r="C15" s="14"/>
      <c r="D15" s="14"/>
      <c r="E15" s="14">
        <f ca="1">E17-E14</f>
        <v>8793.9543401447027</v>
      </c>
      <c r="F15" s="14"/>
      <c r="G15" s="14"/>
      <c r="H15" s="14"/>
      <c r="I15" s="14"/>
      <c r="J15" s="14"/>
      <c r="K15" s="13"/>
      <c r="L15" s="14">
        <f t="shared" ca="1" si="5"/>
        <v>8793.9543401447027</v>
      </c>
      <c r="M15" s="16"/>
      <c r="N15" s="16"/>
      <c r="O15" s="11"/>
      <c r="P15" s="13"/>
      <c r="Q15" s="14">
        <f t="shared" ca="1" si="6"/>
        <v>8793.9543401447027</v>
      </c>
      <c r="R15" s="16">
        <f t="shared" ca="1" si="4"/>
        <v>8793.9543401447027</v>
      </c>
    </row>
    <row r="16" spans="1:20">
      <c r="A16" s="30" t="s">
        <v>89</v>
      </c>
      <c r="B16" s="21">
        <f ca="1">Q2</f>
        <v>275590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275590</v>
      </c>
      <c r="M16" s="19"/>
      <c r="N16" s="19"/>
      <c r="O16" s="21"/>
      <c r="P16" s="27"/>
      <c r="Q16" s="22">
        <f t="shared" ca="1" si="6"/>
        <v>275590</v>
      </c>
      <c r="R16" s="19">
        <f t="shared" ca="1" si="4"/>
        <v>275590</v>
      </c>
    </row>
    <row r="17" spans="1:18">
      <c r="A17" s="29" t="s">
        <v>88</v>
      </c>
      <c r="B17" s="9">
        <f ca="1">B16</f>
        <v>275590</v>
      </c>
      <c r="C17" s="9">
        <f ca="1">SUM(C$2:C$11)</f>
        <v>26613.489986917579</v>
      </c>
      <c r="D17" s="9">
        <f ca="1">SUM(D$2:D$11)</f>
        <v>0</v>
      </c>
      <c r="E17" s="9">
        <f ca="1">$Q$5/parameters!$B$4</f>
        <v>12811.75683459705</v>
      </c>
      <c r="F17" s="9">
        <f t="shared" ref="F17:K17" ca="1" si="7">SUM(F$2:F$11)</f>
        <v>27725.223880597016</v>
      </c>
      <c r="G17" s="9">
        <f t="shared" ca="1" si="7"/>
        <v>6881.5047021943574</v>
      </c>
      <c r="H17" s="9">
        <f t="shared" ca="1" si="7"/>
        <v>32591.859999999997</v>
      </c>
      <c r="I17" s="9">
        <f t="shared" ca="1" si="7"/>
        <v>10286.618732952482</v>
      </c>
      <c r="J17" s="9">
        <f t="shared" ca="1" si="7"/>
        <v>13835.101267047517</v>
      </c>
      <c r="K17" s="9">
        <f t="shared" ca="1" si="7"/>
        <v>20541.895704125178</v>
      </c>
      <c r="L17" s="17">
        <f t="shared" ca="1" si="5"/>
        <v>426877.45110843115</v>
      </c>
      <c r="M17" s="17"/>
      <c r="N17" s="17"/>
      <c r="O17" s="9"/>
      <c r="P17" s="14"/>
      <c r="Q17" s="11">
        <f t="shared" ca="1" si="6"/>
        <v>426877.45110843115</v>
      </c>
      <c r="R17" s="17">
        <f t="shared" ca="1" si="4"/>
        <v>426877.45110843115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0.92135037236669604</v>
      </c>
      <c r="J18" s="39">
        <f ca="1">I18</f>
        <v>0.92135037236669604</v>
      </c>
      <c r="K18" s="40">
        <f ca="1">1-(-K13)/K17</f>
        <v>0.89676521441243295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2063.3108783097191</v>
      </c>
      <c r="D2" s="9">
        <f ca="1">Q4/parameters!$B$3</f>
        <v>11882.443042843033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13945.753921152753</v>
      </c>
      <c r="M2" s="17"/>
      <c r="N2" s="17">
        <f ca="1">Q2-(L2+O2+P2)</f>
        <v>5580.9979890694885</v>
      </c>
      <c r="O2" s="11" cm="1">
        <f t="array" aca="1" ref="O2" ca="1">INDIRECT("'data'!$F$" &amp; $A$1)</f>
        <v>8531.25</v>
      </c>
      <c r="P2" s="13">
        <f ca="1">IF(-(L2-Q2+O2)&lt;0, -(L2-Q2+O2), 0)</f>
        <v>0</v>
      </c>
      <c r="Q2" s="17" cm="1">
        <f t="array" aca="1" ref="Q2" ca="1">INDIRECT("'data'!$D$" &amp; $A$1)</f>
        <v>28058.001910222243</v>
      </c>
      <c r="R2" s="17">
        <f ca="1">SUM(L2:P2)</f>
        <v>28058.001910222243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2011.8208955223884</v>
      </c>
      <c r="G3" s="14">
        <f ca="1">Q3-O3-P3-F3</f>
        <v>38.491124253979478</v>
      </c>
      <c r="H3" s="14"/>
      <c r="I3" s="14"/>
      <c r="J3" s="14"/>
      <c r="K3" s="13"/>
      <c r="L3" s="16">
        <f t="shared" ca="1" si="0"/>
        <v>2050.3120197763678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2050.3120197763678</v>
      </c>
      <c r="R3" s="16">
        <f t="shared" ref="R3:R10" ca="1" si="2">SUM(L3:P3)</f>
        <v>2050.3120197763678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11807.583651673123</v>
      </c>
      <c r="H4" s="14"/>
      <c r="I4" s="14"/>
      <c r="J4" s="14"/>
      <c r="K4" s="13"/>
      <c r="L4" s="16">
        <f t="shared" ca="1" si="0"/>
        <v>11807.583651673123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11807.583651673123</v>
      </c>
      <c r="R4" s="16">
        <f t="shared" ca="1" si="2"/>
        <v>11807.583651673123</v>
      </c>
      <c r="S4" s="7"/>
    </row>
    <row r="5" spans="1:22">
      <c r="A5" s="18" t="s">
        <v>107</v>
      </c>
      <c r="B5" s="11"/>
      <c r="C5" s="14"/>
      <c r="D5" s="14"/>
      <c r="E5" s="14"/>
      <c r="F5" s="14">
        <f ca="1">Q6/parameters!$B$5*20%</f>
        <v>502.95522388059709</v>
      </c>
      <c r="G5" s="14">
        <f ca="1">Q7/parameters!$B$7-(G3+G4)</f>
        <v>2223.1206263717468</v>
      </c>
      <c r="H5" s="14"/>
      <c r="I5" s="14"/>
      <c r="J5" s="14"/>
      <c r="K5" s="13"/>
      <c r="L5" s="16">
        <f t="shared" ca="1" si="0"/>
        <v>2726.075850252344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-0.98</v>
      </c>
      <c r="Q5" s="16">
        <f ca="1">SUM(L5:P5)</f>
        <v>2725.095850252344</v>
      </c>
      <c r="R5" s="16">
        <f t="shared" ca="1" si="2"/>
        <v>2725.095850252344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2358.86</v>
      </c>
      <c r="I6" s="14"/>
      <c r="J6" s="14"/>
      <c r="K6" s="13"/>
      <c r="L6" s="16">
        <f t="shared" ca="1" si="0"/>
        <v>2358.86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2358.86</v>
      </c>
      <c r="R6" s="16">
        <f t="shared" ca="1" si="2"/>
        <v>2358.86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13464.22</v>
      </c>
      <c r="I7" s="14"/>
      <c r="J7" s="14"/>
      <c r="K7" s="13"/>
      <c r="L7" s="16">
        <f t="shared" ca="1" si="0"/>
        <v>13464.22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13464.22</v>
      </c>
      <c r="R7" s="16">
        <f t="shared" ca="1" si="2"/>
        <v>13464.22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7128.167538499687</v>
      </c>
      <c r="J8" s="14">
        <f ca="1">Q10/J18</f>
        <v>7508.1324615003114</v>
      </c>
      <c r="K8" s="13"/>
      <c r="L8" s="16">
        <f t="shared" ca="1" si="0"/>
        <v>14636.3</v>
      </c>
      <c r="M8" s="16"/>
      <c r="N8" s="16">
        <f t="shared" ca="1" si="3"/>
        <v>0</v>
      </c>
      <c r="O8" s="11" cm="1">
        <f t="array" aca="1" ref="O8" ca="1">INDIRECT("'data'!$R$" &amp; $A$1)*parameters!$B$15</f>
        <v>1325.94</v>
      </c>
      <c r="P8" s="13" cm="1">
        <f t="array" aca="1" ref="P8" ca="1">-INDIRECT("'data'!$S$" &amp; $A$1)*parameters!$B$15</f>
        <v>-139.16</v>
      </c>
      <c r="Q8" s="16">
        <f ca="1">SUM(Q6:Q7)</f>
        <v>15823.08</v>
      </c>
      <c r="R8" s="16">
        <f t="shared" ca="1" si="2"/>
        <v>15823.08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7670.46</v>
      </c>
      <c r="L9" s="16">
        <f t="shared" ca="1" si="0"/>
        <v>7670.46</v>
      </c>
      <c r="M9" s="16"/>
      <c r="N9" s="16">
        <f t="shared" ca="1" si="3"/>
        <v>0</v>
      </c>
      <c r="O9" s="11" cm="1">
        <f t="array" aca="1" ref="O9" ca="1">INDIRECT("'data'!$U$" &amp; $A$1)*parameters!$B$15</f>
        <v>25.48</v>
      </c>
      <c r="P9" s="13" cm="1">
        <f t="array" aca="1" ref="P9" ca="1">-INDIRECT("'data'!$V$" &amp; $A$1)*parameters!$B$15</f>
        <v>-580.16</v>
      </c>
      <c r="Q9" s="16" cm="1">
        <f t="array" aca="1" ref="Q9" ca="1">INDIRECT("'data'!$T$" &amp; $A$1)*parameters!$B$15</f>
        <v>7115.78</v>
      </c>
      <c r="R9" s="16">
        <f t="shared" ca="1" si="2"/>
        <v>7115.78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10396.864608819345</v>
      </c>
      <c r="L10" s="16">
        <f t="shared" ca="1" si="0"/>
        <v>10396.864608819345</v>
      </c>
      <c r="M10" s="16"/>
      <c r="N10" s="16">
        <f t="shared" ca="1" si="3"/>
        <v>0</v>
      </c>
      <c r="O10" s="11" cm="1">
        <f t="array" aca="1" ref="O10" ca="1">INDIRECT("'data'!$X$" &amp; $A$1)*parameters!$B$15</f>
        <v>1155.42</v>
      </c>
      <c r="P10" s="13" cm="1">
        <f t="array" aca="1" ref="P10" ca="1">-INDIRECT("'data'!$Y$" &amp; $A$1)*parameters!$B$15</f>
        <v>-4057.2</v>
      </c>
      <c r="Q10" s="16" cm="1">
        <f t="array" aca="1" ref="Q10" ca="1">INDIRECT("'data'!$W$" &amp; $A$1)*parameters!$B$15</f>
        <v>7495.0846088193457</v>
      </c>
      <c r="R10" s="16">
        <f t="shared" ca="1" si="2"/>
        <v>7495.0846088193457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17849.875963584636</v>
      </c>
      <c r="N11" s="19"/>
      <c r="O11" s="21" cm="1">
        <f t="array" aca="1" ref="O11" ca="1">INDIRECT("'data'!$Z$" &amp; $A$1)*parameters!$B$15</f>
        <v>53.9</v>
      </c>
      <c r="P11" s="27" cm="1">
        <f t="array" aca="1" ref="P11" ca="1">-INDIRECT("'data'!$AA$" &amp; $A$1)*parameters!$B$15</f>
        <v>-1752.24</v>
      </c>
      <c r="Q11" s="16">
        <f ca="1">K9*parameters!$B$10+K10*parameters!$B$11</f>
        <v>16151.535963584636</v>
      </c>
      <c r="R11" s="16">
        <f t="shared" ref="R11:R17" ca="1" si="4">SUM(L11:P11)</f>
        <v>16151.535963584638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-12.998858533351267</v>
      </c>
      <c r="D12" s="9">
        <f ca="1">-(D17-Q4)</f>
        <v>-74.859391169909941</v>
      </c>
      <c r="E12" s="9">
        <f ca="1">-(E17-Q5)</f>
        <v>-336.80959946939083</v>
      </c>
      <c r="F12" s="9">
        <f ca="1">-(F17-Q6)</f>
        <v>-155.91611940298526</v>
      </c>
      <c r="G12" s="9">
        <f ca="1">-(G17-Q7)</f>
        <v>-604.9754022988509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-1185.5593708744882</v>
      </c>
      <c r="M12" s="17"/>
      <c r="N12" s="17"/>
      <c r="O12" s="10"/>
      <c r="P12" s="12"/>
      <c r="Q12" s="9">
        <f t="shared" ref="Q12:Q17" ca="1" si="6">SUM(L12:P12)</f>
        <v>-1185.5593708744882</v>
      </c>
      <c r="R12" s="17">
        <f t="shared" ca="1" si="4"/>
        <v>-1185.5593708744882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-12.387538499687253</v>
      </c>
      <c r="J13" s="14">
        <f ca="1">-(J17-Q10)</f>
        <v>-13.047852680965661</v>
      </c>
      <c r="K13" s="13">
        <f ca="1">-(K17-Q11)</f>
        <v>-1915.7886452347084</v>
      </c>
      <c r="L13" s="14">
        <f t="shared" ca="1" si="5"/>
        <v>-1941.2240364153613</v>
      </c>
      <c r="M13" s="16">
        <f ca="1">-E15</f>
        <v>-1120.6814133063735</v>
      </c>
      <c r="N13" s="16"/>
      <c r="O13" s="11"/>
      <c r="P13" s="13"/>
      <c r="Q13" s="14">
        <f t="shared" ca="1" si="6"/>
        <v>-3061.9054497217348</v>
      </c>
      <c r="R13" s="16">
        <f t="shared" ca="1" si="4"/>
        <v>-3061.9054497217348</v>
      </c>
    </row>
    <row r="14" spans="1:22">
      <c r="A14" s="18" t="s">
        <v>78</v>
      </c>
      <c r="B14" s="11"/>
      <c r="C14" s="14"/>
      <c r="D14" s="14"/>
      <c r="E14" s="14">
        <f ca="1">-(I13+J13)-K13</f>
        <v>1941.2240364153613</v>
      </c>
      <c r="F14" s="14"/>
      <c r="G14" s="14"/>
      <c r="H14" s="14"/>
      <c r="I14" s="14"/>
      <c r="J14" s="14"/>
      <c r="K14" s="13"/>
      <c r="L14" s="14">
        <f t="shared" ca="1" si="5"/>
        <v>1941.2240364153613</v>
      </c>
      <c r="M14" s="16"/>
      <c r="N14" s="16"/>
      <c r="O14" s="11"/>
      <c r="P14" s="13"/>
      <c r="Q14" s="14">
        <f t="shared" ca="1" si="6"/>
        <v>1941.2240364153613</v>
      </c>
      <c r="R14" s="16">
        <f t="shared" ca="1" si="4"/>
        <v>1941.2240364153613</v>
      </c>
    </row>
    <row r="15" spans="1:22">
      <c r="A15" s="18" t="s">
        <v>79</v>
      </c>
      <c r="B15" s="11"/>
      <c r="C15" s="14"/>
      <c r="D15" s="14"/>
      <c r="E15" s="14">
        <f ca="1">E17-E14</f>
        <v>1120.6814133063735</v>
      </c>
      <c r="F15" s="14"/>
      <c r="G15" s="14"/>
      <c r="H15" s="14"/>
      <c r="I15" s="14"/>
      <c r="J15" s="14"/>
      <c r="K15" s="13"/>
      <c r="L15" s="14">
        <f t="shared" ca="1" si="5"/>
        <v>1120.6814133063735</v>
      </c>
      <c r="M15" s="16"/>
      <c r="N15" s="16"/>
      <c r="O15" s="11"/>
      <c r="P15" s="13"/>
      <c r="Q15" s="14">
        <f t="shared" ca="1" si="6"/>
        <v>1120.6814133063735</v>
      </c>
      <c r="R15" s="16">
        <f t="shared" ca="1" si="4"/>
        <v>1120.6814133063735</v>
      </c>
    </row>
    <row r="16" spans="1:22">
      <c r="A16" s="30" t="s">
        <v>89</v>
      </c>
      <c r="B16" s="21">
        <f ca="1">Q2</f>
        <v>28058.001910222243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28058.001910222243</v>
      </c>
      <c r="M16" s="19"/>
      <c r="N16" s="19"/>
      <c r="O16" s="21"/>
      <c r="P16" s="27"/>
      <c r="Q16" s="22">
        <f t="shared" ca="1" si="6"/>
        <v>28058.001910222243</v>
      </c>
      <c r="R16" s="19">
        <f t="shared" ca="1" si="4"/>
        <v>28058.001910222243</v>
      </c>
    </row>
    <row r="17" spans="1:18">
      <c r="A17" s="29" t="s">
        <v>88</v>
      </c>
      <c r="B17" s="9">
        <f ca="1">B16</f>
        <v>28058.001910222243</v>
      </c>
      <c r="C17" s="9">
        <f ca="1">SUM(C$2:C$11)</f>
        <v>2063.3108783097191</v>
      </c>
      <c r="D17" s="9">
        <f ca="1">SUM(D$2:D$11)</f>
        <v>11882.443042843033</v>
      </c>
      <c r="E17" s="9">
        <f ca="1">$Q$5/parameters!$B$4</f>
        <v>3061.9054497217348</v>
      </c>
      <c r="F17" s="9">
        <f t="shared" ref="F17:K17" ca="1" si="7">SUM(F$2:F$11)</f>
        <v>2514.7761194029854</v>
      </c>
      <c r="G17" s="9">
        <f t="shared" ca="1" si="7"/>
        <v>14069.19540229885</v>
      </c>
      <c r="H17" s="9">
        <f t="shared" ca="1" si="7"/>
        <v>15823.08</v>
      </c>
      <c r="I17" s="9">
        <f t="shared" ca="1" si="7"/>
        <v>7128.167538499687</v>
      </c>
      <c r="J17" s="9">
        <f t="shared" ca="1" si="7"/>
        <v>7508.1324615003114</v>
      </c>
      <c r="K17" s="9">
        <f t="shared" ca="1" si="7"/>
        <v>18067.324608819345</v>
      </c>
      <c r="L17" s="17">
        <f t="shared" ca="1" si="5"/>
        <v>110176.33741161792</v>
      </c>
      <c r="M17" s="17"/>
      <c r="N17" s="17"/>
      <c r="O17" s="9"/>
      <c r="P17" s="14"/>
      <c r="Q17" s="11">
        <f t="shared" ca="1" si="6"/>
        <v>110176.33741161792</v>
      </c>
      <c r="R17" s="17">
        <f t="shared" ca="1" si="4"/>
        <v>110176.33741161792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0.998262170686536</v>
      </c>
      <c r="J18" s="39">
        <f ca="1">I18</f>
        <v>0.998262170686536</v>
      </c>
      <c r="K18" s="40">
        <f ca="1">1-(-K13)/K17</f>
        <v>0.89396389965232925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4803.4567776995063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4803.4567776995063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-4803.4567776995063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4004.4179104477616</v>
      </c>
      <c r="G3" s="14">
        <f ca="1">Q3-O3-P3-F3</f>
        <v>2292.1170895522382</v>
      </c>
      <c r="H3" s="14"/>
      <c r="I3" s="14"/>
      <c r="J3" s="14"/>
      <c r="K3" s="13"/>
      <c r="L3" s="16">
        <f t="shared" ca="1" si="0"/>
        <v>6296.5349999999999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55.754999999999995</v>
      </c>
      <c r="P3" s="13" cm="1">
        <f t="array" aca="1" ref="P3" ca="1">-INDIRECT("'data'!$I$" &amp; $A$1)*parameters!$B$13</f>
        <v>-1579.095</v>
      </c>
      <c r="Q3" s="16" cm="1">
        <f t="array" aca="1" ref="Q3" ca="1">INDIRECT("'data'!$G$" &amp; $A$1)*parameters!$B$13</f>
        <v>4773.1949999999997</v>
      </c>
      <c r="R3" s="16">
        <f t="shared" ref="R3:R10" ca="1" si="2">SUM(L3:P3)</f>
        <v>4773.1949999999997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958.64</v>
      </c>
      <c r="H4" s="14"/>
      <c r="I4" s="14"/>
      <c r="J4" s="14"/>
      <c r="K4" s="13"/>
      <c r="L4" s="16">
        <f t="shared" ca="1" si="0"/>
        <v>958.64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-958.64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1001.1044776119405</v>
      </c>
      <c r="G5" s="14">
        <f ca="1">Q7/parameters!$B$7-(G3+G4)</f>
        <v>14390.266943885586</v>
      </c>
      <c r="H5" s="14"/>
      <c r="I5" s="14"/>
      <c r="J5" s="14"/>
      <c r="K5" s="13"/>
      <c r="L5" s="16">
        <f t="shared" ca="1" si="0"/>
        <v>15391.371421497526</v>
      </c>
      <c r="M5" s="16"/>
      <c r="N5" s="16"/>
      <c r="O5" s="11" cm="1">
        <f t="array" aca="1" ref="O5" ca="1">INDIRECT("'data'!$M$" &amp; $A$1)*parameters!$B$15</f>
        <v>302.82</v>
      </c>
      <c r="P5" s="13" cm="1">
        <f t="array" aca="1" ref="P5" ca="1">-INDIRECT("'data'!$N$" &amp; $A$1)*parameters!$B$15</f>
        <v>-4550.1400000000003</v>
      </c>
      <c r="Q5" s="16">
        <f ca="1">SUM(L5:P5)</f>
        <v>11144.051421497526</v>
      </c>
      <c r="R5" s="16">
        <f t="shared" ca="1" si="2"/>
        <v>11144.051421497526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4695.18</v>
      </c>
      <c r="I6" s="14"/>
      <c r="J6" s="14"/>
      <c r="K6" s="13"/>
      <c r="L6" s="16">
        <f t="shared" ca="1" si="0"/>
        <v>4695.18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4695.18</v>
      </c>
      <c r="R6" s="16">
        <f t="shared" ca="1" si="2"/>
        <v>4695.18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16882.46</v>
      </c>
      <c r="I7" s="14"/>
      <c r="J7" s="14"/>
      <c r="K7" s="13"/>
      <c r="L7" s="16">
        <f t="shared" ca="1" si="0"/>
        <v>16882.46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16882.46</v>
      </c>
      <c r="R7" s="16">
        <f t="shared" ca="1" si="2"/>
        <v>16882.46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13188.594728321268</v>
      </c>
      <c r="J8" s="14">
        <f ca="1">Q10/J18</f>
        <v>11663.22527167873</v>
      </c>
      <c r="K8" s="13"/>
      <c r="L8" s="16">
        <f t="shared" ca="1" si="0"/>
        <v>24851.82</v>
      </c>
      <c r="M8" s="16"/>
      <c r="N8" s="16">
        <f t="shared" ca="1" si="3"/>
        <v>0</v>
      </c>
      <c r="O8" s="11" cm="1">
        <f t="array" aca="1" ref="O8" ca="1">INDIRECT("'data'!$R$" &amp; $A$1)*parameters!$B$15</f>
        <v>451.78</v>
      </c>
      <c r="P8" s="13" cm="1">
        <f t="array" aca="1" ref="P8" ca="1">-INDIRECT("'data'!$S$" &amp; $A$1)*parameters!$B$15</f>
        <v>-3725.96</v>
      </c>
      <c r="Q8" s="16">
        <f ca="1">SUM(Q6:Q7)</f>
        <v>21577.64</v>
      </c>
      <c r="R8" s="16">
        <f t="shared" ca="1" si="2"/>
        <v>21577.64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8548.5400000000009</v>
      </c>
      <c r="L9" s="16">
        <f t="shared" ca="1" si="0"/>
        <v>8548.5400000000009</v>
      </c>
      <c r="M9" s="16"/>
      <c r="N9" s="16">
        <f t="shared" ca="1" si="3"/>
        <v>0</v>
      </c>
      <c r="O9" s="11" cm="1">
        <f t="array" aca="1" ref="O9" ca="1">INDIRECT("'data'!$U$" &amp; $A$1)*parameters!$B$15</f>
        <v>5457.62</v>
      </c>
      <c r="P9" s="13" cm="1">
        <f t="array" aca="1" ref="P9" ca="1">-INDIRECT("'data'!$V$" &amp; $A$1)*parameters!$B$15</f>
        <v>-2662.66</v>
      </c>
      <c r="Q9" s="16" cm="1">
        <f t="array" aca="1" ref="Q9" ca="1">INDIRECT("'data'!$T$" &amp; $A$1)*parameters!$B$15</f>
        <v>11343.5</v>
      </c>
      <c r="R9" s="16">
        <f t="shared" ca="1" si="2"/>
        <v>11343.5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15708.670924608821</v>
      </c>
      <c r="L10" s="16">
        <f t="shared" ca="1" si="0"/>
        <v>15708.670924608821</v>
      </c>
      <c r="M10" s="16"/>
      <c r="N10" s="16">
        <f t="shared" ca="1" si="3"/>
        <v>0</v>
      </c>
      <c r="O10" s="11" cm="1">
        <f t="array" aca="1" ref="O10" ca="1">INDIRECT("'data'!$X$" &amp; $A$1)*parameters!$B$15</f>
        <v>6564.04</v>
      </c>
      <c r="P10" s="13" cm="1">
        <f t="array" aca="1" ref="P10" ca="1">-INDIRECT("'data'!$Y$" &amp; $A$1)*parameters!$B$15</f>
        <v>-12241.18</v>
      </c>
      <c r="Q10" s="16" cm="1">
        <f t="array" aca="1" ref="Q10" ca="1">INDIRECT("'data'!$W$" &amp; $A$1)*parameters!$B$15</f>
        <v>10031.53092460882</v>
      </c>
      <c r="R10" s="16">
        <f t="shared" ca="1" si="2"/>
        <v>10031.530924608822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15931.644595163587</v>
      </c>
      <c r="N11" s="19"/>
      <c r="O11" s="21" cm="1">
        <f t="array" aca="1" ref="O11" ca="1">INDIRECT("'data'!$Z$" &amp; $A$1)*parameters!$B$15</f>
        <v>12969.32</v>
      </c>
      <c r="P11" s="27" cm="1">
        <f t="array" aca="1" ref="P11" ca="1">-INDIRECT("'data'!$AA$" &amp; $A$1)*parameters!$B$15</f>
        <v>-7355.88</v>
      </c>
      <c r="Q11" s="16">
        <f ca="1">K9*parameters!$B$10+K10*parameters!$B$11</f>
        <v>21545.084595163586</v>
      </c>
      <c r="R11" s="16">
        <f t="shared" ref="R11:R17" ca="1" si="4">SUM(L11:P11)</f>
        <v>21545.084595163586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-30.261777699506638</v>
      </c>
      <c r="D12" s="9">
        <f ca="1">-(D17-Q4)</f>
        <v>0</v>
      </c>
      <c r="E12" s="9">
        <f ca="1">-(E17-Q5)</f>
        <v>-1377.3546700727275</v>
      </c>
      <c r="F12" s="9">
        <f ca="1">-(F17-Q6)</f>
        <v>-310.34238805970199</v>
      </c>
      <c r="G12" s="9">
        <f ca="1">-(G17-Q7)</f>
        <v>-758.56403343782586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-2476.5228692697619</v>
      </c>
      <c r="M12" s="17"/>
      <c r="N12" s="17"/>
      <c r="O12" s="10"/>
      <c r="P12" s="12"/>
      <c r="Q12" s="9">
        <f t="shared" ref="Q12:Q17" ca="1" si="6">SUM(L12:P12)</f>
        <v>-2476.5228692697619</v>
      </c>
      <c r="R12" s="17">
        <f t="shared" ca="1" si="4"/>
        <v>-2476.5228692697619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-1845.0947283212681</v>
      </c>
      <c r="J13" s="14">
        <f ca="1">-(J17-Q10)</f>
        <v>-1631.6943470699098</v>
      </c>
      <c r="K13" s="13">
        <f ca="1">-(K17-Q11)</f>
        <v>-2712.1263294452365</v>
      </c>
      <c r="L13" s="14">
        <f t="shared" ca="1" si="5"/>
        <v>-6188.9154048364144</v>
      </c>
      <c r="M13" s="16">
        <f ca="1">-E15</f>
        <v>-6332.4906867338395</v>
      </c>
      <c r="N13" s="16"/>
      <c r="O13" s="11"/>
      <c r="P13" s="13"/>
      <c r="Q13" s="14">
        <f t="shared" ca="1" si="6"/>
        <v>-12521.406091570254</v>
      </c>
      <c r="R13" s="16">
        <f t="shared" ca="1" si="4"/>
        <v>-12521.406091570254</v>
      </c>
    </row>
    <row r="14" spans="1:20">
      <c r="A14" s="18" t="s">
        <v>78</v>
      </c>
      <c r="B14" s="11"/>
      <c r="C14" s="14"/>
      <c r="D14" s="14"/>
      <c r="E14" s="14">
        <f ca="1">-(I13+J13)-K13</f>
        <v>6188.9154048364144</v>
      </c>
      <c r="F14" s="14"/>
      <c r="G14" s="14"/>
      <c r="H14" s="14"/>
      <c r="I14" s="14"/>
      <c r="J14" s="14"/>
      <c r="K14" s="13"/>
      <c r="L14" s="14">
        <f t="shared" ca="1" si="5"/>
        <v>6188.9154048364144</v>
      </c>
      <c r="M14" s="16"/>
      <c r="N14" s="16"/>
      <c r="O14" s="11"/>
      <c r="P14" s="13"/>
      <c r="Q14" s="14">
        <f t="shared" ca="1" si="6"/>
        <v>6188.9154048364144</v>
      </c>
      <c r="R14" s="16">
        <f t="shared" ca="1" si="4"/>
        <v>6188.9154048364144</v>
      </c>
    </row>
    <row r="15" spans="1:20">
      <c r="A15" s="18" t="s">
        <v>79</v>
      </c>
      <c r="B15" s="11"/>
      <c r="C15" s="14"/>
      <c r="D15" s="14"/>
      <c r="E15" s="14">
        <f ca="1">E17-E14</f>
        <v>6332.4906867338395</v>
      </c>
      <c r="F15" s="14"/>
      <c r="G15" s="14"/>
      <c r="H15" s="14"/>
      <c r="I15" s="14"/>
      <c r="J15" s="14"/>
      <c r="K15" s="13"/>
      <c r="L15" s="14">
        <f t="shared" ca="1" si="5"/>
        <v>6332.4906867338395</v>
      </c>
      <c r="M15" s="16"/>
      <c r="N15" s="16"/>
      <c r="O15" s="11"/>
      <c r="P15" s="13"/>
      <c r="Q15" s="14">
        <f t="shared" ca="1" si="6"/>
        <v>6332.4906867338395</v>
      </c>
      <c r="R15" s="16">
        <f t="shared" ca="1" si="4"/>
        <v>6332.4906867338395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4803.4567776995063</v>
      </c>
      <c r="D17" s="9">
        <f ca="1">SUM(D$2:D$11)</f>
        <v>0</v>
      </c>
      <c r="E17" s="9">
        <f ca="1">$Q$5/parameters!$B$4</f>
        <v>12521.406091570254</v>
      </c>
      <c r="F17" s="9">
        <f t="shared" ref="F17:K17" ca="1" si="7">SUM(F$2:F$11)</f>
        <v>5005.5223880597023</v>
      </c>
      <c r="G17" s="9">
        <f t="shared" ca="1" si="7"/>
        <v>17641.024033437825</v>
      </c>
      <c r="H17" s="9">
        <f t="shared" ca="1" si="7"/>
        <v>21577.64</v>
      </c>
      <c r="I17" s="9">
        <f t="shared" ca="1" si="7"/>
        <v>13188.594728321268</v>
      </c>
      <c r="J17" s="9">
        <f t="shared" ca="1" si="7"/>
        <v>11663.22527167873</v>
      </c>
      <c r="K17" s="9">
        <f t="shared" ca="1" si="7"/>
        <v>24257.210924608822</v>
      </c>
      <c r="L17" s="17">
        <f t="shared" ca="1" si="5"/>
        <v>110658.08021537612</v>
      </c>
      <c r="M17" s="17"/>
      <c r="N17" s="17"/>
      <c r="O17" s="9"/>
      <c r="P17" s="14"/>
      <c r="Q17" s="11">
        <f t="shared" ca="1" si="6"/>
        <v>110658.08021537612</v>
      </c>
      <c r="R17" s="17">
        <f t="shared" ca="1" si="4"/>
        <v>110658.08021537612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0.86009921706373305</v>
      </c>
      <c r="J18" s="39">
        <f ca="1">I18</f>
        <v>0.86009921706373305</v>
      </c>
      <c r="K18" s="40">
        <f ca="1">1-(-K13)/K17</f>
        <v>0.88819298567034355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20728.756163832139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20728.756163832139</v>
      </c>
      <c r="M2" s="17"/>
      <c r="N2" s="17">
        <f ca="1">Q2-(L2+O2+P2)</f>
        <v>0</v>
      </c>
      <c r="O2" s="11" cm="1">
        <f t="array" aca="1" ref="O2" ca="1">INDIRECT("'data'!$F$" &amp; $A$1)</f>
        <v>29674.45</v>
      </c>
      <c r="P2" s="13">
        <f ca="1">IF(-(L2-Q2+O2)&lt;0, -(L2-Q2+O2), 0)</f>
        <v>-8603.2061638321393</v>
      </c>
      <c r="Q2" s="17" cm="1">
        <f t="array" aca="1" ref="Q2" ca="1">INDIRECT("'data'!$D$" &amp; $A$1)</f>
        <v>41800</v>
      </c>
      <c r="R2" s="17">
        <f ca="1">SUM(L2:P2)</f>
        <v>41800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18083.820895522389</v>
      </c>
      <c r="G3" s="14">
        <f ca="1">Q3-O3-P3-F3</f>
        <v>483.53910447760791</v>
      </c>
      <c r="H3" s="14"/>
      <c r="I3" s="14"/>
      <c r="J3" s="14"/>
      <c r="K3" s="13"/>
      <c r="L3" s="16">
        <f t="shared" ca="1" si="0"/>
        <v>18567.359999999997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2033.6399999999999</v>
      </c>
      <c r="P3" s="13" cm="1">
        <f t="array" aca="1" ref="P3" ca="1">-INDIRECT("'data'!$I$" &amp; $A$1)*parameters!$B$13</f>
        <v>-2.835</v>
      </c>
      <c r="Q3" s="16" cm="1">
        <f t="array" aca="1" ref="Q3" ca="1">INDIRECT("'data'!$G$" &amp; $A$1)*parameters!$B$13</f>
        <v>20598.164999999997</v>
      </c>
      <c r="R3" s="16">
        <f t="shared" ref="R3:R10" ca="1" si="2">SUM(L3:P3)</f>
        <v>20598.164999999997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10.120000000000001</v>
      </c>
      <c r="H4" s="14"/>
      <c r="I4" s="14"/>
      <c r="J4" s="14"/>
      <c r="K4" s="13"/>
      <c r="L4" s="16">
        <f t="shared" ca="1" si="0"/>
        <v>10.120000000000001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-10.120000000000001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4520.9552238805973</v>
      </c>
      <c r="G5" s="14">
        <f ca="1">Q7/parameters!$B$7-(G3+G4)</f>
        <v>830.41613063210991</v>
      </c>
      <c r="H5" s="14"/>
      <c r="I5" s="14"/>
      <c r="J5" s="14"/>
      <c r="K5" s="13"/>
      <c r="L5" s="16">
        <f t="shared" ca="1" si="0"/>
        <v>5351.3713545127075</v>
      </c>
      <c r="M5" s="16"/>
      <c r="N5" s="16"/>
      <c r="O5" s="11" cm="1">
        <f t="array" aca="1" ref="O5" ca="1">INDIRECT("'data'!$M$" &amp; $A$1)*parameters!$B$15</f>
        <v>1183.8399999999999</v>
      </c>
      <c r="P5" s="13" cm="1">
        <f t="array" aca="1" ref="P5" ca="1">-INDIRECT("'data'!$N$" &amp; $A$1)*parameters!$B$15</f>
        <v>-2.94</v>
      </c>
      <c r="Q5" s="16">
        <f ca="1">SUM(L5:P5)</f>
        <v>6532.2713545127081</v>
      </c>
      <c r="R5" s="16">
        <f t="shared" ca="1" si="2"/>
        <v>6532.2713545127081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21203.279999999999</v>
      </c>
      <c r="I6" s="14"/>
      <c r="J6" s="14"/>
      <c r="K6" s="13"/>
      <c r="L6" s="16">
        <f t="shared" ca="1" si="0"/>
        <v>21203.279999999999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21203.279999999999</v>
      </c>
      <c r="R6" s="16">
        <f t="shared" ca="1" si="2"/>
        <v>21203.279999999999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1267.1399999999999</v>
      </c>
      <c r="I7" s="14"/>
      <c r="J7" s="14"/>
      <c r="K7" s="13"/>
      <c r="L7" s="16">
        <f t="shared" ca="1" si="0"/>
        <v>1267.1399999999999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1267.1399999999999</v>
      </c>
      <c r="R7" s="16">
        <f t="shared" ca="1" si="2"/>
        <v>1267.1399999999999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7348.5119705011639</v>
      </c>
      <c r="J8" s="14">
        <f ca="1">Q10/J18</f>
        <v>7443.6080294988333</v>
      </c>
      <c r="K8" s="13"/>
      <c r="L8" s="16">
        <f t="shared" ca="1" si="0"/>
        <v>14792.119999999997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7692.0199999999995</v>
      </c>
      <c r="P8" s="13" cm="1">
        <f t="array" aca="1" ref="P8" ca="1">-INDIRECT("'data'!$S$" &amp; $A$1)*parameters!$B$15</f>
        <v>-13.719999999999999</v>
      </c>
      <c r="Q8" s="16">
        <f ca="1">SUM(Q6:Q7)</f>
        <v>22470.42</v>
      </c>
      <c r="R8" s="16">
        <f t="shared" ca="1" si="2"/>
        <v>22470.419999999995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1898.2600000000004</v>
      </c>
      <c r="L9" s="16">
        <f t="shared" ca="1" si="0"/>
        <v>1898.2600000000004</v>
      </c>
      <c r="M9" s="16"/>
      <c r="N9" s="16">
        <f t="shared" ca="1" si="3"/>
        <v>0</v>
      </c>
      <c r="O9" s="11" cm="1">
        <f t="array" aca="1" ref="O9" ca="1">INDIRECT("'data'!$U$" &amp; $A$1)*parameters!$B$15</f>
        <v>4239.4799999999996</v>
      </c>
      <c r="P9" s="13" cm="1">
        <f t="array" aca="1" ref="P9" ca="1">-INDIRECT("'data'!$V$" &amp; $A$1)*parameters!$B$15</f>
        <v>-202.85999999999999</v>
      </c>
      <c r="Q9" s="16" cm="1">
        <f t="array" aca="1" ref="Q9" ca="1">INDIRECT("'data'!$T$" &amp; $A$1)*parameters!$B$15</f>
        <v>5934.88</v>
      </c>
      <c r="R9" s="16">
        <f t="shared" ca="1" si="2"/>
        <v>5934.88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1689.8824466571837</v>
      </c>
      <c r="L10" s="16">
        <f t="shared" ca="1" si="0"/>
        <v>1689.8824466571837</v>
      </c>
      <c r="M10" s="16"/>
      <c r="N10" s="16">
        <f t="shared" ca="1" si="3"/>
        <v>0</v>
      </c>
      <c r="O10" s="11" cm="1">
        <f t="array" aca="1" ref="O10" ca="1">INDIRECT("'data'!$X$" &amp; $A$1)*parameters!$B$15</f>
        <v>4841.2</v>
      </c>
      <c r="P10" s="13" cm="1">
        <f t="array" aca="1" ref="P10" ca="1">-INDIRECT("'data'!$Y$" &amp; $A$1)*parameters!$B$15</f>
        <v>-519.4</v>
      </c>
      <c r="Q10" s="16" cm="1">
        <f t="array" aca="1" ref="Q10" ca="1">INDIRECT("'data'!$W$" &amp; $A$1)*parameters!$B$15</f>
        <v>6011.6824466571834</v>
      </c>
      <c r="R10" s="16">
        <f t="shared" ca="1" si="2"/>
        <v>6011.6824466571834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3305.2833041251779</v>
      </c>
      <c r="N11" s="19"/>
      <c r="O11" s="21" cm="1">
        <f t="array" aca="1" ref="O11" ca="1">INDIRECT("'data'!$Z$" &amp; $A$1)*parameters!$B$15</f>
        <v>740.88</v>
      </c>
      <c r="P11" s="27" cm="1">
        <f t="array" aca="1" ref="P11" ca="1">-INDIRECT("'data'!$AA$" &amp; $A$1)*parameters!$B$15</f>
        <v>-808.5</v>
      </c>
      <c r="Q11" s="16">
        <f ca="1">K9*parameters!$B$10+K10*parameters!$B$11</f>
        <v>3237.663304125178</v>
      </c>
      <c r="R11" s="16">
        <f t="shared" ref="R11:R17" ca="1" si="4">SUM(L11:P11)</f>
        <v>3237.663304125178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-130.59116383214132</v>
      </c>
      <c r="D12" s="9">
        <f ca="1">-(D17-Q4)</f>
        <v>0</v>
      </c>
      <c r="E12" s="9">
        <f ca="1">-(E17-Q5)</f>
        <v>-807.35938089482897</v>
      </c>
      <c r="F12" s="9">
        <f ca="1">-(F17-Q6)</f>
        <v>-1401.4961194029893</v>
      </c>
      <c r="G12" s="9">
        <f ca="1">-(G17-Q7)</f>
        <v>-56.935235109717951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-2396.3818992396773</v>
      </c>
      <c r="M12" s="17"/>
      <c r="N12" s="17"/>
      <c r="O12" s="10"/>
      <c r="P12" s="12"/>
      <c r="Q12" s="9">
        <f t="shared" ref="Q12:Q17" ca="1" si="6">SUM(L12:P12)</f>
        <v>-2396.3818992396773</v>
      </c>
      <c r="R12" s="17">
        <f t="shared" ca="1" si="4"/>
        <v>-2396.3818992396773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-1413.6319705011638</v>
      </c>
      <c r="J13" s="14">
        <f ca="1">-(J17-Q10)</f>
        <v>-1431.9255828416499</v>
      </c>
      <c r="K13" s="13">
        <f ca="1">-(K17-Q11)</f>
        <v>-350.47914253200634</v>
      </c>
      <c r="L13" s="14">
        <f t="shared" ca="1" si="5"/>
        <v>-3196.03669587482</v>
      </c>
      <c r="M13" s="16">
        <f ca="1">-E15</f>
        <v>-4143.594039532717</v>
      </c>
      <c r="N13" s="16"/>
      <c r="O13" s="11"/>
      <c r="P13" s="13"/>
      <c r="Q13" s="14">
        <f t="shared" ca="1" si="6"/>
        <v>-7339.630735407537</v>
      </c>
      <c r="R13" s="16">
        <f t="shared" ca="1" si="4"/>
        <v>-7339.630735407537</v>
      </c>
    </row>
    <row r="14" spans="1:20">
      <c r="A14" s="18" t="s">
        <v>78</v>
      </c>
      <c r="B14" s="11"/>
      <c r="C14" s="14"/>
      <c r="D14" s="14"/>
      <c r="E14" s="14">
        <f ca="1">-(I13+J13)-K13</f>
        <v>3196.03669587482</v>
      </c>
      <c r="F14" s="14"/>
      <c r="G14" s="14"/>
      <c r="H14" s="14"/>
      <c r="I14" s="14"/>
      <c r="J14" s="14"/>
      <c r="K14" s="13"/>
      <c r="L14" s="14">
        <f t="shared" ca="1" si="5"/>
        <v>3196.03669587482</v>
      </c>
      <c r="M14" s="16"/>
      <c r="N14" s="16"/>
      <c r="O14" s="11"/>
      <c r="P14" s="13"/>
      <c r="Q14" s="14">
        <f t="shared" ca="1" si="6"/>
        <v>3196.03669587482</v>
      </c>
      <c r="R14" s="16">
        <f t="shared" ca="1" si="4"/>
        <v>3196.03669587482</v>
      </c>
    </row>
    <row r="15" spans="1:20">
      <c r="A15" s="18" t="s">
        <v>79</v>
      </c>
      <c r="B15" s="11"/>
      <c r="C15" s="14"/>
      <c r="D15" s="14"/>
      <c r="E15" s="14">
        <f ca="1">E17-E14</f>
        <v>4143.594039532717</v>
      </c>
      <c r="F15" s="14"/>
      <c r="G15" s="14"/>
      <c r="H15" s="14"/>
      <c r="I15" s="14"/>
      <c r="J15" s="14"/>
      <c r="K15" s="13"/>
      <c r="L15" s="14">
        <f t="shared" ca="1" si="5"/>
        <v>4143.594039532717</v>
      </c>
      <c r="M15" s="16"/>
      <c r="N15" s="16"/>
      <c r="O15" s="11"/>
      <c r="P15" s="13"/>
      <c r="Q15" s="14">
        <f t="shared" ca="1" si="6"/>
        <v>4143.594039532717</v>
      </c>
      <c r="R15" s="16">
        <f t="shared" ca="1" si="4"/>
        <v>4143.594039532717</v>
      </c>
    </row>
    <row r="16" spans="1:20">
      <c r="A16" s="30" t="s">
        <v>89</v>
      </c>
      <c r="B16" s="21">
        <f ca="1">Q2</f>
        <v>41800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41800</v>
      </c>
      <c r="M16" s="19"/>
      <c r="N16" s="19"/>
      <c r="O16" s="21"/>
      <c r="P16" s="27"/>
      <c r="Q16" s="22">
        <f t="shared" ca="1" si="6"/>
        <v>41800</v>
      </c>
      <c r="R16" s="19">
        <f t="shared" ca="1" si="4"/>
        <v>41800</v>
      </c>
    </row>
    <row r="17" spans="1:18">
      <c r="A17" s="29" t="s">
        <v>88</v>
      </c>
      <c r="B17" s="9">
        <f ca="1">B16</f>
        <v>41800</v>
      </c>
      <c r="C17" s="9">
        <f ca="1">SUM(C$2:C$11)</f>
        <v>20728.756163832139</v>
      </c>
      <c r="D17" s="9">
        <f ca="1">SUM(D$2:D$11)</f>
        <v>0</v>
      </c>
      <c r="E17" s="9">
        <f ca="1">$Q$5/parameters!$B$4</f>
        <v>7339.630735407537</v>
      </c>
      <c r="F17" s="9">
        <f t="shared" ref="F17:K17" ca="1" si="7">SUM(F$2:F$11)</f>
        <v>22604.776119402988</v>
      </c>
      <c r="G17" s="9">
        <f t="shared" ca="1" si="7"/>
        <v>1324.0752351097178</v>
      </c>
      <c r="H17" s="9">
        <f t="shared" ca="1" si="7"/>
        <v>22470.42</v>
      </c>
      <c r="I17" s="9">
        <f t="shared" ca="1" si="7"/>
        <v>7348.5119705011639</v>
      </c>
      <c r="J17" s="9">
        <f t="shared" ca="1" si="7"/>
        <v>7443.6080294988333</v>
      </c>
      <c r="K17" s="9">
        <f t="shared" ca="1" si="7"/>
        <v>3588.1424466571843</v>
      </c>
      <c r="L17" s="17">
        <f t="shared" ca="1" si="5"/>
        <v>134647.92070040957</v>
      </c>
      <c r="M17" s="17"/>
      <c r="N17" s="17"/>
      <c r="O17" s="9"/>
      <c r="P17" s="14"/>
      <c r="Q17" s="11">
        <f t="shared" ca="1" si="6"/>
        <v>134647.92070040957</v>
      </c>
      <c r="R17" s="17">
        <f t="shared" ca="1" si="4"/>
        <v>134647.92070040957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0.80763017381262359</v>
      </c>
      <c r="J18" s="39">
        <f ca="1">I18</f>
        <v>0.80763017381262359</v>
      </c>
      <c r="K18" s="40">
        <f ca="1">1-(-K13)/K17</f>
        <v>0.90232295742368795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4348.8829626647876</v>
      </c>
      <c r="D2" s="9">
        <f ca="1">Q4/parameters!$B$3</f>
        <v>5091.1542719130521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9440.0372345778396</v>
      </c>
      <c r="M2" s="17"/>
      <c r="N2" s="17">
        <f ca="1">Q2-(L2+O2+P2)</f>
        <v>3907.5627654221607</v>
      </c>
      <c r="O2" s="11" cm="1">
        <f t="array" aca="1" ref="O2" ca="1">INDIRECT("'data'!$F$" &amp; $A$1)</f>
        <v>114.4</v>
      </c>
      <c r="P2" s="13">
        <f ca="1">IF(-(L2-Q2+O2)&lt;0, -(L2-Q2+O2), 0)</f>
        <v>0</v>
      </c>
      <c r="Q2" s="17" cm="1">
        <f t="array" aca="1" ref="Q2" ca="1">INDIRECT("'data'!$D$" &amp; $A$1)</f>
        <v>13462</v>
      </c>
      <c r="R2" s="17">
        <f ca="1">SUM(L2:P2)</f>
        <v>13462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4160.7164179104475</v>
      </c>
      <c r="G3" s="14">
        <f ca="1">Q3-O3-P3-F3</f>
        <v>952.67858208955204</v>
      </c>
      <c r="H3" s="14"/>
      <c r="I3" s="14"/>
      <c r="J3" s="14"/>
      <c r="K3" s="13"/>
      <c r="L3" s="16">
        <f t="shared" ca="1" si="0"/>
        <v>5113.3949999999995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-791.91</v>
      </c>
      <c r="Q3" s="16" cm="1">
        <f t="array" aca="1" ref="Q3" ca="1">INDIRECT("'data'!$G$" &amp; $A$1)*parameters!$B$13</f>
        <v>4321.4849999999997</v>
      </c>
      <c r="R3" s="16">
        <f t="shared" ref="R3:R10" ca="1" si="2">SUM(L3:P3)</f>
        <v>4321.4849999999997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5245.84</v>
      </c>
      <c r="H4" s="14"/>
      <c r="I4" s="14"/>
      <c r="J4" s="14"/>
      <c r="K4" s="13"/>
      <c r="L4" s="16">
        <f t="shared" ca="1" si="0"/>
        <v>5245.84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-186.76000000000002</v>
      </c>
      <c r="Q4" s="16" cm="1">
        <f t="array" aca="1" ref="Q4" ca="1">INDIRECT("'data'!$J$" &amp; $A$1)*parameters!$B$14</f>
        <v>5059.08</v>
      </c>
      <c r="R4" s="16">
        <f t="shared" ca="1" si="2"/>
        <v>5059.08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1040.1791044776119</v>
      </c>
      <c r="G5" s="14">
        <f ca="1">Q7/parameters!$B$7-(G3+G4)</f>
        <v>7359.6841347338532</v>
      </c>
      <c r="H5" s="14"/>
      <c r="I5" s="14"/>
      <c r="J5" s="14"/>
      <c r="K5" s="13"/>
      <c r="L5" s="16">
        <f t="shared" ca="1" si="0"/>
        <v>8399.863239211465</v>
      </c>
      <c r="M5" s="16"/>
      <c r="N5" s="16"/>
      <c r="O5" s="11" cm="1">
        <f t="array" aca="1" ref="O5" ca="1">INDIRECT("'data'!$M$" &amp; $A$1)*parameters!$B$15</f>
        <v>449.82</v>
      </c>
      <c r="P5" s="13" cm="1">
        <f t="array" aca="1" ref="P5" ca="1">-INDIRECT("'data'!$N$" &amp; $A$1)*parameters!$B$15</f>
        <v>-1453.34</v>
      </c>
      <c r="Q5" s="16">
        <f ca="1">SUM(L5:P5)</f>
        <v>7396.3432392114646</v>
      </c>
      <c r="R5" s="16">
        <f t="shared" ca="1" si="2"/>
        <v>7396.3432392114646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4878.4399999999996</v>
      </c>
      <c r="I6" s="14"/>
      <c r="J6" s="14"/>
      <c r="K6" s="13"/>
      <c r="L6" s="16">
        <f t="shared" ca="1" si="0"/>
        <v>4878.4399999999996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4878.4399999999996</v>
      </c>
      <c r="R6" s="16">
        <f t="shared" ca="1" si="2"/>
        <v>4878.4399999999996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12975.199999999999</v>
      </c>
      <c r="I7" s="14"/>
      <c r="J7" s="14"/>
      <c r="K7" s="13"/>
      <c r="L7" s="16">
        <f t="shared" ca="1" si="0"/>
        <v>12975.199999999999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12975.199999999999</v>
      </c>
      <c r="R7" s="16">
        <f t="shared" ca="1" si="2"/>
        <v>12975.199999999999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9217.4275444981049</v>
      </c>
      <c r="J8" s="14">
        <f ca="1">Q10/J18</f>
        <v>8452.9524555018925</v>
      </c>
      <c r="K8" s="13"/>
      <c r="L8" s="16">
        <f t="shared" ca="1" si="0"/>
        <v>17670.379999999997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692.86</v>
      </c>
      <c r="P8" s="13" cm="1">
        <f t="array" aca="1" ref="P8" ca="1">-INDIRECT("'data'!$S$" &amp; $A$1)*parameters!$B$15</f>
        <v>-509.59999999999997</v>
      </c>
      <c r="Q8" s="16">
        <f ca="1">SUM(Q6:Q7)</f>
        <v>17853.64</v>
      </c>
      <c r="R8" s="16">
        <f t="shared" ca="1" si="2"/>
        <v>17853.64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9433.4800000000014</v>
      </c>
      <c r="L9" s="16">
        <f t="shared" ca="1" si="0"/>
        <v>9433.4800000000014</v>
      </c>
      <c r="M9" s="16"/>
      <c r="N9" s="16">
        <f t="shared" ca="1" si="3"/>
        <v>0</v>
      </c>
      <c r="O9" s="11" cm="1">
        <f t="array" aca="1" ref="O9" ca="1">INDIRECT("'data'!$U$" &amp; $A$1)*parameters!$B$15</f>
        <v>1204.42</v>
      </c>
      <c r="P9" s="13" cm="1">
        <f t="array" aca="1" ref="P9" ca="1">-INDIRECT("'data'!$V$" &amp; $A$1)*parameters!$B$15</f>
        <v>-1778.7</v>
      </c>
      <c r="Q9" s="16" cm="1">
        <f t="array" aca="1" ref="Q9" ca="1">INDIRECT("'data'!$T$" &amp; $A$1)*parameters!$B$15</f>
        <v>8859.2000000000007</v>
      </c>
      <c r="R9" s="16">
        <f t="shared" ca="1" si="2"/>
        <v>8859.2000000000007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13775.115590327168</v>
      </c>
      <c r="L10" s="16">
        <f t="shared" ca="1" si="0"/>
        <v>13775.115590327168</v>
      </c>
      <c r="M10" s="16"/>
      <c r="N10" s="16">
        <f t="shared" ca="1" si="3"/>
        <v>0</v>
      </c>
      <c r="O10" s="11" cm="1">
        <f t="array" aca="1" ref="O10" ca="1">INDIRECT("'data'!$X$" &amp; $A$1)*parameters!$B$15</f>
        <v>986.86</v>
      </c>
      <c r="P10" s="13" cm="1">
        <f t="array" aca="1" ref="P10" ca="1">-INDIRECT("'data'!$Y$" &amp; $A$1)*parameters!$B$15</f>
        <v>-6637.54</v>
      </c>
      <c r="Q10" s="16" cm="1">
        <f t="array" aca="1" ref="Q10" ca="1">INDIRECT("'data'!$W$" &amp; $A$1)*parameters!$B$15</f>
        <v>8124.4355903271689</v>
      </c>
      <c r="R10" s="16">
        <f t="shared" ca="1" si="2"/>
        <v>8124.4355903271689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16145.310607681366</v>
      </c>
      <c r="N11" s="19"/>
      <c r="O11" s="21" cm="1">
        <f t="array" aca="1" ref="O11" ca="1">INDIRECT("'data'!$Z$" &amp; $A$1)*parameters!$B$15</f>
        <v>14039.48</v>
      </c>
      <c r="P11" s="27" cm="1">
        <f t="array" aca="1" ref="P11" ca="1">-INDIRECT("'data'!$AA$" &amp; $A$1)*parameters!$B$15</f>
        <v>-9470.7199999999993</v>
      </c>
      <c r="Q11" s="16">
        <f ca="1">K9*parameters!$B$10+K10*parameters!$B$11</f>
        <v>20714.070607681366</v>
      </c>
      <c r="R11" s="16">
        <f t="shared" ref="R11:R17" ca="1" si="4">SUM(L11:P11)</f>
        <v>20714.070607681366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-27.397962664787883</v>
      </c>
      <c r="D12" s="9">
        <f ca="1">-(D17-Q4)</f>
        <v>-32.074271913052144</v>
      </c>
      <c r="E12" s="9">
        <f ca="1">-(E17-Q5)</f>
        <v>-914.15478237445132</v>
      </c>
      <c r="F12" s="9">
        <f ca="1">-(F17-Q6)</f>
        <v>-322.45552238805976</v>
      </c>
      <c r="G12" s="9">
        <f ca="1">-(G17-Q7)</f>
        <v>-583.00271682340644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-1879.0852561637575</v>
      </c>
      <c r="M12" s="17"/>
      <c r="N12" s="17"/>
      <c r="O12" s="10"/>
      <c r="P12" s="12"/>
      <c r="Q12" s="9">
        <f t="shared" ref="Q12:Q17" ca="1" si="6">SUM(L12:P12)</f>
        <v>-1879.0852561637575</v>
      </c>
      <c r="R12" s="17">
        <f t="shared" ca="1" si="4"/>
        <v>-1879.0852561637575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-358.22754449810418</v>
      </c>
      <c r="J13" s="14">
        <f ca="1">-(J17-Q10)</f>
        <v>-328.51686517472353</v>
      </c>
      <c r="K13" s="13">
        <f ca="1">-(K17-Q11)</f>
        <v>-2494.5249826458021</v>
      </c>
      <c r="L13" s="14">
        <f t="shared" ca="1" si="5"/>
        <v>-3181.2693923186298</v>
      </c>
      <c r="M13" s="16">
        <f ca="1">-E15</f>
        <v>-5129.2286292672861</v>
      </c>
      <c r="N13" s="16"/>
      <c r="O13" s="11"/>
      <c r="P13" s="13"/>
      <c r="Q13" s="14">
        <f t="shared" ca="1" si="6"/>
        <v>-8310.4980215859159</v>
      </c>
      <c r="R13" s="16">
        <f t="shared" ca="1" si="4"/>
        <v>-8310.4980215859159</v>
      </c>
    </row>
    <row r="14" spans="1:20">
      <c r="A14" s="18" t="s">
        <v>78</v>
      </c>
      <c r="B14" s="11"/>
      <c r="C14" s="14"/>
      <c r="D14" s="14"/>
      <c r="E14" s="14">
        <f ca="1">-(I13+J13)-K13</f>
        <v>3181.2693923186298</v>
      </c>
      <c r="F14" s="14"/>
      <c r="G14" s="14"/>
      <c r="H14" s="14"/>
      <c r="I14" s="14"/>
      <c r="J14" s="14"/>
      <c r="K14" s="13"/>
      <c r="L14" s="14">
        <f t="shared" ca="1" si="5"/>
        <v>3181.2693923186298</v>
      </c>
      <c r="M14" s="16"/>
      <c r="N14" s="16"/>
      <c r="O14" s="11"/>
      <c r="P14" s="13"/>
      <c r="Q14" s="14">
        <f t="shared" ca="1" si="6"/>
        <v>3181.2693923186298</v>
      </c>
      <c r="R14" s="16">
        <f t="shared" ca="1" si="4"/>
        <v>3181.2693923186298</v>
      </c>
    </row>
    <row r="15" spans="1:20">
      <c r="A15" s="18" t="s">
        <v>79</v>
      </c>
      <c r="B15" s="11"/>
      <c r="C15" s="14"/>
      <c r="D15" s="14"/>
      <c r="E15" s="14">
        <f ca="1">E17-E14</f>
        <v>5129.2286292672861</v>
      </c>
      <c r="F15" s="14"/>
      <c r="G15" s="14"/>
      <c r="H15" s="14"/>
      <c r="I15" s="14"/>
      <c r="J15" s="14"/>
      <c r="K15" s="13"/>
      <c r="L15" s="14">
        <f t="shared" ca="1" si="5"/>
        <v>5129.2286292672861</v>
      </c>
      <c r="M15" s="16"/>
      <c r="N15" s="16"/>
      <c r="O15" s="11"/>
      <c r="P15" s="13"/>
      <c r="Q15" s="14">
        <f t="shared" ca="1" si="6"/>
        <v>5129.2286292672861</v>
      </c>
      <c r="R15" s="16">
        <f t="shared" ca="1" si="4"/>
        <v>5129.2286292672861</v>
      </c>
    </row>
    <row r="16" spans="1:20">
      <c r="A16" s="30" t="s">
        <v>89</v>
      </c>
      <c r="B16" s="21">
        <f ca="1">Q2</f>
        <v>13462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13462</v>
      </c>
      <c r="M16" s="19"/>
      <c r="N16" s="19"/>
      <c r="O16" s="21"/>
      <c r="P16" s="27"/>
      <c r="Q16" s="22">
        <f t="shared" ca="1" si="6"/>
        <v>13462</v>
      </c>
      <c r="R16" s="19">
        <f t="shared" ca="1" si="4"/>
        <v>13462</v>
      </c>
    </row>
    <row r="17" spans="1:18">
      <c r="A17" s="29" t="s">
        <v>88</v>
      </c>
      <c r="B17" s="9">
        <f ca="1">B16</f>
        <v>13462</v>
      </c>
      <c r="C17" s="9">
        <f ca="1">SUM(C$2:C$11)</f>
        <v>4348.8829626647876</v>
      </c>
      <c r="D17" s="9">
        <f ca="1">SUM(D$2:D$11)</f>
        <v>5091.1542719130521</v>
      </c>
      <c r="E17" s="9">
        <f ca="1">$Q$5/parameters!$B$4</f>
        <v>8310.4980215859159</v>
      </c>
      <c r="F17" s="9">
        <f t="shared" ref="F17:K17" ca="1" si="7">SUM(F$2:F$11)</f>
        <v>5200.8955223880594</v>
      </c>
      <c r="G17" s="9">
        <f t="shared" ca="1" si="7"/>
        <v>13558.202716823405</v>
      </c>
      <c r="H17" s="9">
        <f t="shared" ca="1" si="7"/>
        <v>17853.64</v>
      </c>
      <c r="I17" s="9">
        <f t="shared" ca="1" si="7"/>
        <v>9217.4275444981049</v>
      </c>
      <c r="J17" s="9">
        <f t="shared" ca="1" si="7"/>
        <v>8452.9524555018925</v>
      </c>
      <c r="K17" s="9">
        <f t="shared" ca="1" si="7"/>
        <v>23208.595590327168</v>
      </c>
      <c r="L17" s="17">
        <f t="shared" ca="1" si="5"/>
        <v>108704.24908570238</v>
      </c>
      <c r="M17" s="17"/>
      <c r="N17" s="17"/>
      <c r="O17" s="9"/>
      <c r="P17" s="14"/>
      <c r="Q17" s="11">
        <f t="shared" ca="1" si="6"/>
        <v>108704.24908570238</v>
      </c>
      <c r="R17" s="17">
        <f t="shared" ca="1" si="4"/>
        <v>108704.24908570238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0.96113584372985594</v>
      </c>
      <c r="J18" s="39">
        <f ca="1">I18</f>
        <v>0.96113584372985594</v>
      </c>
      <c r="K18" s="40">
        <f ca="1">1-(-K13)/K17</f>
        <v>0.8925171937725751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1616.6851162322632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1616.6851162322632</v>
      </c>
      <c r="M2" s="17"/>
      <c r="N2" s="17">
        <f ca="1">Q2-(L2+O2+P2)</f>
        <v>901.41488376773668</v>
      </c>
      <c r="O2" s="11" cm="1">
        <f t="array" aca="1" ref="O2" ca="1">INDIRECT("'data'!$F$" &amp; $A$1)</f>
        <v>172.9</v>
      </c>
      <c r="P2" s="13">
        <f ca="1">IF(-(L2-Q2+O2)&lt;0, -(L2-Q2+O2), 0)</f>
        <v>0</v>
      </c>
      <c r="Q2" s="17" cm="1">
        <f t="array" aca="1" ref="Q2" ca="1">INDIRECT("'data'!$D$" &amp; $A$1)</f>
        <v>2691</v>
      </c>
      <c r="R2" s="17">
        <f ca="1">SUM(L2:P2)</f>
        <v>2691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1177.6716417910447</v>
      </c>
      <c r="G3" s="14">
        <f ca="1">Q3-O3-P3-F3</f>
        <v>416.54335820895517</v>
      </c>
      <c r="H3" s="14"/>
      <c r="I3" s="14"/>
      <c r="J3" s="14"/>
      <c r="K3" s="13"/>
      <c r="L3" s="16">
        <f t="shared" ca="1" si="0"/>
        <v>1594.2149999999999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43.47</v>
      </c>
      <c r="P3" s="13" cm="1">
        <f t="array" aca="1" ref="P3" ca="1">-INDIRECT("'data'!$I$" &amp; $A$1)*parameters!$B$13</f>
        <v>-31.184999999999999</v>
      </c>
      <c r="Q3" s="16" cm="1">
        <f t="array" aca="1" ref="Q3" ca="1">INDIRECT("'data'!$G$" &amp; $A$1)*parameters!$B$13</f>
        <v>1606.5</v>
      </c>
      <c r="R3" s="16">
        <f t="shared" ref="R3:R10" ca="1" si="2">SUM(L3:P3)</f>
        <v>1606.5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294.41791044776119</v>
      </c>
      <c r="G5" s="14">
        <f ca="1">Q7/parameters!$B$7-(G3+G4)</f>
        <v>3923.3103512999269</v>
      </c>
      <c r="H5" s="14"/>
      <c r="I5" s="14"/>
      <c r="J5" s="14"/>
      <c r="K5" s="13"/>
      <c r="L5" s="16">
        <f t="shared" ca="1" si="0"/>
        <v>4217.7282617476885</v>
      </c>
      <c r="M5" s="16"/>
      <c r="N5" s="49">
        <f ca="1">$E$14*parameters!$B$4-$P$5-$L$5-$O$5</f>
        <v>130.31510625231385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-2416.6799999999998</v>
      </c>
      <c r="Q5" s="16">
        <f ca="1">SUM(L5:P5)</f>
        <v>1931.3633680000025</v>
      </c>
      <c r="R5" s="16">
        <f t="shared" ca="1" si="2"/>
        <v>1931.3633680000025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1380.82</v>
      </c>
      <c r="I6" s="14"/>
      <c r="J6" s="14"/>
      <c r="K6" s="13"/>
      <c r="L6" s="16">
        <f t="shared" ca="1" si="0"/>
        <v>1380.82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1380.82</v>
      </c>
      <c r="R6" s="16">
        <f t="shared" ca="1" si="2"/>
        <v>1380.82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4153.24</v>
      </c>
      <c r="I7" s="14"/>
      <c r="J7" s="14"/>
      <c r="K7" s="13"/>
      <c r="L7" s="16">
        <f t="shared" ca="1" si="0"/>
        <v>4153.24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4153.24</v>
      </c>
      <c r="R7" s="16">
        <f t="shared" ca="1" si="2"/>
        <v>4153.24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7199</v>
      </c>
      <c r="J8" s="14">
        <f ca="1">Q10/J18</f>
        <v>0</v>
      </c>
      <c r="K8" s="13"/>
      <c r="L8" s="16">
        <f t="shared" ca="1" si="0"/>
        <v>7199</v>
      </c>
      <c r="M8" s="16"/>
      <c r="N8" s="16">
        <f t="shared" ca="1" si="3"/>
        <v>-1110.2600000000002</v>
      </c>
      <c r="O8" s="11" cm="1">
        <f t="array" aca="1" ref="O8" ca="1">INDIRECT("'data'!$R$" &amp; $A$1)*parameters!$B$15</f>
        <v>24.5</v>
      </c>
      <c r="P8" s="13" cm="1">
        <f t="array" aca="1" ref="P8" ca="1">-INDIRECT("'data'!$S$" &amp; $A$1)*parameters!$B$15</f>
        <v>-579.17999999999995</v>
      </c>
      <c r="Q8" s="16">
        <f ca="1">SUM(Q6:Q7)</f>
        <v>5534.0599999999995</v>
      </c>
      <c r="R8" s="16">
        <f t="shared" ca="1" si="2"/>
        <v>5534.0599999999995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11025</v>
      </c>
      <c r="L9" s="16">
        <f t="shared" ca="1" si="0"/>
        <v>11025</v>
      </c>
      <c r="M9" s="16"/>
      <c r="N9" s="16">
        <f t="shared" ca="1" si="3"/>
        <v>0</v>
      </c>
      <c r="O9" s="11" cm="1">
        <f t="array" aca="1" ref="O9" ca="1">INDIRECT("'data'!$U$" &amp; $A$1)*parameters!$B$15</f>
        <v>77.42</v>
      </c>
      <c r="P9" s="13" cm="1">
        <f t="array" aca="1" ref="P9" ca="1">-INDIRECT("'data'!$V$" &amp; $A$1)*parameters!$B$15</f>
        <v>-4047.4</v>
      </c>
      <c r="Q9" s="16" cm="1">
        <f t="array" aca="1" ref="Q9" ca="1">INDIRECT("'data'!$T$" &amp; $A$1)*parameters!$B$15</f>
        <v>7055.0199999999995</v>
      </c>
      <c r="R9" s="16">
        <f t="shared" ca="1" si="2"/>
        <v>7055.02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9747.08</v>
      </c>
      <c r="L10" s="16">
        <f t="shared" ca="1" si="0"/>
        <v>9747.08</v>
      </c>
      <c r="M10" s="16"/>
      <c r="N10" s="16">
        <f t="shared" ca="1" si="3"/>
        <v>0</v>
      </c>
      <c r="O10" s="11" cm="1">
        <f t="array" aca="1" ref="O10" ca="1">INDIRECT("'data'!$X$" &amp; $A$1)*parameters!$B$15</f>
        <v>1130.92</v>
      </c>
      <c r="P10" s="13" cm="1">
        <f t="array" aca="1" ref="P10" ca="1">-INDIRECT("'data'!$Y$" &amp; $A$1)*parameters!$B$15</f>
        <v>-10878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19875.928799999998</v>
      </c>
      <c r="N11" s="19"/>
      <c r="O11" s="21" cm="1">
        <f t="array" aca="1" ref="O11" ca="1">INDIRECT("'data'!$Z$" &amp; $A$1)*parameters!$B$15</f>
        <v>856.52</v>
      </c>
      <c r="P11" s="27" cm="1">
        <f t="array" aca="1" ref="P11" ca="1">-INDIRECT("'data'!$AA$" &amp; $A$1)*parameters!$B$15</f>
        <v>-1986.46</v>
      </c>
      <c r="Q11" s="16">
        <f ca="1">K9*parameters!$B$10+K10*parameters!$B$11</f>
        <v>18745.988799999999</v>
      </c>
      <c r="R11" s="16">
        <f t="shared" ref="R11:R17" ca="1" si="4">SUM(L11:P11)</f>
        <v>18745.988799999999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-10.185116232263226</v>
      </c>
      <c r="D12" s="9">
        <f ca="1">-(D17-Q4)</f>
        <v>0</v>
      </c>
      <c r="E12" s="9">
        <f ca="1">-(E17-Q5)</f>
        <v>-238.70783200000051</v>
      </c>
      <c r="F12" s="9">
        <f ca="1">-(F17-Q6)</f>
        <v>-91.269552238806</v>
      </c>
      <c r="G12" s="9">
        <f ca="1">-(G17-Q7)</f>
        <v>-186.61370950888249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-526.77620997995223</v>
      </c>
      <c r="M12" s="17"/>
      <c r="N12" s="17"/>
      <c r="O12" s="10"/>
      <c r="P12" s="12"/>
      <c r="Q12" s="9">
        <f t="shared" ref="Q12:Q17" ca="1" si="6">SUM(L12:P12)</f>
        <v>-526.77620997995223</v>
      </c>
      <c r="R12" s="17">
        <f t="shared" ca="1" si="4"/>
        <v>-526.77620997995223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-143.98000000000047</v>
      </c>
      <c r="J13" s="14">
        <f ca="1">-(J17-Q10)</f>
        <v>0</v>
      </c>
      <c r="K13" s="13">
        <f ca="1">-(K17-Q11)</f>
        <v>-2026.0912000000026</v>
      </c>
      <c r="L13" s="14">
        <f t="shared" ca="1" si="5"/>
        <v>-2170.071200000003</v>
      </c>
      <c r="M13" s="16">
        <f ca="1">-E15</f>
        <v>0</v>
      </c>
      <c r="N13" s="16"/>
      <c r="O13" s="11"/>
      <c r="P13" s="13"/>
      <c r="Q13" s="14">
        <f t="shared" ca="1" si="6"/>
        <v>-2170.071200000003</v>
      </c>
      <c r="R13" s="16">
        <f t="shared" ca="1" si="4"/>
        <v>-2170.071200000003</v>
      </c>
    </row>
    <row r="14" spans="1:19">
      <c r="A14" s="18" t="s">
        <v>78</v>
      </c>
      <c r="B14" s="11"/>
      <c r="C14" s="14"/>
      <c r="D14" s="14"/>
      <c r="E14" s="14">
        <f ca="1">-(I13+J13)-K13</f>
        <v>2170.071200000003</v>
      </c>
      <c r="F14" s="14"/>
      <c r="G14" s="14"/>
      <c r="H14" s="14"/>
      <c r="I14" s="14"/>
      <c r="J14" s="14"/>
      <c r="K14" s="13"/>
      <c r="L14" s="14">
        <f t="shared" ca="1" si="5"/>
        <v>2170.071200000003</v>
      </c>
      <c r="M14" s="16"/>
      <c r="N14" s="16"/>
      <c r="O14" s="11"/>
      <c r="P14" s="13"/>
      <c r="Q14" s="14">
        <f t="shared" ca="1" si="6"/>
        <v>2170.071200000003</v>
      </c>
      <c r="R14" s="16">
        <f t="shared" ca="1" si="4"/>
        <v>2170.071200000003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2691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2691</v>
      </c>
      <c r="M16" s="19"/>
      <c r="N16" s="19"/>
      <c r="O16" s="21"/>
      <c r="P16" s="27"/>
      <c r="Q16" s="22">
        <f t="shared" ca="1" si="6"/>
        <v>2691</v>
      </c>
      <c r="R16" s="19">
        <f t="shared" ca="1" si="4"/>
        <v>2691</v>
      </c>
    </row>
    <row r="17" spans="1:18">
      <c r="A17" s="29" t="s">
        <v>88</v>
      </c>
      <c r="B17" s="9">
        <f ca="1">B16</f>
        <v>2691</v>
      </c>
      <c r="C17" s="9">
        <f ca="1">SUM(C$2:C$11)</f>
        <v>1616.6851162322632</v>
      </c>
      <c r="D17" s="9">
        <f ca="1">SUM(D$2:D$11)</f>
        <v>0</v>
      </c>
      <c r="E17" s="9">
        <f ca="1">$Q$5/parameters!$B$4</f>
        <v>2170.071200000003</v>
      </c>
      <c r="F17" s="9">
        <f t="shared" ref="F17:K17" ca="1" si="7">SUM(F$2:F$11)</f>
        <v>1472.0895522388059</v>
      </c>
      <c r="G17" s="9">
        <f t="shared" ca="1" si="7"/>
        <v>4339.8537095088823</v>
      </c>
      <c r="H17" s="9">
        <f t="shared" ca="1" si="7"/>
        <v>5534.0599999999995</v>
      </c>
      <c r="I17" s="9">
        <f t="shared" ca="1" si="7"/>
        <v>7199</v>
      </c>
      <c r="J17" s="9">
        <f t="shared" ca="1" si="7"/>
        <v>0</v>
      </c>
      <c r="K17" s="9">
        <f t="shared" ca="1" si="7"/>
        <v>20772.080000000002</v>
      </c>
      <c r="L17" s="17">
        <f t="shared" ca="1" si="5"/>
        <v>45794.839577979954</v>
      </c>
      <c r="M17" s="17"/>
      <c r="N17" s="17"/>
      <c r="O17" s="9"/>
      <c r="P17" s="14"/>
      <c r="Q17" s="11">
        <f t="shared" ca="1" si="6"/>
        <v>45794.839577979954</v>
      </c>
      <c r="R17" s="17">
        <f t="shared" ca="1" si="4"/>
        <v>45794.839577979954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0.90246084166823914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9602.1585991747997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9602.1585991747997</v>
      </c>
      <c r="M2" s="17"/>
      <c r="N2" s="17">
        <f ca="1">Q2-(L2+O2+P2)</f>
        <v>0</v>
      </c>
      <c r="O2" s="11" cm="1">
        <f t="array" aca="1" ref="O2" ca="1">INDIRECT("'data'!$F$" &amp; $A$1)</f>
        <v>65</v>
      </c>
      <c r="P2" s="13">
        <f ca="1">IF(-(L2-Q2+O2)&lt;0, -(L2-Q2+O2), 0)</f>
        <v>-9667.1585991747997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8211.940298507463</v>
      </c>
      <c r="G3" s="14">
        <f ca="1">Q3-O3-P3-F3</f>
        <v>1439.3447014925368</v>
      </c>
      <c r="H3" s="14"/>
      <c r="I3" s="14"/>
      <c r="J3" s="14"/>
      <c r="K3" s="13"/>
      <c r="L3" s="16">
        <f t="shared" ca="1" si="0"/>
        <v>9651.2849999999999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32.129999999999995</v>
      </c>
      <c r="P3" s="13" cm="1">
        <f t="array" aca="1" ref="P3" ca="1">-INDIRECT("'data'!$I$" &amp; $A$1)*parameters!$B$13</f>
        <v>-141.75</v>
      </c>
      <c r="Q3" s="16" cm="1">
        <f t="array" aca="1" ref="Q3" ca="1">INDIRECT("'data'!$G$" &amp; $A$1)*parameters!$B$13</f>
        <v>9541.6649999999991</v>
      </c>
      <c r="R3" s="16">
        <f t="shared" ref="R3:R10" ca="1" si="2">SUM(L3:P3)</f>
        <v>9541.6649999999991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53.36</v>
      </c>
      <c r="H4" s="14"/>
      <c r="I4" s="14"/>
      <c r="J4" s="14"/>
      <c r="K4" s="13"/>
      <c r="L4" s="16">
        <f t="shared" ca="1" si="0"/>
        <v>53.36</v>
      </c>
      <c r="M4" s="16"/>
      <c r="N4" s="16">
        <f t="shared" ca="1" si="1"/>
        <v>0</v>
      </c>
      <c r="O4" s="11" cm="1">
        <f t="array" aca="1" ref="O4" ca="1">INDIRECT("'data'!$K$" &amp; $A$1)*parameters!$B$14</f>
        <v>14.72</v>
      </c>
      <c r="P4" s="13" cm="1">
        <f t="array" aca="1" ref="P4" ca="1">-INDIRECT("'data'!$L$" &amp; $A$1)*parameters!$B$14</f>
        <v>-68.08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2052.9850746268658</v>
      </c>
      <c r="G5" s="14">
        <f ca="1">Q7/parameters!$B$7-(G3+G4)</f>
        <v>3790.28380425459</v>
      </c>
      <c r="H5" s="14"/>
      <c r="I5" s="14"/>
      <c r="J5" s="14"/>
      <c r="K5" s="13"/>
      <c r="L5" s="16">
        <f t="shared" ca="1" si="0"/>
        <v>5843.2688788814557</v>
      </c>
      <c r="M5" s="16"/>
      <c r="N5" s="16"/>
      <c r="O5" s="11" cm="1">
        <f t="array" aca="1" ref="O5" ca="1">INDIRECT("'data'!$M$" &amp; $A$1)*parameters!$B$15</f>
        <v>5272.4</v>
      </c>
      <c r="P5" s="13" cm="1">
        <f t="array" aca="1" ref="P5" ca="1">-INDIRECT("'data'!$N$" &amp; $A$1)*parameters!$B$15</f>
        <v>-2202.06</v>
      </c>
      <c r="Q5" s="16">
        <f ca="1">SUM(L5:P5)</f>
        <v>8913.6088788814559</v>
      </c>
      <c r="R5" s="16">
        <f t="shared" ca="1" si="2"/>
        <v>8913.6088788814559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9628.5</v>
      </c>
      <c r="I6" s="14"/>
      <c r="J6" s="14"/>
      <c r="K6" s="13"/>
      <c r="L6" s="16">
        <f t="shared" ca="1" si="0"/>
        <v>9628.5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9628.5</v>
      </c>
      <c r="R6" s="16">
        <f t="shared" ca="1" si="2"/>
        <v>9628.5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5055.82</v>
      </c>
      <c r="I7" s="14"/>
      <c r="J7" s="14"/>
      <c r="K7" s="13"/>
      <c r="L7" s="16">
        <f t="shared" ca="1" si="0"/>
        <v>5055.82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5055.82</v>
      </c>
      <c r="R7" s="16">
        <f t="shared" ca="1" si="2"/>
        <v>5055.82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5069.0840607282144</v>
      </c>
      <c r="J8" s="14">
        <f ca="1">Q10/J18</f>
        <v>10915.695939271784</v>
      </c>
      <c r="K8" s="13"/>
      <c r="L8" s="16">
        <f t="shared" ca="1" si="0"/>
        <v>15984.779999999999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751.66</v>
      </c>
      <c r="P8" s="13" cm="1">
        <f t="array" aca="1" ref="P8" ca="1">-INDIRECT("'data'!$S$" &amp; $A$1)*parameters!$B$15</f>
        <v>-2052.12</v>
      </c>
      <c r="Q8" s="16">
        <f ca="1">SUM(Q6:Q7)</f>
        <v>14684.32</v>
      </c>
      <c r="R8" s="16">
        <f t="shared" ca="1" si="2"/>
        <v>14684.32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5123.4400000000005</v>
      </c>
      <c r="L9" s="16">
        <f t="shared" ca="1" si="0"/>
        <v>5123.4400000000005</v>
      </c>
      <c r="M9" s="16"/>
      <c r="N9" s="16">
        <f t="shared" ca="1" si="3"/>
        <v>0</v>
      </c>
      <c r="O9" s="11" cm="1">
        <f t="array" aca="1" ref="O9" ca="1">INDIRECT("'data'!$U$" &amp; $A$1)*parameters!$B$15</f>
        <v>2367.6799999999998</v>
      </c>
      <c r="P9" s="13" cm="1">
        <f t="array" aca="1" ref="P9" ca="1">-INDIRECT("'data'!$V$" &amp; $A$1)*parameters!$B$15</f>
        <v>-2818.48</v>
      </c>
      <c r="Q9" s="16" cm="1">
        <f t="array" aca="1" ref="Q9" ca="1">INDIRECT("'data'!$T$" &amp; $A$1)*parameters!$B$15</f>
        <v>4672.6400000000003</v>
      </c>
      <c r="R9" s="16">
        <f t="shared" ca="1" si="2"/>
        <v>4672.6400000000012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7400.3187482219064</v>
      </c>
      <c r="L10" s="16">
        <f t="shared" ca="1" si="0"/>
        <v>7400.3187482219064</v>
      </c>
      <c r="M10" s="16"/>
      <c r="N10" s="16">
        <f t="shared" ca="1" si="3"/>
        <v>0</v>
      </c>
      <c r="O10" s="11" cm="1">
        <f t="array" aca="1" ref="O10" ca="1">INDIRECT("'data'!$X$" &amp; $A$1)*parameters!$B$15</f>
        <v>9899.9599999999991</v>
      </c>
      <c r="P10" s="13" cm="1">
        <f t="array" aca="1" ref="P10" ca="1">-INDIRECT("'data'!$Y$" &amp; $A$1)*parameters!$B$15</f>
        <v>-7238.28</v>
      </c>
      <c r="Q10" s="16" cm="1">
        <f t="array" aca="1" ref="Q10" ca="1">INDIRECT("'data'!$W$" &amp; $A$1)*parameters!$B$15</f>
        <v>10061.998748221906</v>
      </c>
      <c r="R10" s="16">
        <f t="shared" ca="1" si="2"/>
        <v>10061.998748221908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14655.38772347084</v>
      </c>
      <c r="N11" s="19"/>
      <c r="O11" s="21" cm="1">
        <f t="array" aca="1" ref="O11" ca="1">INDIRECT("'data'!$Z$" &amp; $A$1)*parameters!$B$15</f>
        <v>8389.7800000000007</v>
      </c>
      <c r="P11" s="27" cm="1">
        <f t="array" aca="1" ref="P11" ca="1">-INDIRECT("'data'!$AA$" &amp; $A$1)*parameters!$B$15</f>
        <v>-11864.86</v>
      </c>
      <c r="Q11" s="16">
        <f ca="1">K9*parameters!$B$10+K10*parameters!$B$11</f>
        <v>11180.30772347084</v>
      </c>
      <c r="R11" s="16">
        <f t="shared" ref="R11:R17" ca="1" si="4">SUM(L11:P11)</f>
        <v>11180.30772347084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-60.493599174800693</v>
      </c>
      <c r="D12" s="9">
        <f ca="1">-(D17-Q4)</f>
        <v>0</v>
      </c>
      <c r="E12" s="9">
        <f ca="1">-(E17-Q5)</f>
        <v>-1101.6819962662466</v>
      </c>
      <c r="F12" s="9">
        <f ca="1">-(F17-Q6)</f>
        <v>-636.42537313432877</v>
      </c>
      <c r="G12" s="9">
        <f ca="1">-(G17-Q7)</f>
        <v>-227.1685057471268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-2025.7694743225029</v>
      </c>
      <c r="M12" s="17"/>
      <c r="N12" s="17"/>
      <c r="O12" s="10"/>
      <c r="P12" s="12"/>
      <c r="Q12" s="9">
        <f t="shared" ref="Q12:Q17" ca="1" si="6">SUM(L12:P12)</f>
        <v>-2025.7694743225029</v>
      </c>
      <c r="R12" s="17">
        <f t="shared" ca="1" si="4"/>
        <v>-2025.7694743225029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-396.44406072821403</v>
      </c>
      <c r="J13" s="14">
        <f ca="1">-(J17-Q10)</f>
        <v>-853.6971910498778</v>
      </c>
      <c r="K13" s="13">
        <f ca="1">-(K17-Q11)</f>
        <v>-1343.4510247510661</v>
      </c>
      <c r="L13" s="14">
        <f t="shared" ca="1" si="5"/>
        <v>-2593.592276529158</v>
      </c>
      <c r="M13" s="16">
        <f ca="1">-E15</f>
        <v>-7421.6985986185446</v>
      </c>
      <c r="N13" s="16"/>
      <c r="O13" s="11"/>
      <c r="P13" s="13"/>
      <c r="Q13" s="14">
        <f t="shared" ca="1" si="6"/>
        <v>-10015.290875147703</v>
      </c>
      <c r="R13" s="16">
        <f t="shared" ca="1" si="4"/>
        <v>-10015.290875147703</v>
      </c>
    </row>
    <row r="14" spans="1:20">
      <c r="A14" s="18" t="s">
        <v>78</v>
      </c>
      <c r="B14" s="11"/>
      <c r="C14" s="14"/>
      <c r="D14" s="14"/>
      <c r="E14" s="14">
        <f ca="1">-(I13+J13)-K13</f>
        <v>2593.592276529158</v>
      </c>
      <c r="F14" s="14"/>
      <c r="G14" s="14"/>
      <c r="H14" s="14"/>
      <c r="I14" s="14"/>
      <c r="J14" s="14"/>
      <c r="K14" s="13"/>
      <c r="L14" s="14">
        <f t="shared" ca="1" si="5"/>
        <v>2593.592276529158</v>
      </c>
      <c r="M14" s="16"/>
      <c r="N14" s="16"/>
      <c r="O14" s="11"/>
      <c r="P14" s="13"/>
      <c r="Q14" s="14">
        <f t="shared" ca="1" si="6"/>
        <v>2593.592276529158</v>
      </c>
      <c r="R14" s="16">
        <f t="shared" ca="1" si="4"/>
        <v>2593.592276529158</v>
      </c>
    </row>
    <row r="15" spans="1:20">
      <c r="A15" s="18" t="s">
        <v>79</v>
      </c>
      <c r="B15" s="11"/>
      <c r="C15" s="14"/>
      <c r="D15" s="14"/>
      <c r="E15" s="14">
        <f ca="1">E17-E14</f>
        <v>7421.6985986185446</v>
      </c>
      <c r="F15" s="14"/>
      <c r="G15" s="14"/>
      <c r="H15" s="14"/>
      <c r="I15" s="14"/>
      <c r="J15" s="14"/>
      <c r="K15" s="13"/>
      <c r="L15" s="14">
        <f t="shared" ca="1" si="5"/>
        <v>7421.6985986185446</v>
      </c>
      <c r="M15" s="16"/>
      <c r="N15" s="16"/>
      <c r="O15" s="11"/>
      <c r="P15" s="13"/>
      <c r="Q15" s="14">
        <f t="shared" ca="1" si="6"/>
        <v>7421.6985986185446</v>
      </c>
      <c r="R15" s="16">
        <f t="shared" ca="1" si="4"/>
        <v>7421.6985986185446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9602.1585991747997</v>
      </c>
      <c r="D17" s="9">
        <f ca="1">SUM(D$2:D$11)</f>
        <v>0</v>
      </c>
      <c r="E17" s="9">
        <f ca="1">$Q$5/parameters!$B$4</f>
        <v>10015.290875147703</v>
      </c>
      <c r="F17" s="9">
        <f t="shared" ref="F17:K17" ca="1" si="7">SUM(F$2:F$11)</f>
        <v>10264.925373134329</v>
      </c>
      <c r="G17" s="9">
        <f t="shared" ca="1" si="7"/>
        <v>5282.9885057471265</v>
      </c>
      <c r="H17" s="9">
        <f t="shared" ca="1" si="7"/>
        <v>14684.32</v>
      </c>
      <c r="I17" s="9">
        <f t="shared" ca="1" si="7"/>
        <v>5069.0840607282144</v>
      </c>
      <c r="J17" s="9">
        <f t="shared" ca="1" si="7"/>
        <v>10915.695939271784</v>
      </c>
      <c r="K17" s="9">
        <f t="shared" ca="1" si="7"/>
        <v>12523.758748221906</v>
      </c>
      <c r="L17" s="17">
        <f t="shared" ca="1" si="5"/>
        <v>78358.222101425868</v>
      </c>
      <c r="M17" s="17"/>
      <c r="N17" s="17"/>
      <c r="O17" s="9"/>
      <c r="P17" s="14"/>
      <c r="Q17" s="11">
        <f t="shared" ca="1" si="6"/>
        <v>78358.222101425868</v>
      </c>
      <c r="R17" s="17">
        <f t="shared" ca="1" si="4"/>
        <v>78358.222101425868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0.92179177619097097</v>
      </c>
      <c r="J18" s="39">
        <f ca="1">I18</f>
        <v>0.92179177619097097</v>
      </c>
      <c r="K18" s="40">
        <f ca="1">1-(-K13)/K17</f>
        <v>0.89272781025570247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4231.9110395491598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4231.9110395491598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-4231.9110395491598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3929.1940298507461</v>
      </c>
      <c r="G3" s="14">
        <f ca="1">Q3-O3-P3-F3</f>
        <v>504.74597014925348</v>
      </c>
      <c r="H3" s="14"/>
      <c r="I3" s="14"/>
      <c r="J3" s="14"/>
      <c r="K3" s="13"/>
      <c r="L3" s="16">
        <f t="shared" ca="1" si="0"/>
        <v>4433.9399999999996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4.7249999999999996</v>
      </c>
      <c r="P3" s="13" cm="1">
        <f t="array" aca="1" ref="P3" ca="1">-INDIRECT("'data'!$I$" &amp; $A$1)*parameters!$B$13</f>
        <v>-233.41499999999999</v>
      </c>
      <c r="Q3" s="16" cm="1">
        <f t="array" aca="1" ref="Q3" ca="1">INDIRECT("'data'!$G$" &amp; $A$1)*parameters!$B$13</f>
        <v>4205.25</v>
      </c>
      <c r="R3" s="16">
        <f t="shared" ref="R3:R10" ca="1" si="2">SUM(L3:P3)</f>
        <v>4205.25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672.52</v>
      </c>
      <c r="H4" s="14"/>
      <c r="I4" s="14"/>
      <c r="J4" s="14"/>
      <c r="K4" s="13"/>
      <c r="L4" s="16">
        <f t="shared" ca="1" si="0"/>
        <v>672.52</v>
      </c>
      <c r="M4" s="16"/>
      <c r="N4" s="16">
        <f t="shared" ca="1" si="1"/>
        <v>0</v>
      </c>
      <c r="O4" s="11" cm="1">
        <f t="array" aca="1" ref="O4" ca="1">INDIRECT("'data'!$K$" &amp; $A$1)*parameters!$B$14</f>
        <v>2.7600000000000002</v>
      </c>
      <c r="P4" s="13" cm="1">
        <f t="array" aca="1" ref="P4" ca="1">-INDIRECT("'data'!$L$" &amp; $A$1)*parameters!$B$14</f>
        <v>-675.28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982.29850746268664</v>
      </c>
      <c r="G5" s="14">
        <f ca="1">Q7/parameters!$B$7-(G3+G4)</f>
        <v>9210.5292231631793</v>
      </c>
      <c r="H5" s="14"/>
      <c r="I5" s="14"/>
      <c r="J5" s="14"/>
      <c r="K5" s="13"/>
      <c r="L5" s="16">
        <f t="shared" ca="1" si="0"/>
        <v>10192.827730625866</v>
      </c>
      <c r="M5" s="16"/>
      <c r="N5" s="16"/>
      <c r="O5" s="11" cm="1">
        <f t="array" aca="1" ref="O5" ca="1">INDIRECT("'data'!$M$" &amp; $A$1)*parameters!$B$15</f>
        <v>338.09999999999997</v>
      </c>
      <c r="P5" s="13" cm="1">
        <f t="array" aca="1" ref="P5" ca="1">-INDIRECT("'data'!$N$" &amp; $A$1)*parameters!$B$15</f>
        <v>-4929.3999999999996</v>
      </c>
      <c r="Q5" s="16">
        <f ca="1">SUM(L5:P5)</f>
        <v>5601.5277306258668</v>
      </c>
      <c r="R5" s="16">
        <f t="shared" ca="1" si="2"/>
        <v>5601.5277306258668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4606.9799999999996</v>
      </c>
      <c r="I6" s="14"/>
      <c r="J6" s="14"/>
      <c r="K6" s="13"/>
      <c r="L6" s="16">
        <f t="shared" ca="1" si="0"/>
        <v>4606.9799999999996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4606.9799999999996</v>
      </c>
      <c r="R6" s="16">
        <f t="shared" ca="1" si="2"/>
        <v>4606.9799999999996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9941.119999999999</v>
      </c>
      <c r="I7" s="14"/>
      <c r="J7" s="14"/>
      <c r="K7" s="13"/>
      <c r="L7" s="16">
        <f t="shared" ca="1" si="0"/>
        <v>9941.119999999999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9941.119999999999</v>
      </c>
      <c r="R7" s="16">
        <f t="shared" ca="1" si="2"/>
        <v>9941.119999999999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10181.233046242194</v>
      </c>
      <c r="J8" s="14">
        <f ca="1">Q10/J18</f>
        <v>5045.0269537578051</v>
      </c>
      <c r="K8" s="13"/>
      <c r="L8" s="16">
        <f t="shared" ca="1" si="0"/>
        <v>15226.259999999998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147.97999999999999</v>
      </c>
      <c r="P8" s="13" cm="1">
        <f t="array" aca="1" ref="P8" ca="1">-INDIRECT("'data'!$S$" &amp; $A$1)*parameters!$B$15</f>
        <v>-826.14</v>
      </c>
      <c r="Q8" s="16">
        <f ca="1">SUM(Q6:Q7)</f>
        <v>14548.099999999999</v>
      </c>
      <c r="R8" s="16">
        <f t="shared" ca="1" si="2"/>
        <v>14548.099999999999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4144.42</v>
      </c>
      <c r="L9" s="16">
        <f t="shared" ca="1" si="0"/>
        <v>4144.42</v>
      </c>
      <c r="M9" s="16"/>
      <c r="N9" s="16">
        <f t="shared" ca="1" si="3"/>
        <v>0</v>
      </c>
      <c r="O9" s="11" cm="1">
        <f t="array" aca="1" ref="O9" ca="1">INDIRECT("'data'!$U$" &amp; $A$1)*parameters!$B$15</f>
        <v>6060.32</v>
      </c>
      <c r="P9" s="13" cm="1">
        <f t="array" aca="1" ref="P9" ca="1">-INDIRECT("'data'!$V$" &amp; $A$1)*parameters!$B$15</f>
        <v>-1120.1399999999999</v>
      </c>
      <c r="Q9" s="16" cm="1">
        <f t="array" aca="1" ref="Q9" ca="1">INDIRECT("'data'!$T$" &amp; $A$1)*parameters!$B$15</f>
        <v>9084.6</v>
      </c>
      <c r="R9" s="16">
        <f t="shared" ca="1" si="2"/>
        <v>9084.6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8286.3809388335703</v>
      </c>
      <c r="L10" s="16">
        <f t="shared" ca="1" si="0"/>
        <v>8286.3809388335703</v>
      </c>
      <c r="M10" s="16"/>
      <c r="N10" s="16">
        <f t="shared" ca="1" si="3"/>
        <v>0</v>
      </c>
      <c r="O10" s="11" cm="1">
        <f t="array" aca="1" ref="O10" ca="1">INDIRECT("'data'!$X$" &amp; $A$1)*parameters!$B$15</f>
        <v>2403.94</v>
      </c>
      <c r="P10" s="13" cm="1">
        <f t="array" aca="1" ref="P10" ca="1">-INDIRECT("'data'!$Y$" &amp; $A$1)*parameters!$B$15</f>
        <v>-6188.7</v>
      </c>
      <c r="Q10" s="16" cm="1">
        <f t="array" aca="1" ref="Q10" ca="1">INDIRECT("'data'!$W$" &amp; $A$1)*parameters!$B$15</f>
        <v>4501.6209388335701</v>
      </c>
      <c r="R10" s="16">
        <f t="shared" ca="1" si="2"/>
        <v>4501.620938833571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9161.0224073968711</v>
      </c>
      <c r="N11" s="19"/>
      <c r="O11" s="21" cm="1">
        <f t="array" aca="1" ref="O11" ca="1">INDIRECT("'data'!$Z$" &amp; $A$1)*parameters!$B$15</f>
        <v>9020.9</v>
      </c>
      <c r="P11" s="27" cm="1">
        <f t="array" aca="1" ref="P11" ca="1">-INDIRECT("'data'!$AA$" &amp; $A$1)*parameters!$B$15</f>
        <v>-7159.88</v>
      </c>
      <c r="Q11" s="16">
        <f ca="1">K9*parameters!$B$10+K10*parameters!$B$11</f>
        <v>11022.04240739687</v>
      </c>
      <c r="R11" s="16">
        <f t="shared" ref="R11:R17" ca="1" si="4">SUM(L11:P11)</f>
        <v>11022.042407396872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-26.661039549159796</v>
      </c>
      <c r="D12" s="9">
        <f ca="1">-(D17-Q4)</f>
        <v>0</v>
      </c>
      <c r="E12" s="9">
        <f ca="1">-(E17-Q5)</f>
        <v>-692.32365209982618</v>
      </c>
      <c r="F12" s="9">
        <f ca="1">-(F17-Q6)</f>
        <v>-304.51253731343331</v>
      </c>
      <c r="G12" s="9">
        <f ca="1">-(G17-Q7)</f>
        <v>-446.6751933124342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-1470.1724222748535</v>
      </c>
      <c r="M12" s="17"/>
      <c r="N12" s="17"/>
      <c r="O12" s="10"/>
      <c r="P12" s="12"/>
      <c r="Q12" s="9">
        <f t="shared" ref="Q12:Q17" ca="1" si="6">SUM(L12:P12)</f>
        <v>-1470.1724222748535</v>
      </c>
      <c r="R12" s="17">
        <f t="shared" ca="1" si="4"/>
        <v>-1470.1724222748535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-1096.6330462421938</v>
      </c>
      <c r="J13" s="14">
        <f ca="1">-(J17-Q10)</f>
        <v>-543.40601492423502</v>
      </c>
      <c r="K13" s="13">
        <f ca="1">-(K17-Q11)</f>
        <v>-1408.7585314367007</v>
      </c>
      <c r="L13" s="14">
        <f t="shared" ca="1" si="5"/>
        <v>-3048.7975926031295</v>
      </c>
      <c r="M13" s="16">
        <f ca="1">-E15</f>
        <v>-3245.0537901225634</v>
      </c>
      <c r="N13" s="16"/>
      <c r="O13" s="11"/>
      <c r="P13" s="13"/>
      <c r="Q13" s="14">
        <f t="shared" ca="1" si="6"/>
        <v>-6293.8513827256929</v>
      </c>
      <c r="R13" s="16">
        <f t="shared" ca="1" si="4"/>
        <v>-6293.8513827256929</v>
      </c>
    </row>
    <row r="14" spans="1:20">
      <c r="A14" s="18" t="s">
        <v>78</v>
      </c>
      <c r="B14" s="11"/>
      <c r="C14" s="14"/>
      <c r="D14" s="14"/>
      <c r="E14" s="14">
        <f ca="1">-(I13+J13)-K13</f>
        <v>3048.7975926031295</v>
      </c>
      <c r="F14" s="14"/>
      <c r="G14" s="14"/>
      <c r="H14" s="14"/>
      <c r="I14" s="14"/>
      <c r="J14" s="14"/>
      <c r="K14" s="13"/>
      <c r="L14" s="14">
        <f t="shared" ca="1" si="5"/>
        <v>3048.7975926031295</v>
      </c>
      <c r="M14" s="16"/>
      <c r="N14" s="16"/>
      <c r="O14" s="11"/>
      <c r="P14" s="13"/>
      <c r="Q14" s="14">
        <f t="shared" ca="1" si="6"/>
        <v>3048.7975926031295</v>
      </c>
      <c r="R14" s="16">
        <f t="shared" ca="1" si="4"/>
        <v>3048.7975926031295</v>
      </c>
    </row>
    <row r="15" spans="1:20">
      <c r="A15" s="18" t="s">
        <v>79</v>
      </c>
      <c r="B15" s="11"/>
      <c r="C15" s="14"/>
      <c r="D15" s="14"/>
      <c r="E15" s="14">
        <f ca="1">E17-E14</f>
        <v>3245.0537901225634</v>
      </c>
      <c r="F15" s="14"/>
      <c r="G15" s="14"/>
      <c r="H15" s="14"/>
      <c r="I15" s="14"/>
      <c r="J15" s="14"/>
      <c r="K15" s="13"/>
      <c r="L15" s="14">
        <f t="shared" ca="1" si="5"/>
        <v>3245.0537901225634</v>
      </c>
      <c r="M15" s="16"/>
      <c r="N15" s="16"/>
      <c r="O15" s="11"/>
      <c r="P15" s="13"/>
      <c r="Q15" s="14">
        <f t="shared" ca="1" si="6"/>
        <v>3245.0537901225634</v>
      </c>
      <c r="R15" s="16">
        <f t="shared" ca="1" si="4"/>
        <v>3245.0537901225634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4231.9110395491598</v>
      </c>
      <c r="D17" s="9">
        <f ca="1">SUM(D$2:D$11)</f>
        <v>0</v>
      </c>
      <c r="E17" s="9">
        <f ca="1">$Q$5/parameters!$B$4</f>
        <v>6293.8513827256929</v>
      </c>
      <c r="F17" s="9">
        <f t="shared" ref="F17:K17" ca="1" si="7">SUM(F$2:F$11)</f>
        <v>4911.4925373134329</v>
      </c>
      <c r="G17" s="9">
        <f t="shared" ca="1" si="7"/>
        <v>10387.795193312433</v>
      </c>
      <c r="H17" s="9">
        <f t="shared" ca="1" si="7"/>
        <v>14548.099999999999</v>
      </c>
      <c r="I17" s="9">
        <f t="shared" ca="1" si="7"/>
        <v>10181.233046242194</v>
      </c>
      <c r="J17" s="9">
        <f t="shared" ca="1" si="7"/>
        <v>5045.0269537578051</v>
      </c>
      <c r="K17" s="9">
        <f t="shared" ca="1" si="7"/>
        <v>12430.80093883357</v>
      </c>
      <c r="L17" s="17">
        <f t="shared" ca="1" si="5"/>
        <v>68030.211091734294</v>
      </c>
      <c r="M17" s="17"/>
      <c r="N17" s="17"/>
      <c r="O17" s="9"/>
      <c r="P17" s="14"/>
      <c r="Q17" s="11">
        <f t="shared" ca="1" si="6"/>
        <v>68030.211091734294</v>
      </c>
      <c r="R17" s="17">
        <f t="shared" ca="1" si="4"/>
        <v>68030.211091734294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0.89228877865172218</v>
      </c>
      <c r="J18" s="39">
        <f ca="1">I18</f>
        <v>0.89228877865172218</v>
      </c>
      <c r="K18" s="40">
        <f ca="1">1-(-K13)/K17</f>
        <v>0.8866719418669341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5564.2497735735124</v>
      </c>
      <c r="D2" s="9">
        <f ca="1">Q4/parameters!$B$3</f>
        <v>1390.6007849451546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6954.8505585186667</v>
      </c>
      <c r="M2" s="17"/>
      <c r="N2" s="17">
        <f ca="1">Q2-(L2+O2+P2)</f>
        <v>0</v>
      </c>
      <c r="O2" s="11" cm="1">
        <f t="array" aca="1" ref="O2" ca="1">INDIRECT("'data'!$F$" &amp; $A$1)</f>
        <v>23961.600000000002</v>
      </c>
      <c r="P2" s="13">
        <f ca="1">IF(-(L2-Q2+O2)&lt;0, -(L2-Q2+O2), 0)</f>
        <v>-3216.4505585186671</v>
      </c>
      <c r="Q2" s="17" cm="1">
        <f t="array" aca="1" ref="Q2" ca="1">INDIRECT("'data'!$D$" &amp; $A$1)</f>
        <v>27700</v>
      </c>
      <c r="R2" s="17">
        <f ca="1">SUM(L2:P2)</f>
        <v>27700.000000000004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5542.3805970149251</v>
      </c>
      <c r="G3" s="14">
        <f ca="1">Q3-O3-P3-F3</f>
        <v>25.559402985074485</v>
      </c>
      <c r="H3" s="14"/>
      <c r="I3" s="14"/>
      <c r="J3" s="14"/>
      <c r="K3" s="13"/>
      <c r="L3" s="16">
        <f t="shared" ca="1" si="0"/>
        <v>5567.94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15.12</v>
      </c>
      <c r="P3" s="13" cm="1">
        <f t="array" aca="1" ref="P3" ca="1">-INDIRECT("'data'!$I$" &amp; $A$1)*parameters!$B$13</f>
        <v>-53.864999999999995</v>
      </c>
      <c r="Q3" s="16" cm="1">
        <f t="array" aca="1" ref="Q3" ca="1">INDIRECT("'data'!$G$" &amp; $A$1)*parameters!$B$13</f>
        <v>5529.1949999999997</v>
      </c>
      <c r="R3" s="16">
        <f t="shared" ref="R3:R10" ca="1" si="2">SUM(L3:P3)</f>
        <v>5529.1949999999997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1386.44</v>
      </c>
      <c r="H4" s="14"/>
      <c r="I4" s="14"/>
      <c r="J4" s="14"/>
      <c r="K4" s="13"/>
      <c r="L4" s="16">
        <f t="shared" ca="1" si="0"/>
        <v>1386.44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-4.6000000000000005</v>
      </c>
      <c r="Q4" s="16" cm="1">
        <f t="array" aca="1" ref="Q4" ca="1">INDIRECT("'data'!$J$" &amp; $A$1)*parameters!$B$14</f>
        <v>1381.8400000000001</v>
      </c>
      <c r="R4" s="16">
        <f t="shared" ca="1" si="2"/>
        <v>1381.8400000000001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Q6/parameters!$B$5*21%</f>
        <v>1473.2910447761194</v>
      </c>
      <c r="G5" s="14">
        <f ca="1">Q7/parameters!$B$7-(G3+G4)</f>
        <v>4483.3610985823234</v>
      </c>
      <c r="H5" s="14"/>
      <c r="I5" s="14"/>
      <c r="J5" s="14"/>
      <c r="K5" s="13"/>
      <c r="L5" s="16">
        <f t="shared" ca="1" si="0"/>
        <v>5956.652143358443</v>
      </c>
      <c r="M5" s="16"/>
      <c r="N5" s="16"/>
      <c r="O5" s="11" cm="1">
        <f t="array" aca="1" ref="O5" ca="1">INDIRECT("'data'!$M$" &amp; $A$1)*parameters!$B$15</f>
        <v>3346.7</v>
      </c>
      <c r="P5" s="13" cm="1">
        <f t="array" aca="1" ref="P5" ca="1">-INDIRECT("'data'!$N$" &amp; $A$1)*parameters!$B$15</f>
        <v>-1485.68</v>
      </c>
      <c r="Q5" s="16">
        <f ca="1">SUM(L5:P5)</f>
        <v>7817.6721433584426</v>
      </c>
      <c r="R5" s="16">
        <f t="shared" ca="1" si="2"/>
        <v>7817.6721433584426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6580.7</v>
      </c>
      <c r="I6" s="14"/>
      <c r="J6" s="14"/>
      <c r="K6" s="13"/>
      <c r="L6" s="16">
        <f t="shared" ca="1" si="0"/>
        <v>6580.7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6580.7</v>
      </c>
      <c r="R6" s="16">
        <f t="shared" ca="1" si="2"/>
        <v>6580.7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5641.86</v>
      </c>
      <c r="I7" s="14"/>
      <c r="J7" s="14"/>
      <c r="K7" s="13"/>
      <c r="L7" s="16">
        <f t="shared" ca="1" si="0"/>
        <v>5641.86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5641.86</v>
      </c>
      <c r="R7" s="16">
        <f t="shared" ca="1" si="2"/>
        <v>5641.86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3117.1892304217531</v>
      </c>
      <c r="J8" s="14">
        <f ca="1">Q10/J18</f>
        <v>9166.1307695782471</v>
      </c>
      <c r="K8" s="13"/>
      <c r="L8" s="16">
        <f t="shared" ca="1" si="0"/>
        <v>12283.32</v>
      </c>
      <c r="M8" s="16"/>
      <c r="N8" s="16">
        <f t="shared" ca="1" si="3"/>
        <v>0</v>
      </c>
      <c r="O8" s="11" cm="1">
        <f t="array" aca="1" ref="O8" ca="1">INDIRECT("'data'!$R$" &amp; $A$1)*parameters!$B$15</f>
        <v>200.9</v>
      </c>
      <c r="P8" s="13" cm="1">
        <f t="array" aca="1" ref="P8" ca="1">-INDIRECT("'data'!$S$" &amp; $A$1)*parameters!$B$15</f>
        <v>-261.65999999999997</v>
      </c>
      <c r="Q8" s="16">
        <f ca="1">SUM(Q6:Q7)</f>
        <v>12222.56</v>
      </c>
      <c r="R8" s="16">
        <f t="shared" ca="1" si="2"/>
        <v>12222.56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3804.3599999999997</v>
      </c>
      <c r="L9" s="16">
        <f t="shared" ca="1" si="0"/>
        <v>3804.3599999999997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1592.5</v>
      </c>
      <c r="P9" s="13" cm="1">
        <f t="array" aca="1" ref="P9" ca="1">-INDIRECT("'data'!$V$" &amp; $A$1)*parameters!$B$15</f>
        <v>-2488.2199999999998</v>
      </c>
      <c r="Q9" s="16" cm="1">
        <f t="array" aca="1" ref="Q9" ca="1">INDIRECT("'data'!$T$" &amp; $A$1)*parameters!$B$15</f>
        <v>2908.64</v>
      </c>
      <c r="R9" s="16">
        <f t="shared" ca="1" si="2"/>
        <v>2908.64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8967.4293598862005</v>
      </c>
      <c r="L10" s="16">
        <f t="shared" ca="1" si="0"/>
        <v>8967.4293598862005</v>
      </c>
      <c r="M10" s="16"/>
      <c r="N10" s="16">
        <f t="shared" ca="1" si="3"/>
        <v>0</v>
      </c>
      <c r="O10" s="11" cm="1">
        <f t="array" aca="1" ref="O10" ca="1">INDIRECT("'data'!$X$" &amp; $A$1)*parameters!$B$15</f>
        <v>3142.86</v>
      </c>
      <c r="P10" s="13" cm="1">
        <f t="array" aca="1" ref="P10" ca="1">-INDIRECT("'data'!$Y$" &amp; $A$1)*parameters!$B$15</f>
        <v>-3557.4</v>
      </c>
      <c r="Q10" s="16" cm="1">
        <f t="array" aca="1" ref="Q10" ca="1">INDIRECT("'data'!$W$" &amp; $A$1)*parameters!$B$15</f>
        <v>8552.8893598862014</v>
      </c>
      <c r="R10" s="16">
        <f t="shared" ca="1" si="2"/>
        <v>8552.8893598862014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16886.827649502131</v>
      </c>
      <c r="N11" s="19"/>
      <c r="O11" s="21" cm="1">
        <f t="array" aca="1" ref="O11" ca="1">INDIRECT("'data'!$Z$" &amp; $A$1)*parameters!$B$15</f>
        <v>5571.3</v>
      </c>
      <c r="P11" s="27" cm="1">
        <f t="array" aca="1" ref="P11" ca="1">-INDIRECT("'data'!$AA$" &amp; $A$1)*parameters!$B$15</f>
        <v>-11170.039999999999</v>
      </c>
      <c r="Q11" s="16">
        <f ca="1">K9*parameters!$B$10+K10*parameters!$B$11</f>
        <v>11288.087649502131</v>
      </c>
      <c r="R11" s="16">
        <f t="shared" ref="R11:R17" ca="1" si="4">SUM(L11:P11)</f>
        <v>11288.087649502131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-35.054773573512648</v>
      </c>
      <c r="D12" s="9">
        <f ca="1">-(D17-Q4)</f>
        <v>-8.7607849451544553</v>
      </c>
      <c r="E12" s="9">
        <f ca="1">-(E17-Q5)</f>
        <v>-966.22914131396465</v>
      </c>
      <c r="F12" s="9">
        <f ca="1">-(F17-Q6)</f>
        <v>-434.97164179104493</v>
      </c>
      <c r="G12" s="9">
        <f ca="1">-(G17-Q7)</f>
        <v>-253.50050156739871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-1698.5168431910754</v>
      </c>
      <c r="M12" s="17"/>
      <c r="N12" s="17"/>
      <c r="O12" s="10"/>
      <c r="P12" s="12"/>
      <c r="Q12" s="9">
        <f t="shared" ref="Q12:Q17" ca="1" si="6">SUM(L12:P12)</f>
        <v>-1698.5168431910754</v>
      </c>
      <c r="R12" s="17">
        <f t="shared" ca="1" si="4"/>
        <v>-1698.5168431910754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-208.54923042175324</v>
      </c>
      <c r="J13" s="14">
        <f ca="1">-(J17-Q10)</f>
        <v>-613.24140969204564</v>
      </c>
      <c r="K13" s="13">
        <f ca="1">-(K17-Q11)</f>
        <v>-1483.7017103840681</v>
      </c>
      <c r="L13" s="14">
        <f t="shared" ca="1" si="5"/>
        <v>-2305.4923504978669</v>
      </c>
      <c r="M13" s="16">
        <f ca="1">-E15</f>
        <v>-6478.4089341745403</v>
      </c>
      <c r="N13" s="16"/>
      <c r="O13" s="11"/>
      <c r="P13" s="13"/>
      <c r="Q13" s="14">
        <f t="shared" ca="1" si="6"/>
        <v>-8783.9012846724072</v>
      </c>
      <c r="R13" s="16">
        <f t="shared" ca="1" si="4"/>
        <v>-8783.9012846724072</v>
      </c>
    </row>
    <row r="14" spans="1:20">
      <c r="A14" s="18" t="s">
        <v>78</v>
      </c>
      <c r="B14" s="11"/>
      <c r="C14" s="14"/>
      <c r="D14" s="14"/>
      <c r="E14" s="14">
        <f ca="1">-(I13+J13)-K13</f>
        <v>2305.4923504978669</v>
      </c>
      <c r="F14" s="14"/>
      <c r="G14" s="14"/>
      <c r="H14" s="14"/>
      <c r="I14" s="14"/>
      <c r="J14" s="14"/>
      <c r="K14" s="13"/>
      <c r="L14" s="14">
        <f t="shared" ca="1" si="5"/>
        <v>2305.4923504978669</v>
      </c>
      <c r="M14" s="16"/>
      <c r="N14" s="16"/>
      <c r="O14" s="11"/>
      <c r="P14" s="13"/>
      <c r="Q14" s="14">
        <f t="shared" ca="1" si="6"/>
        <v>2305.4923504978669</v>
      </c>
      <c r="R14" s="16">
        <f t="shared" ca="1" si="4"/>
        <v>2305.4923504978669</v>
      </c>
    </row>
    <row r="15" spans="1:20">
      <c r="A15" s="18" t="s">
        <v>79</v>
      </c>
      <c r="B15" s="11"/>
      <c r="C15" s="14"/>
      <c r="D15" s="14"/>
      <c r="E15" s="14">
        <f ca="1">E17-E14</f>
        <v>6478.4089341745403</v>
      </c>
      <c r="F15" s="14"/>
      <c r="G15" s="14"/>
      <c r="H15" s="14"/>
      <c r="I15" s="14"/>
      <c r="J15" s="14"/>
      <c r="K15" s="13"/>
      <c r="L15" s="14">
        <f t="shared" ca="1" si="5"/>
        <v>6478.4089341745403</v>
      </c>
      <c r="M15" s="16"/>
      <c r="N15" s="16"/>
      <c r="O15" s="11"/>
      <c r="P15" s="13"/>
      <c r="Q15" s="14">
        <f t="shared" ca="1" si="6"/>
        <v>6478.4089341745403</v>
      </c>
      <c r="R15" s="16">
        <f t="shared" ca="1" si="4"/>
        <v>6478.4089341745403</v>
      </c>
    </row>
    <row r="16" spans="1:20">
      <c r="A16" s="30" t="s">
        <v>89</v>
      </c>
      <c r="B16" s="21">
        <f ca="1">Q2</f>
        <v>27700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27700</v>
      </c>
      <c r="M16" s="19"/>
      <c r="N16" s="19"/>
      <c r="O16" s="21"/>
      <c r="P16" s="27"/>
      <c r="Q16" s="22">
        <f t="shared" ca="1" si="6"/>
        <v>27700</v>
      </c>
      <c r="R16" s="19">
        <f t="shared" ca="1" si="4"/>
        <v>27700</v>
      </c>
    </row>
    <row r="17" spans="1:18">
      <c r="A17" s="29" t="s">
        <v>88</v>
      </c>
      <c r="B17" s="9">
        <f ca="1">B16</f>
        <v>27700</v>
      </c>
      <c r="C17" s="9">
        <f ca="1">SUM(C$2:C$11)</f>
        <v>5564.2497735735124</v>
      </c>
      <c r="D17" s="9">
        <f ca="1">SUM(D$2:D$11)</f>
        <v>1390.6007849451546</v>
      </c>
      <c r="E17" s="9">
        <f ca="1">$Q$5/parameters!$B$4</f>
        <v>8783.9012846724072</v>
      </c>
      <c r="F17" s="9">
        <f t="shared" ref="F17:K17" ca="1" si="7">SUM(F$2:F$11)</f>
        <v>7015.6716417910447</v>
      </c>
      <c r="G17" s="9">
        <f t="shared" ca="1" si="7"/>
        <v>5895.3605015673984</v>
      </c>
      <c r="H17" s="9">
        <f t="shared" ca="1" si="7"/>
        <v>12222.56</v>
      </c>
      <c r="I17" s="9">
        <f t="shared" ca="1" si="7"/>
        <v>3117.1892304217531</v>
      </c>
      <c r="J17" s="9">
        <f t="shared" ca="1" si="7"/>
        <v>9166.1307695782471</v>
      </c>
      <c r="K17" s="9">
        <f t="shared" ca="1" si="7"/>
        <v>12771.789359886199</v>
      </c>
      <c r="L17" s="17">
        <f t="shared" ca="1" si="5"/>
        <v>93627.453346435708</v>
      </c>
      <c r="M17" s="17"/>
      <c r="N17" s="17"/>
      <c r="O17" s="9"/>
      <c r="P17" s="14"/>
      <c r="Q17" s="11">
        <f t="shared" ca="1" si="6"/>
        <v>93627.453346435708</v>
      </c>
      <c r="R17" s="17">
        <f t="shared" ca="1" si="4"/>
        <v>93627.453346435708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0.93309702587624532</v>
      </c>
      <c r="J18" s="39">
        <f ca="1">I18</f>
        <v>0.93309702587624532</v>
      </c>
      <c r="K18" s="40">
        <f ca="1">1-(-K13)/K17</f>
        <v>0.88382976977023298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2339.4384623125688</v>
      </c>
      <c r="D2" s="9">
        <f ca="1">Q4/parameters!$B$3</f>
        <v>49.069135553990144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2388.5075978665591</v>
      </c>
      <c r="M2" s="17"/>
      <c r="N2" s="17">
        <f ca="1">Q2-(L2+O2+P2)</f>
        <v>0</v>
      </c>
      <c r="O2" s="11" cm="1">
        <f t="array" aca="1" ref="O2" ca="1">INDIRECT("'data'!$F$" &amp; $A$1)</f>
        <v>2034.5</v>
      </c>
      <c r="P2" s="13">
        <f ca="1">IF(-(L2-Q2+O2)&lt;0, -(L2-Q2+O2), 0)</f>
        <v>-2713.0075978665591</v>
      </c>
      <c r="Q2" s="17" cm="1">
        <f t="array" aca="1" ref="Q2" ca="1">INDIRECT("'data'!$D$" &amp; $A$1)</f>
        <v>1710</v>
      </c>
      <c r="R2" s="17">
        <f ca="1">SUM(L2:P2)</f>
        <v>1710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2046.0895522388059</v>
      </c>
      <c r="G3" s="14">
        <f ca="1">Q3-O3-P3-F3</f>
        <v>19.680447761194046</v>
      </c>
      <c r="H3" s="14"/>
      <c r="I3" s="14"/>
      <c r="J3" s="14"/>
      <c r="K3" s="13"/>
      <c r="L3" s="16">
        <f t="shared" ca="1" si="0"/>
        <v>2065.77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267.435</v>
      </c>
      <c r="P3" s="13" cm="1">
        <f t="array" aca="1" ref="P3" ca="1">-INDIRECT("'data'!$I$" &amp; $A$1)*parameters!$B$13</f>
        <v>-8.504999999999999</v>
      </c>
      <c r="Q3" s="16" cm="1">
        <f t="array" aca="1" ref="Q3" ca="1">INDIRECT("'data'!$G$" &amp; $A$1)*parameters!$B$13</f>
        <v>2324.6999999999998</v>
      </c>
      <c r="R3" s="16">
        <f t="shared" ref="R3:R10" ca="1" si="2">SUM(L3:P3)</f>
        <v>2324.6999999999998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79.12</v>
      </c>
      <c r="H4" s="14"/>
      <c r="I4" s="14"/>
      <c r="J4" s="14"/>
      <c r="K4" s="13"/>
      <c r="L4" s="16">
        <f t="shared" ca="1" si="0"/>
        <v>79.12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-31.28</v>
      </c>
      <c r="Q4" s="16" cm="1">
        <f t="array" aca="1" ref="Q4" ca="1">INDIRECT("'data'!$J$" &amp; $A$1)*parameters!$B$14</f>
        <v>48.760000000000005</v>
      </c>
      <c r="R4" s="16">
        <f t="shared" ca="1" si="2"/>
        <v>48.760000000000005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Q6/parameters!$B$5*28%</f>
        <v>795.70149253731358</v>
      </c>
      <c r="G5" s="14">
        <f ca="1">Q7/parameters!$B$7-(G3+G4)</f>
        <v>2086.4869085606456</v>
      </c>
      <c r="H5" s="14"/>
      <c r="I5" s="14"/>
      <c r="J5" s="14"/>
      <c r="K5" s="13"/>
      <c r="L5" s="16">
        <f t="shared" ca="1" si="0"/>
        <v>2882.1884010979593</v>
      </c>
      <c r="M5" s="16"/>
      <c r="N5" s="16"/>
      <c r="O5" s="11" cm="1">
        <f t="array" aca="1" ref="O5" ca="1">INDIRECT("'data'!$M$" &amp; $A$1)*parameters!$B$15</f>
        <v>50.96</v>
      </c>
      <c r="P5" s="13" cm="1">
        <f t="array" aca="1" ref="P5" ca="1">-INDIRECT("'data'!$N$" &amp; $A$1)*parameters!$B$15</f>
        <v>-999.6</v>
      </c>
      <c r="Q5" s="16">
        <f ca="1">SUM(L5:P5)</f>
        <v>1933.5484010979594</v>
      </c>
      <c r="R5" s="16">
        <f t="shared" ca="1" si="2"/>
        <v>1933.5484010979594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2665.6</v>
      </c>
      <c r="I6" s="14"/>
      <c r="J6" s="14"/>
      <c r="K6" s="13"/>
      <c r="L6" s="16">
        <f t="shared" ca="1" si="0"/>
        <v>2665.6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2665.6</v>
      </c>
      <c r="R6" s="16">
        <f t="shared" ca="1" si="2"/>
        <v>2665.6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2091.3200000000002</v>
      </c>
      <c r="I7" s="14"/>
      <c r="J7" s="14"/>
      <c r="K7" s="13"/>
      <c r="L7" s="16">
        <f t="shared" ca="1" si="0"/>
        <v>2091.3200000000002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2091.3200000000002</v>
      </c>
      <c r="R7" s="16">
        <f t="shared" ca="1" si="2"/>
        <v>2091.3200000000002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3196</v>
      </c>
      <c r="J8" s="14">
        <f ca="1">Q10/J18</f>
        <v>2887.4480796586058</v>
      </c>
      <c r="K8" s="13"/>
      <c r="L8" s="16">
        <f t="shared" ca="1" si="0"/>
        <v>6083.4480796586058</v>
      </c>
      <c r="M8" s="16"/>
      <c r="N8" s="16">
        <f t="shared" ca="1" si="3"/>
        <v>2533.6919203413936</v>
      </c>
      <c r="O8" s="11" cm="1">
        <f t="array" aca="1" ref="O8" ca="1">INDIRECT("'data'!$R$" &amp; $A$1)*parameters!$B$15</f>
        <v>622.29999999999995</v>
      </c>
      <c r="P8" s="13" cm="1">
        <f t="array" aca="1" ref="P8" ca="1">-INDIRECT("'data'!$S$" &amp; $A$1)*parameters!$B$15</f>
        <v>-4482.5199999999995</v>
      </c>
      <c r="Q8" s="16">
        <f ca="1">SUM(Q6:Q7)</f>
        <v>4756.92</v>
      </c>
      <c r="R8" s="16">
        <f t="shared" ca="1" si="2"/>
        <v>4756.9199999999992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4775.54</v>
      </c>
      <c r="L9" s="16">
        <f t="shared" ca="1" si="0"/>
        <v>4775.54</v>
      </c>
      <c r="M9" s="16"/>
      <c r="N9" s="16">
        <f t="shared" ca="1" si="3"/>
        <v>0</v>
      </c>
      <c r="O9" s="11" cm="1">
        <f t="array" aca="1" ref="O9" ca="1">INDIRECT("'data'!$U$" &amp; $A$1)*parameters!$B$15</f>
        <v>96.039999999999992</v>
      </c>
      <c r="P9" s="13" cm="1">
        <f t="array" aca="1" ref="P9" ca="1">-INDIRECT("'data'!$V$" &amp; $A$1)*parameters!$B$15</f>
        <v>-1739.5</v>
      </c>
      <c r="Q9" s="16" cm="1">
        <f t="array" aca="1" ref="Q9" ca="1">INDIRECT("'data'!$T$" &amp; $A$1)*parameters!$B$15</f>
        <v>3132.08</v>
      </c>
      <c r="R9" s="16">
        <f t="shared" ca="1" si="2"/>
        <v>3132.08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6601.7191180654336</v>
      </c>
      <c r="L10" s="16">
        <f t="shared" ca="1" si="0"/>
        <v>6601.7191180654336</v>
      </c>
      <c r="M10" s="16"/>
      <c r="N10" s="16">
        <f t="shared" ca="1" si="3"/>
        <v>0</v>
      </c>
      <c r="O10" s="11" cm="1">
        <f t="array" aca="1" ref="O10" ca="1">INDIRECT("'data'!$X$" &amp; $A$1)*parameters!$B$15</f>
        <v>477.26</v>
      </c>
      <c r="P10" s="13" cm="1">
        <f t="array" aca="1" ref="P10" ca="1">-INDIRECT("'data'!$Y$" &amp; $A$1)*parameters!$B$15</f>
        <v>-4249.28</v>
      </c>
      <c r="Q10" s="16" cm="1">
        <f t="array" aca="1" ref="Q10" ca="1">INDIRECT("'data'!$W$" &amp; $A$1)*parameters!$B$15</f>
        <v>2829.6991180654336</v>
      </c>
      <c r="R10" s="16">
        <f t="shared" ca="1" si="2"/>
        <v>2829.699118065434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12771.326041536273</v>
      </c>
      <c r="N11" s="19"/>
      <c r="O11" s="21" cm="1">
        <f t="array" aca="1" ref="O11" ca="1">INDIRECT("'data'!$Z$" &amp; $A$1)*parameters!$B$15</f>
        <v>1610.1399999999999</v>
      </c>
      <c r="P11" s="27" cm="1">
        <f t="array" aca="1" ref="P11" ca="1">-INDIRECT("'data'!$AA$" &amp; $A$1)*parameters!$B$15</f>
        <v>-4214.9799999999996</v>
      </c>
      <c r="Q11" s="16">
        <f ca="1">K9*parameters!$B$10+K10*parameters!$B$11</f>
        <v>10166.486041536273</v>
      </c>
      <c r="R11" s="16">
        <f t="shared" ref="R11:R17" ca="1" si="4">SUM(L11:P11)</f>
        <v>10166.486041536273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-14.738462312569027</v>
      </c>
      <c r="D12" s="9">
        <f ca="1">-(D17-Q4)</f>
        <v>-0.30913555399013859</v>
      </c>
      <c r="E12" s="9">
        <f ca="1">-(E17-Q5)</f>
        <v>-238.97789227053408</v>
      </c>
      <c r="F12" s="9">
        <f ca="1">-(F17-Q6)</f>
        <v>-176.19104477611972</v>
      </c>
      <c r="G12" s="9">
        <f ca="1">-(G17-Q7)</f>
        <v>-93.967356321839361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-524.18389123505233</v>
      </c>
      <c r="M12" s="17"/>
      <c r="N12" s="17"/>
      <c r="O12" s="10"/>
      <c r="P12" s="12"/>
      <c r="Q12" s="9">
        <f t="shared" ref="Q12:Q17" ca="1" si="6">SUM(L12:P12)</f>
        <v>-524.18389123505233</v>
      </c>
      <c r="R12" s="17">
        <f t="shared" ca="1" si="4"/>
        <v>-524.18389123505233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-63.920000000000073</v>
      </c>
      <c r="J13" s="14">
        <f ca="1">-(J17-Q10)</f>
        <v>-57.748961593172226</v>
      </c>
      <c r="K13" s="13">
        <f ca="1">-(K17-Q11)</f>
        <v>-1210.7730765291617</v>
      </c>
      <c r="L13" s="14">
        <f t="shared" ca="1" si="5"/>
        <v>-1332.442038122334</v>
      </c>
      <c r="M13" s="16">
        <f ca="1">-E15</f>
        <v>-840.0842552461595</v>
      </c>
      <c r="N13" s="16"/>
      <c r="O13" s="11"/>
      <c r="P13" s="13"/>
      <c r="Q13" s="14">
        <f t="shared" ca="1" si="6"/>
        <v>-2172.5262933684935</v>
      </c>
      <c r="R13" s="16">
        <f t="shared" ca="1" si="4"/>
        <v>-2172.5262933684935</v>
      </c>
    </row>
    <row r="14" spans="1:19">
      <c r="A14" s="18" t="s">
        <v>78</v>
      </c>
      <c r="B14" s="11"/>
      <c r="C14" s="14"/>
      <c r="D14" s="14"/>
      <c r="E14" s="14">
        <f ca="1">-(I13+J13)-K13</f>
        <v>1332.442038122334</v>
      </c>
      <c r="F14" s="14"/>
      <c r="G14" s="14"/>
      <c r="H14" s="14"/>
      <c r="I14" s="14"/>
      <c r="J14" s="14"/>
      <c r="K14" s="13"/>
      <c r="L14" s="14">
        <f t="shared" ca="1" si="5"/>
        <v>1332.442038122334</v>
      </c>
      <c r="M14" s="16"/>
      <c r="N14" s="16"/>
      <c r="O14" s="11"/>
      <c r="P14" s="13"/>
      <c r="Q14" s="14">
        <f t="shared" ca="1" si="6"/>
        <v>1332.442038122334</v>
      </c>
      <c r="R14" s="16">
        <f t="shared" ca="1" si="4"/>
        <v>1332.442038122334</v>
      </c>
    </row>
    <row r="15" spans="1:19">
      <c r="A15" s="18" t="s">
        <v>79</v>
      </c>
      <c r="B15" s="11"/>
      <c r="C15" s="14"/>
      <c r="D15" s="14"/>
      <c r="E15" s="14">
        <f ca="1">E17-E14</f>
        <v>840.0842552461595</v>
      </c>
      <c r="F15" s="14"/>
      <c r="G15" s="14"/>
      <c r="H15" s="14"/>
      <c r="I15" s="14"/>
      <c r="J15" s="14"/>
      <c r="K15" s="13"/>
      <c r="L15" s="14">
        <f t="shared" ca="1" si="5"/>
        <v>840.0842552461595</v>
      </c>
      <c r="M15" s="16"/>
      <c r="N15" s="16"/>
      <c r="O15" s="11"/>
      <c r="P15" s="13"/>
      <c r="Q15" s="14">
        <f t="shared" ca="1" si="6"/>
        <v>840.0842552461595</v>
      </c>
      <c r="R15" s="16">
        <f t="shared" ca="1" si="4"/>
        <v>840.0842552461595</v>
      </c>
    </row>
    <row r="16" spans="1:19">
      <c r="A16" s="30" t="s">
        <v>89</v>
      </c>
      <c r="B16" s="21">
        <f ca="1">Q2</f>
        <v>1710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1710</v>
      </c>
      <c r="M16" s="19"/>
      <c r="N16" s="19"/>
      <c r="O16" s="21"/>
      <c r="P16" s="27"/>
      <c r="Q16" s="22">
        <f t="shared" ca="1" si="6"/>
        <v>1710</v>
      </c>
      <c r="R16" s="19">
        <f t="shared" ca="1" si="4"/>
        <v>1710</v>
      </c>
    </row>
    <row r="17" spans="1:18">
      <c r="A17" s="29" t="s">
        <v>88</v>
      </c>
      <c r="B17" s="9">
        <f ca="1">B16</f>
        <v>1710</v>
      </c>
      <c r="C17" s="9">
        <f ca="1">SUM(C$2:C$11)</f>
        <v>2339.4384623125688</v>
      </c>
      <c r="D17" s="9">
        <f ca="1">SUM(D$2:D$11)</f>
        <v>49.069135553990144</v>
      </c>
      <c r="E17" s="9">
        <f ca="1">$Q$5/parameters!$B$4</f>
        <v>2172.5262933684935</v>
      </c>
      <c r="F17" s="9">
        <f t="shared" ref="F17:K17" ca="1" si="7">SUM(F$2:F$11)</f>
        <v>2841.7910447761196</v>
      </c>
      <c r="G17" s="9">
        <f t="shared" ca="1" si="7"/>
        <v>2185.2873563218395</v>
      </c>
      <c r="H17" s="9">
        <f t="shared" ca="1" si="7"/>
        <v>4756.92</v>
      </c>
      <c r="I17" s="9">
        <f t="shared" ca="1" si="7"/>
        <v>3196</v>
      </c>
      <c r="J17" s="9">
        <f t="shared" ca="1" si="7"/>
        <v>2887.4480796586058</v>
      </c>
      <c r="K17" s="9">
        <f t="shared" ca="1" si="7"/>
        <v>11377.259118065434</v>
      </c>
      <c r="L17" s="17">
        <f t="shared" ca="1" si="5"/>
        <v>33515.739490057051</v>
      </c>
      <c r="M17" s="17"/>
      <c r="N17" s="17"/>
      <c r="O17" s="9"/>
      <c r="P17" s="14"/>
      <c r="Q17" s="11">
        <f t="shared" ca="1" si="6"/>
        <v>33515.739490057051</v>
      </c>
      <c r="R17" s="17">
        <f t="shared" ca="1" si="4"/>
        <v>33515.739490057051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0.89357954635957704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4584.728791385729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4584.728791385729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-4584.728791385729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4447.4029850746274</v>
      </c>
      <c r="G3" s="14">
        <f ca="1">Q3-O3-P3-F3</f>
        <v>332.4070149253721</v>
      </c>
      <c r="H3" s="14"/>
      <c r="I3" s="14"/>
      <c r="J3" s="14"/>
      <c r="K3" s="13"/>
      <c r="L3" s="16">
        <f t="shared" ca="1" si="0"/>
        <v>4779.8099999999995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-223.96499999999997</v>
      </c>
      <c r="Q3" s="16" cm="1">
        <f t="array" aca="1" ref="Q3" ca="1">INDIRECT("'data'!$G$" &amp; $A$1)*parameters!$B$13</f>
        <v>4555.8449999999993</v>
      </c>
      <c r="R3" s="16">
        <f t="shared" ref="R3:R10" ca="1" si="2">SUM(L3:P3)</f>
        <v>4555.8449999999993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1111.8507462686568</v>
      </c>
      <c r="G5" s="14">
        <f ca="1">Q7/parameters!$B$7-(G3+G4)</f>
        <v>3637.7706235281285</v>
      </c>
      <c r="H5" s="14"/>
      <c r="I5" s="14"/>
      <c r="J5" s="14"/>
      <c r="K5" s="13"/>
      <c r="L5" s="16">
        <f t="shared" ca="1" si="0"/>
        <v>4749.6213697967851</v>
      </c>
      <c r="M5" s="16"/>
      <c r="N5" s="16"/>
      <c r="O5" s="11" cm="1">
        <f t="array" aca="1" ref="O5" ca="1">INDIRECT("'data'!$M$" &amp; $A$1)*parameters!$B$15</f>
        <v>1402.3799999999999</v>
      </c>
      <c r="P5" s="13" cm="1">
        <f t="array" aca="1" ref="P5" ca="1">-INDIRECT("'data'!$N$" &amp; $A$1)*parameters!$B$15</f>
        <v>-730.1</v>
      </c>
      <c r="Q5" s="16">
        <f ca="1">SUM(L5:P5)</f>
        <v>5421.9013697967848</v>
      </c>
      <c r="R5" s="16">
        <f t="shared" ca="1" si="2"/>
        <v>5421.9013697967848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5214.58</v>
      </c>
      <c r="I6" s="14"/>
      <c r="J6" s="14"/>
      <c r="K6" s="13"/>
      <c r="L6" s="16">
        <f t="shared" ca="1" si="0"/>
        <v>5214.58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5214.58</v>
      </c>
      <c r="R6" s="16">
        <f t="shared" ca="1" si="2"/>
        <v>5214.58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3799.46</v>
      </c>
      <c r="I7" s="14"/>
      <c r="J7" s="14"/>
      <c r="K7" s="13"/>
      <c r="L7" s="16">
        <f t="shared" ca="1" si="0"/>
        <v>3799.46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3799.46</v>
      </c>
      <c r="R7" s="16">
        <f t="shared" ca="1" si="2"/>
        <v>3799.46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5525.7064490541552</v>
      </c>
      <c r="J8" s="14">
        <f ca="1">Q10/J18</f>
        <v>3061.0535509458455</v>
      </c>
      <c r="K8" s="13"/>
      <c r="L8" s="16">
        <f t="shared" ca="1" si="0"/>
        <v>8586.76</v>
      </c>
      <c r="M8" s="16"/>
      <c r="N8" s="16">
        <f t="shared" ca="1" si="3"/>
        <v>0</v>
      </c>
      <c r="O8" s="11" cm="1">
        <f t="array" aca="1" ref="O8" ca="1">INDIRECT("'data'!$R$" &amp; $A$1)*parameters!$B$15</f>
        <v>660.52</v>
      </c>
      <c r="P8" s="13" cm="1">
        <f t="array" aca="1" ref="P8" ca="1">-INDIRECT("'data'!$S$" &amp; $A$1)*parameters!$B$15</f>
        <v>-233.24</v>
      </c>
      <c r="Q8" s="16">
        <f ca="1">SUM(Q6:Q7)</f>
        <v>9014.0400000000009</v>
      </c>
      <c r="R8" s="16">
        <f t="shared" ca="1" si="2"/>
        <v>9014.0400000000009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4572.68</v>
      </c>
      <c r="L9" s="16">
        <f t="shared" ca="1" si="0"/>
        <v>4572.68</v>
      </c>
      <c r="M9" s="16"/>
      <c r="N9" s="16">
        <f t="shared" ca="1" si="3"/>
        <v>0</v>
      </c>
      <c r="O9" s="11" cm="1">
        <f t="array" aca="1" ref="O9" ca="1">INDIRECT("'data'!$U$" &amp; $A$1)*parameters!$B$15</f>
        <v>2477.44</v>
      </c>
      <c r="P9" s="13" cm="1">
        <f t="array" aca="1" ref="P9" ca="1">-INDIRECT("'data'!$V$" &amp; $A$1)*parameters!$B$15</f>
        <v>-2086.42</v>
      </c>
      <c r="Q9" s="16" cm="1">
        <f t="array" aca="1" ref="Q9" ca="1">INDIRECT("'data'!$T$" &amp; $A$1)*parameters!$B$15</f>
        <v>4963.7</v>
      </c>
      <c r="R9" s="16">
        <f t="shared" ca="1" si="2"/>
        <v>4963.7000000000007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7448.8210810810806</v>
      </c>
      <c r="L10" s="16">
        <f t="shared" ca="1" si="0"/>
        <v>7448.8210810810806</v>
      </c>
      <c r="M10" s="16"/>
      <c r="N10" s="16">
        <f t="shared" ca="1" si="3"/>
        <v>0</v>
      </c>
      <c r="O10" s="11" cm="1">
        <f t="array" aca="1" ref="O10" ca="1">INDIRECT("'data'!$X$" &amp; $A$1)*parameters!$B$15</f>
        <v>1330.84</v>
      </c>
      <c r="P10" s="13" cm="1">
        <f t="array" aca="1" ref="P10" ca="1">-INDIRECT("'data'!$Y$" &amp; $A$1)*parameters!$B$15</f>
        <v>-6029.94</v>
      </c>
      <c r="Q10" s="16" cm="1">
        <f t="array" aca="1" ref="Q10" ca="1">INDIRECT("'data'!$W$" &amp; $A$1)*parameters!$B$15</f>
        <v>2749.7210810810811</v>
      </c>
      <c r="R10" s="16">
        <f t="shared" ca="1" si="2"/>
        <v>2749.7210810810802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8337.6053297297294</v>
      </c>
      <c r="N11" s="19"/>
      <c r="O11" s="21" cm="1">
        <f t="array" aca="1" ref="O11" ca="1">INDIRECT("'data'!$Z$" &amp; $A$1)*parameters!$B$15</f>
        <v>9212</v>
      </c>
      <c r="P11" s="27" cm="1">
        <f t="array" aca="1" ref="P11" ca="1">-INDIRECT("'data'!$AA$" &amp; $A$1)*parameters!$B$15</f>
        <v>-6845.3</v>
      </c>
      <c r="Q11" s="16">
        <f ca="1">K9*parameters!$B$10+K10*parameters!$B$11</f>
        <v>10704.30532972973</v>
      </c>
      <c r="R11" s="16">
        <f t="shared" ref="R11:R17" ca="1" si="4">SUM(L11:P11)</f>
        <v>10704.30532972973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-28.883791385729637</v>
      </c>
      <c r="D12" s="9">
        <f ca="1">-(D17-Q4)</f>
        <v>0</v>
      </c>
      <c r="E12" s="9">
        <f ca="1">-(E17-Q5)</f>
        <v>-670.12264121083808</v>
      </c>
      <c r="F12" s="9">
        <f ca="1">-(F17-Q6)</f>
        <v>-344.67373134328409</v>
      </c>
      <c r="G12" s="9">
        <f ca="1">-(G17-Q7)</f>
        <v>-170.71763845350051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-1214.3978023933523</v>
      </c>
      <c r="M12" s="17"/>
      <c r="N12" s="17"/>
      <c r="O12" s="10"/>
      <c r="P12" s="12"/>
      <c r="Q12" s="9">
        <f t="shared" ref="Q12:Q17" ca="1" si="6">SUM(L12:P12)</f>
        <v>-1214.3978023933523</v>
      </c>
      <c r="R12" s="17">
        <f t="shared" ca="1" si="4"/>
        <v>-1214.3978023933523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-562.00644905415538</v>
      </c>
      <c r="J13" s="14">
        <f ca="1">-(J17-Q10)</f>
        <v>-311.33246986476433</v>
      </c>
      <c r="K13" s="13">
        <f ca="1">-(K17-Q11)</f>
        <v>-1317.1957513513516</v>
      </c>
      <c r="L13" s="14">
        <f t="shared" ca="1" si="5"/>
        <v>-2190.5346702702714</v>
      </c>
      <c r="M13" s="16">
        <f ca="1">-E15</f>
        <v>-3901.4893407373515</v>
      </c>
      <c r="N13" s="16"/>
      <c r="O13" s="11"/>
      <c r="P13" s="13"/>
      <c r="Q13" s="14">
        <f t="shared" ca="1" si="6"/>
        <v>-6092.0240110076229</v>
      </c>
      <c r="R13" s="16">
        <f t="shared" ca="1" si="4"/>
        <v>-6092.0240110076229</v>
      </c>
    </row>
    <row r="14" spans="1:20">
      <c r="A14" s="18" t="s">
        <v>78</v>
      </c>
      <c r="B14" s="11"/>
      <c r="C14" s="14"/>
      <c r="D14" s="14"/>
      <c r="E14" s="14">
        <f ca="1">-(I13+J13)-K13</f>
        <v>2190.5346702702714</v>
      </c>
      <c r="F14" s="14"/>
      <c r="G14" s="14"/>
      <c r="H14" s="14"/>
      <c r="I14" s="14"/>
      <c r="J14" s="14"/>
      <c r="K14" s="13"/>
      <c r="L14" s="14">
        <f t="shared" ca="1" si="5"/>
        <v>2190.5346702702714</v>
      </c>
      <c r="M14" s="16"/>
      <c r="N14" s="16"/>
      <c r="O14" s="11"/>
      <c r="P14" s="13"/>
      <c r="Q14" s="14">
        <f t="shared" ca="1" si="6"/>
        <v>2190.5346702702714</v>
      </c>
      <c r="R14" s="16">
        <f t="shared" ca="1" si="4"/>
        <v>2190.5346702702714</v>
      </c>
    </row>
    <row r="15" spans="1:20">
      <c r="A15" s="18" t="s">
        <v>79</v>
      </c>
      <c r="B15" s="11"/>
      <c r="C15" s="14"/>
      <c r="D15" s="14"/>
      <c r="E15" s="14">
        <f ca="1">E17-E14</f>
        <v>3901.4893407373515</v>
      </c>
      <c r="F15" s="14"/>
      <c r="G15" s="14"/>
      <c r="H15" s="14"/>
      <c r="I15" s="14"/>
      <c r="J15" s="14"/>
      <c r="K15" s="13"/>
      <c r="L15" s="14">
        <f t="shared" ca="1" si="5"/>
        <v>3901.4893407373515</v>
      </c>
      <c r="M15" s="16"/>
      <c r="N15" s="16"/>
      <c r="O15" s="11"/>
      <c r="P15" s="13"/>
      <c r="Q15" s="14">
        <f t="shared" ca="1" si="6"/>
        <v>3901.4893407373515</v>
      </c>
      <c r="R15" s="16">
        <f t="shared" ca="1" si="4"/>
        <v>3901.4893407373515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4584.728791385729</v>
      </c>
      <c r="D17" s="9">
        <f ca="1">SUM(D$2:D$11)</f>
        <v>0</v>
      </c>
      <c r="E17" s="9">
        <f ca="1">$Q$5/parameters!$B$4</f>
        <v>6092.0240110076229</v>
      </c>
      <c r="F17" s="9">
        <f t="shared" ref="F17:K17" ca="1" si="7">SUM(F$2:F$11)</f>
        <v>5559.253731343284</v>
      </c>
      <c r="G17" s="9">
        <f t="shared" ca="1" si="7"/>
        <v>3970.1776384535005</v>
      </c>
      <c r="H17" s="9">
        <f t="shared" ca="1" si="7"/>
        <v>9014.0400000000009</v>
      </c>
      <c r="I17" s="9">
        <f t="shared" ca="1" si="7"/>
        <v>5525.7064490541552</v>
      </c>
      <c r="J17" s="9">
        <f t="shared" ca="1" si="7"/>
        <v>3061.0535509458455</v>
      </c>
      <c r="K17" s="9">
        <f t="shared" ca="1" si="7"/>
        <v>12021.501081081082</v>
      </c>
      <c r="L17" s="17">
        <f t="shared" ca="1" si="5"/>
        <v>49828.48525327121</v>
      </c>
      <c r="M17" s="17"/>
      <c r="N17" s="17"/>
      <c r="O17" s="9"/>
      <c r="P17" s="14"/>
      <c r="Q17" s="11">
        <f t="shared" ca="1" si="6"/>
        <v>49828.48525327121</v>
      </c>
      <c r="R17" s="17">
        <f t="shared" ca="1" si="4"/>
        <v>49828.48525327121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0.89829238048822613</v>
      </c>
      <c r="J18" s="39">
        <f ca="1">I18</f>
        <v>0.89829238048822613</v>
      </c>
      <c r="K18" s="40">
        <f ca="1">1-(-K13)/K17</f>
        <v>0.89043001015702627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475.49562242125387</v>
      </c>
      <c r="D2" s="9">
        <f ca="1">Q4/parameters!$B$3</f>
        <v>2269.2160611854683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2744.7116836067221</v>
      </c>
      <c r="M2" s="17"/>
      <c r="N2" s="17">
        <f ca="1">Q2-(L2+O2+P2)</f>
        <v>0</v>
      </c>
      <c r="O2" s="11" cm="1">
        <f t="array" aca="1" ref="O2" ca="1">INDIRECT("'data'!$F$" &amp; $A$1)</f>
        <v>103.35000000000001</v>
      </c>
      <c r="P2" s="13">
        <f ca="1">IF(-(L2-Q2+O2)&lt;0, -(L2-Q2+O2), 0)</f>
        <v>-1910.061683606722</v>
      </c>
      <c r="Q2" s="17" cm="1">
        <f t="array" aca="1" ref="Q2" ca="1">INDIRECT("'data'!$D$" &amp; $A$1)</f>
        <v>938</v>
      </c>
      <c r="R2" s="17">
        <f ca="1">SUM(L2:P2)</f>
        <v>938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484.7761194029851</v>
      </c>
      <c r="G3" s="14">
        <f ca="1">Q3-O3-P3-F3</f>
        <v>154.98888059701488</v>
      </c>
      <c r="H3" s="14"/>
      <c r="I3" s="14"/>
      <c r="J3" s="14"/>
      <c r="K3" s="13"/>
      <c r="L3" s="16">
        <f t="shared" ca="1" si="0"/>
        <v>639.76499999999999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-167.26499999999999</v>
      </c>
      <c r="Q3" s="16" cm="1">
        <f t="array" aca="1" ref="Q3" ca="1">INDIRECT("'data'!$G$" &amp; $A$1)*parameters!$B$13</f>
        <v>472.5</v>
      </c>
      <c r="R3" s="16">
        <f t="shared" ref="R3:R10" ca="1" si="2">SUM(L3:P3)</f>
        <v>472.5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38">
        <f ca="1">Q7/parameters!$B$7-G3-G5</f>
        <v>2175.1143741539427</v>
      </c>
      <c r="H4" s="14"/>
      <c r="I4" s="14"/>
      <c r="J4" s="14"/>
      <c r="K4" s="13"/>
      <c r="L4" s="16">
        <f t="shared" ca="1" si="0"/>
        <v>2175.1143741539427</v>
      </c>
      <c r="M4" s="16"/>
      <c r="N4" s="16">
        <f t="shared" ca="1" si="1"/>
        <v>79.80562584605741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2254.92</v>
      </c>
      <c r="R4" s="16">
        <f t="shared" ca="1" si="2"/>
        <v>2254.92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121.19402985074629</v>
      </c>
      <c r="G5" s="38">
        <f ca="1">E14*parameters!$B$4-O5-P5-F5</f>
        <v>2718.3815937338904</v>
      </c>
      <c r="H5" s="14"/>
      <c r="I5" s="14"/>
      <c r="J5" s="14"/>
      <c r="K5" s="13"/>
      <c r="L5" s="16">
        <f t="shared" ca="1" si="0"/>
        <v>2839.5756235846366</v>
      </c>
      <c r="M5" s="16"/>
      <c r="N5" s="16"/>
      <c r="O5" s="11" cm="1">
        <f t="array" aca="1" ref="O5" ca="1">INDIRECT("'data'!$M$" &amp; $A$1)*parameters!$B$15</f>
        <v>12.74</v>
      </c>
      <c r="P5" s="13" cm="1">
        <f t="array" aca="1" ref="P5" ca="1">-INDIRECT("'data'!$N$" &amp; $A$1)*parameters!$B$15</f>
        <v>-909.43999999999994</v>
      </c>
      <c r="Q5" s="16">
        <f ca="1">SUM(L5:P5)</f>
        <v>1942.8756235846363</v>
      </c>
      <c r="R5" s="16">
        <f t="shared" ca="1" si="2"/>
        <v>1942.8756235846363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568.4</v>
      </c>
      <c r="I6" s="14"/>
      <c r="J6" s="14"/>
      <c r="K6" s="13"/>
      <c r="L6" s="16">
        <f t="shared" ca="1" si="0"/>
        <v>568.4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568.4</v>
      </c>
      <c r="R6" s="16">
        <f t="shared" ca="1" si="2"/>
        <v>568.4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4831.3999999999996</v>
      </c>
      <c r="I7" s="14"/>
      <c r="J7" s="14"/>
      <c r="K7" s="13"/>
      <c r="L7" s="16">
        <f t="shared" ca="1" si="0"/>
        <v>4831.3999999999996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4831.3999999999996</v>
      </c>
      <c r="R7" s="16">
        <f t="shared" ca="1" si="2"/>
        <v>4831.3999999999996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8089.9055162665645</v>
      </c>
      <c r="J8" s="14">
        <f ca="1">Q10/J18</f>
        <v>775.17448373343598</v>
      </c>
      <c r="K8" s="13"/>
      <c r="L8" s="16">
        <f t="shared" ca="1" si="0"/>
        <v>8865.08</v>
      </c>
      <c r="M8" s="16"/>
      <c r="N8" s="16">
        <f t="shared" ca="1" si="3"/>
        <v>0</v>
      </c>
      <c r="O8" s="11" cm="1">
        <f t="array" aca="1" ref="O8" ca="1">INDIRECT("'data'!$R$" &amp; $A$1)*parameters!$B$15</f>
        <v>33.32</v>
      </c>
      <c r="P8" s="13" cm="1">
        <f t="array" aca="1" ref="P8" ca="1">-INDIRECT("'data'!$S$" &amp; $A$1)*parameters!$B$15</f>
        <v>-3498.6</v>
      </c>
      <c r="Q8" s="16">
        <f ca="1">SUM(Q6:Q7)</f>
        <v>5399.7999999999993</v>
      </c>
      <c r="R8" s="16">
        <f t="shared" ca="1" si="2"/>
        <v>5399.7999999999993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9304.119999999999</v>
      </c>
      <c r="L9" s="16">
        <f t="shared" ca="1" si="0"/>
        <v>9304.119999999999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29.4</v>
      </c>
      <c r="P9" s="13" cm="1">
        <f t="array" aca="1" ref="P9" ca="1">-INDIRECT("'data'!$V$" &amp; $A$1)*parameters!$B$15</f>
        <v>-2487.2399999999998</v>
      </c>
      <c r="Q9" s="16" cm="1">
        <f t="array" aca="1" ref="Q9" ca="1">INDIRECT("'data'!$T$" &amp; $A$1)*parameters!$B$15</f>
        <v>6846.28</v>
      </c>
      <c r="R9" s="16">
        <f t="shared" ca="1" si="2"/>
        <v>6846.2799999999988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1871.2103271692745</v>
      </c>
      <c r="L10" s="16">
        <f t="shared" ca="1" si="0"/>
        <v>1871.2103271692745</v>
      </c>
      <c r="M10" s="16"/>
      <c r="N10" s="16">
        <f t="shared" ca="1" si="3"/>
        <v>0</v>
      </c>
      <c r="O10" s="11" cm="1">
        <f t="array" aca="1" ref="O10" ca="1">INDIRECT("'data'!$X$" &amp; $A$1)*parameters!$B$15</f>
        <v>132.30000000000001</v>
      </c>
      <c r="P10" s="13" cm="1">
        <f t="array" aca="1" ref="P10" ca="1">-INDIRECT("'data'!$Y$" &amp; $A$1)*parameters!$B$15</f>
        <v>-1347.5</v>
      </c>
      <c r="Q10" s="16" cm="1">
        <f t="array" aca="1" ref="Q10" ca="1">INDIRECT("'data'!$W$" &amp; $A$1)*parameters!$B$15</f>
        <v>656.01032716927455</v>
      </c>
      <c r="R10" s="16">
        <f t="shared" ca="1" si="2"/>
        <v>656.01032716927443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11362.553681365574</v>
      </c>
      <c r="N11" s="19"/>
      <c r="O11" s="21" cm="1">
        <f t="array" aca="1" ref="O11" ca="1">INDIRECT("'data'!$Z$" &amp; $A$1)*parameters!$B$15</f>
        <v>129.35999999999999</v>
      </c>
      <c r="P11" s="27" cm="1">
        <f t="array" aca="1" ref="P11" ca="1">-INDIRECT("'data'!$AA$" &amp; $A$1)*parameters!$B$15</f>
        <v>-1136.8</v>
      </c>
      <c r="Q11" s="16">
        <f ca="1">K9*parameters!$B$10+K10*parameters!$B$11</f>
        <v>10355.113681365576</v>
      </c>
      <c r="R11" s="16">
        <f t="shared" ref="R11:R17" ca="1" si="4">SUM(L11:P11)</f>
        <v>10355.113681365576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-2.99562242125387</v>
      </c>
      <c r="D12" s="9">
        <f ca="1">-(D17-Q4)</f>
        <v>-14.296061185468261</v>
      </c>
      <c r="E12" s="9">
        <f ca="1">-(E17-Q5)</f>
        <v>-240.13069504978648</v>
      </c>
      <c r="F12" s="9">
        <f ca="1">-(F17-Q6)</f>
        <v>-37.570149253731415</v>
      </c>
      <c r="G12" s="9">
        <f ca="1">-(G17-Q7)</f>
        <v>-217.08484848484841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-512.07737639508844</v>
      </c>
      <c r="M12" s="17"/>
      <c r="N12" s="17"/>
      <c r="O12" s="10"/>
      <c r="P12" s="12"/>
      <c r="Q12" s="9">
        <f t="shared" ref="Q12:Q17" ca="1" si="6">SUM(L12:P12)</f>
        <v>-512.07737639508844</v>
      </c>
      <c r="R12" s="17">
        <f t="shared" ca="1" si="4"/>
        <v>-512.07737639508844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-1243.6255162665648</v>
      </c>
      <c r="J13" s="14">
        <f ca="1">-(J17-Q10)</f>
        <v>-119.16415656416143</v>
      </c>
      <c r="K13" s="13">
        <f ca="1">-(K17-Q11)</f>
        <v>-820.21664580369725</v>
      </c>
      <c r="L13" s="14">
        <f t="shared" ca="1" si="5"/>
        <v>-2183.0063186344232</v>
      </c>
      <c r="M13" s="16">
        <f ca="1">-E15</f>
        <v>0</v>
      </c>
      <c r="N13" s="16"/>
      <c r="O13" s="11"/>
      <c r="P13" s="13"/>
      <c r="Q13" s="14">
        <f t="shared" ca="1" si="6"/>
        <v>-2183.0063186344232</v>
      </c>
      <c r="R13" s="16">
        <f t="shared" ca="1" si="4"/>
        <v>-2183.0063186344232</v>
      </c>
    </row>
    <row r="14" spans="1:20">
      <c r="A14" s="18" t="s">
        <v>78</v>
      </c>
      <c r="B14" s="11"/>
      <c r="C14" s="14"/>
      <c r="D14" s="14"/>
      <c r="E14" s="14">
        <f ca="1">-(I13+J13)-K13</f>
        <v>2183.0063186344232</v>
      </c>
      <c r="F14" s="14"/>
      <c r="G14" s="14"/>
      <c r="H14" s="14"/>
      <c r="I14" s="14"/>
      <c r="J14" s="14"/>
      <c r="K14" s="13"/>
      <c r="L14" s="14">
        <f t="shared" ca="1" si="5"/>
        <v>2183.0063186344232</v>
      </c>
      <c r="M14" s="16"/>
      <c r="N14" s="16"/>
      <c r="O14" s="11"/>
      <c r="P14" s="13"/>
      <c r="Q14" s="14">
        <f t="shared" ca="1" si="6"/>
        <v>2183.0063186344232</v>
      </c>
      <c r="R14" s="16">
        <f t="shared" ca="1" si="4"/>
        <v>2183.0063186344232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938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938</v>
      </c>
      <c r="M16" s="19"/>
      <c r="N16" s="19"/>
      <c r="O16" s="21"/>
      <c r="P16" s="27"/>
      <c r="Q16" s="22">
        <f t="shared" ca="1" si="6"/>
        <v>938</v>
      </c>
      <c r="R16" s="19">
        <f t="shared" ca="1" si="4"/>
        <v>938</v>
      </c>
    </row>
    <row r="17" spans="1:18">
      <c r="A17" s="29" t="s">
        <v>88</v>
      </c>
      <c r="B17" s="9">
        <f ca="1">B16</f>
        <v>938</v>
      </c>
      <c r="C17" s="9">
        <f ca="1">SUM(C$2:C$11)</f>
        <v>475.49562242125387</v>
      </c>
      <c r="D17" s="9">
        <f ca="1">SUM(D$2:D$11)</f>
        <v>2269.2160611854683</v>
      </c>
      <c r="E17" s="9">
        <f ca="1">$Q$5/parameters!$B$4</f>
        <v>2183.0063186344228</v>
      </c>
      <c r="F17" s="9">
        <f t="shared" ref="F17:K17" ca="1" si="7">SUM(F$2:F$11)</f>
        <v>605.97014925373139</v>
      </c>
      <c r="G17" s="9">
        <f t="shared" ca="1" si="7"/>
        <v>5048.484848484848</v>
      </c>
      <c r="H17" s="9">
        <f t="shared" ca="1" si="7"/>
        <v>5399.7999999999993</v>
      </c>
      <c r="I17" s="9">
        <f t="shared" ca="1" si="7"/>
        <v>8089.9055162665645</v>
      </c>
      <c r="J17" s="9">
        <f t="shared" ca="1" si="7"/>
        <v>775.17448373343598</v>
      </c>
      <c r="K17" s="9">
        <f t="shared" ca="1" si="7"/>
        <v>11175.330327169273</v>
      </c>
      <c r="L17" s="17">
        <f t="shared" ca="1" si="5"/>
        <v>36960.383327149</v>
      </c>
      <c r="M17" s="17"/>
      <c r="N17" s="17"/>
      <c r="O17" s="9"/>
      <c r="P17" s="14"/>
      <c r="Q17" s="11">
        <f t="shared" ca="1" si="6"/>
        <v>36960.383327149</v>
      </c>
      <c r="R17" s="17">
        <f t="shared" ca="1" si="4"/>
        <v>36960.383327149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0.84627440780785668</v>
      </c>
      <c r="J18" s="39">
        <f ca="1">I18</f>
        <v>0.84627440780785668</v>
      </c>
      <c r="K18" s="40">
        <f ca="1">1-(-K13)/K17</f>
        <v>0.9266047068148312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tabSelected="1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3526.983791240455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3526.983791240455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-3526.983791240455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34.019999999999996</v>
      </c>
      <c r="H3" s="14"/>
      <c r="I3" s="14"/>
      <c r="J3" s="14"/>
      <c r="K3" s="13"/>
      <c r="L3" s="16">
        <f t="shared" ca="1" si="0"/>
        <v>34.019999999999996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-34.019999999999996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38">
        <f ca="1">Q7/parameters!$B$7-G3-G5</f>
        <v>3288.9715904860223</v>
      </c>
      <c r="H4" s="14"/>
      <c r="I4" s="14"/>
      <c r="J4" s="14"/>
      <c r="K4" s="13"/>
      <c r="L4" s="16">
        <f t="shared" ca="1" si="0"/>
        <v>3288.9715904860223</v>
      </c>
      <c r="M4" s="16"/>
      <c r="N4" s="16">
        <f t="shared" ca="1" si="1"/>
        <v>218.55220286961821</v>
      </c>
      <c r="O4" s="11" cm="1">
        <f t="array" aca="1" ref="O4" ca="1">INDIRECT("'data'!$K$" &amp; $A$1)*parameters!$B$14</f>
        <v>9.2000000000000011</v>
      </c>
      <c r="P4" s="13" cm="1">
        <f t="array" aca="1" ref="P4" ca="1">-INDIRECT("'data'!$L$" &amp; $A$1)*parameters!$B$14</f>
        <v>-11.96</v>
      </c>
      <c r="Q4" s="16" cm="1">
        <f t="array" aca="1" ref="Q4" ca="1">INDIRECT("'data'!$J$" &amp; $A$1)*parameters!$B$14</f>
        <v>3504.7637933556402</v>
      </c>
      <c r="R4" s="16">
        <f t="shared" ca="1" si="2"/>
        <v>3504.7637933556402</v>
      </c>
      <c r="S4" s="7"/>
    </row>
    <row r="5" spans="1:22">
      <c r="A5" s="18" t="s">
        <v>107</v>
      </c>
      <c r="B5" s="11"/>
      <c r="C5" s="14"/>
      <c r="D5" s="14"/>
      <c r="E5" s="14"/>
      <c r="F5" s="14">
        <f ca="1">Q6/parameters!$B$5*20%</f>
        <v>0</v>
      </c>
      <c r="G5" s="38">
        <f ca="1">E14*parameters!$B$4-O5-P5-F5</f>
        <v>2031.679255908962</v>
      </c>
      <c r="H5" s="14"/>
      <c r="I5" s="14"/>
      <c r="J5" s="14"/>
      <c r="K5" s="13"/>
      <c r="L5" s="16">
        <f t="shared" ca="1" si="0"/>
        <v>2031.679255908962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2031.679255908962</v>
      </c>
      <c r="R5" s="16">
        <f t="shared" ca="1" si="2"/>
        <v>2031.679255908962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5124.42</v>
      </c>
      <c r="I7" s="14"/>
      <c r="J7" s="14"/>
      <c r="K7" s="13"/>
      <c r="L7" s="16">
        <f t="shared" ca="1" si="0"/>
        <v>5124.42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5124.42</v>
      </c>
      <c r="R7" s="16">
        <f t="shared" ca="1" si="2"/>
        <v>5124.42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4271.824097739448</v>
      </c>
      <c r="J8" s="14">
        <f ca="1">Q10/J18</f>
        <v>2371.5959022605512</v>
      </c>
      <c r="K8" s="13"/>
      <c r="L8" s="16">
        <f t="shared" ca="1" si="0"/>
        <v>6643.4199999999992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6.8599999999999994</v>
      </c>
      <c r="P8" s="13" cm="1">
        <f t="array" aca="1" ref="P8" ca="1">-INDIRECT("'data'!$S$" &amp; $A$1)*parameters!$B$15</f>
        <v>-1525.86</v>
      </c>
      <c r="Q8" s="16">
        <f ca="1">SUM(Q6:Q7)</f>
        <v>5124.42</v>
      </c>
      <c r="R8" s="16">
        <f t="shared" ca="1" si="2"/>
        <v>5124.4199999999992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5479.18</v>
      </c>
      <c r="L9" s="16">
        <f t="shared" ca="1" si="0"/>
        <v>5479.18</v>
      </c>
      <c r="M9" s="16"/>
      <c r="N9" s="16">
        <f t="shared" ca="1" si="3"/>
        <v>0</v>
      </c>
      <c r="O9" s="11" cm="1">
        <f t="array" aca="1" ref="O9" ca="1">INDIRECT("'data'!$U$" &amp; $A$1)*parameters!$B$15</f>
        <v>0.98</v>
      </c>
      <c r="P9" s="13" cm="1">
        <f t="array" aca="1" ref="P9" ca="1">-INDIRECT("'data'!$V$" &amp; $A$1)*parameters!$B$15</f>
        <v>-2050.16</v>
      </c>
      <c r="Q9" s="16" cm="1">
        <f t="array" aca="1" ref="Q9" ca="1">INDIRECT("'data'!$T$" &amp; $A$1)*parameters!$B$15</f>
        <v>3430</v>
      </c>
      <c r="R9" s="16">
        <f t="shared" ca="1" si="2"/>
        <v>3430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4606.098975817923</v>
      </c>
      <c r="L10" s="16">
        <f t="shared" ca="1" si="0"/>
        <v>4606.098975817923</v>
      </c>
      <c r="M10" s="16"/>
      <c r="N10" s="16">
        <f t="shared" ca="1" si="3"/>
        <v>0</v>
      </c>
      <c r="O10" s="11" cm="1">
        <f t="array" aca="1" ref="O10" ca="1">INDIRECT("'data'!$X$" &amp; $A$1)*parameters!$B$15</f>
        <v>56.839999999999996</v>
      </c>
      <c r="P10" s="13" cm="1">
        <f t="array" aca="1" ref="P10" ca="1">-INDIRECT("'data'!$Y$" &amp; $A$1)*parameters!$B$15</f>
        <v>-2758.7</v>
      </c>
      <c r="Q10" s="16" cm="1">
        <f t="array" aca="1" ref="Q10" ca="1">INDIRECT("'data'!$W$" &amp; $A$1)*parameters!$B$15</f>
        <v>1904.2389758179231</v>
      </c>
      <c r="R10" s="16">
        <f t="shared" ca="1" si="2"/>
        <v>1904.2389758179233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14414.454319203413</v>
      </c>
      <c r="N11" s="19"/>
      <c r="O11" s="21" cm="1">
        <f t="array" aca="1" ref="O11" ca="1">INDIRECT("'data'!$Z$" &amp; $A$1)*parameters!$B$15</f>
        <v>704.62</v>
      </c>
      <c r="P11" s="27" cm="1">
        <f t="array" aca="1" ref="P11" ca="1">-INDIRECT("'data'!$AA$" &amp; $A$1)*parameters!$B$15</f>
        <v>-6007.4</v>
      </c>
      <c r="Q11" s="16">
        <f ca="1">K9*parameters!$B$10+K10*parameters!$B$11</f>
        <v>9111.6743192034137</v>
      </c>
      <c r="R11" s="16">
        <f t="shared" ref="R11:R17" ca="1" si="4">SUM(L11:P11)</f>
        <v>9111.6743192034137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-22.219997884814802</v>
      </c>
      <c r="E12" s="9">
        <f ca="1">-(E17-Q5)</f>
        <v>-251.10642488762437</v>
      </c>
      <c r="F12" s="9">
        <f ca="1">-(F17-Q6)</f>
        <v>0</v>
      </c>
      <c r="G12" s="9">
        <f ca="1">-(G17-Q7)</f>
        <v>-230.25084639498436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-503.57726916742354</v>
      </c>
      <c r="M12" s="17"/>
      <c r="N12" s="17"/>
      <c r="O12" s="10"/>
      <c r="P12" s="12"/>
      <c r="Q12" s="9">
        <f t="shared" ref="Q12:Q17" ca="1" si="6">SUM(L12:P12)</f>
        <v>-503.57726916742354</v>
      </c>
      <c r="R12" s="17">
        <f t="shared" ca="1" si="4"/>
        <v>-503.57726916742354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-841.82409773944801</v>
      </c>
      <c r="J13" s="14">
        <f ca="1">-(J17-Q10)</f>
        <v>-467.35692644262804</v>
      </c>
      <c r="K13" s="13">
        <f ca="1">-(K17-Q11)</f>
        <v>-973.60465661451053</v>
      </c>
      <c r="L13" s="14">
        <f t="shared" ca="1" si="5"/>
        <v>-2282.7856807965863</v>
      </c>
      <c r="M13" s="16">
        <f ca="1">-E15</f>
        <v>0</v>
      </c>
      <c r="N13" s="16"/>
      <c r="O13" s="11"/>
      <c r="P13" s="13"/>
      <c r="Q13" s="14">
        <f t="shared" ca="1" si="6"/>
        <v>-2282.7856807965863</v>
      </c>
      <c r="R13" s="16">
        <f t="shared" ca="1" si="4"/>
        <v>-2282.7856807965863</v>
      </c>
    </row>
    <row r="14" spans="1:22">
      <c r="A14" s="18" t="s">
        <v>78</v>
      </c>
      <c r="B14" s="11"/>
      <c r="C14" s="14"/>
      <c r="D14" s="14"/>
      <c r="E14" s="14">
        <f ca="1">-(I13+J13)-K13</f>
        <v>2282.7856807965863</v>
      </c>
      <c r="F14" s="14"/>
      <c r="G14" s="14"/>
      <c r="H14" s="14"/>
      <c r="I14" s="14"/>
      <c r="J14" s="14"/>
      <c r="K14" s="13"/>
      <c r="L14" s="14">
        <f t="shared" ca="1" si="5"/>
        <v>2282.7856807965863</v>
      </c>
      <c r="M14" s="16"/>
      <c r="N14" s="16"/>
      <c r="O14" s="11"/>
      <c r="P14" s="13"/>
      <c r="Q14" s="14">
        <f t="shared" ca="1" si="6"/>
        <v>2282.7856807965863</v>
      </c>
      <c r="R14" s="16">
        <f t="shared" ca="1" si="4"/>
        <v>2282.7856807965863</v>
      </c>
    </row>
    <row r="15" spans="1:22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3526.983791240455</v>
      </c>
      <c r="E17" s="9">
        <f ca="1">$Q$5/parameters!$B$4</f>
        <v>2282.7856807965863</v>
      </c>
      <c r="F17" s="9">
        <f t="shared" ref="F17:K17" ca="1" si="7">SUM(F$2:F$11)</f>
        <v>0</v>
      </c>
      <c r="G17" s="9">
        <f t="shared" ca="1" si="7"/>
        <v>5354.6708463949844</v>
      </c>
      <c r="H17" s="9">
        <f t="shared" ca="1" si="7"/>
        <v>5124.42</v>
      </c>
      <c r="I17" s="9">
        <f t="shared" ca="1" si="7"/>
        <v>4271.824097739448</v>
      </c>
      <c r="J17" s="9">
        <f t="shared" ca="1" si="7"/>
        <v>2371.5959022605512</v>
      </c>
      <c r="K17" s="9">
        <f t="shared" ca="1" si="7"/>
        <v>10085.278975817924</v>
      </c>
      <c r="L17" s="17">
        <f t="shared" ca="1" si="5"/>
        <v>33017.55929424995</v>
      </c>
      <c r="M17" s="17"/>
      <c r="N17" s="17"/>
      <c r="O17" s="9"/>
      <c r="P17" s="14"/>
      <c r="Q17" s="11">
        <f t="shared" ca="1" si="6"/>
        <v>33017.55929424995</v>
      </c>
      <c r="R17" s="17">
        <f t="shared" ca="1" si="4"/>
        <v>33017.55929424995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0.80293568309965702</v>
      </c>
      <c r="J18" s="39">
        <f ca="1">I18</f>
        <v>0.80293568309965702</v>
      </c>
      <c r="K18" s="40">
        <f ca="1">1-(-K13)/K17</f>
        <v>0.90346279374631278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5520.5041763107574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5520.5041763107574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-4629.5041763107574</v>
      </c>
      <c r="Q2" s="17" cm="1">
        <f t="array" aca="1" ref="Q2" ca="1">INDIRECT("'data'!$D$" &amp; $A$1)</f>
        <v>891</v>
      </c>
      <c r="R2" s="17">
        <f ca="1">SUM(L2:P2)</f>
        <v>891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5500.746268656716</v>
      </c>
      <c r="G3" s="14">
        <f ca="1">Q3-O3-P3-F3</f>
        <v>41.678731343283289</v>
      </c>
      <c r="H3" s="14"/>
      <c r="I3" s="14"/>
      <c r="J3" s="14"/>
      <c r="K3" s="13"/>
      <c r="L3" s="16">
        <f t="shared" ca="1" si="0"/>
        <v>5542.4249999999993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-58.589999999999996</v>
      </c>
      <c r="Q3" s="16" cm="1">
        <f t="array" aca="1" ref="Q3" ca="1">INDIRECT("'data'!$G$" &amp; $A$1)*parameters!$B$13</f>
        <v>5485.7249999999995</v>
      </c>
      <c r="R3" s="16">
        <f t="shared" ref="R3:R10" ca="1" si="2">SUM(L3:P3)</f>
        <v>5485.7249999999995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26.68</v>
      </c>
      <c r="H4" s="14"/>
      <c r="I4" s="14"/>
      <c r="J4" s="14"/>
      <c r="K4" s="13"/>
      <c r="L4" s="16">
        <f t="shared" ca="1" si="0"/>
        <v>26.68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-26.68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Q6/parameters!$B$5*25%</f>
        <v>1833.5820895522388</v>
      </c>
      <c r="G5" s="14">
        <f ca="1">Q7/parameters!$B$7-(G3+G4)</f>
        <v>614.67157168701965</v>
      </c>
      <c r="H5" s="14"/>
      <c r="I5" s="14"/>
      <c r="J5" s="14"/>
      <c r="K5" s="13"/>
      <c r="L5" s="16">
        <f t="shared" ca="1" si="0"/>
        <v>2448.2536612392587</v>
      </c>
      <c r="M5" s="16"/>
      <c r="N5" s="16"/>
      <c r="O5" s="11" cm="1">
        <f t="array" aca="1" ref="O5" ca="1">INDIRECT("'data'!$M$" &amp; $A$1)*parameters!$B$15</f>
        <v>1029.98</v>
      </c>
      <c r="P5" s="13" cm="1">
        <f t="array" aca="1" ref="P5" ca="1">-INDIRECT("'data'!$N$" &amp; $A$1)*parameters!$B$15</f>
        <v>-1076.04</v>
      </c>
      <c r="Q5" s="16">
        <f ca="1">SUM(L5:P5)</f>
        <v>2402.1936612392587</v>
      </c>
      <c r="R5" s="16">
        <f t="shared" ca="1" si="2"/>
        <v>2402.1936612392587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6879.5999999999995</v>
      </c>
      <c r="I6" s="14"/>
      <c r="J6" s="14"/>
      <c r="K6" s="13"/>
      <c r="L6" s="16">
        <f t="shared" ca="1" si="0"/>
        <v>6879.5999999999995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6879.5999999999995</v>
      </c>
      <c r="R6" s="16">
        <f t="shared" ca="1" si="2"/>
        <v>6879.5999999999995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653.66</v>
      </c>
      <c r="I7" s="14"/>
      <c r="J7" s="14"/>
      <c r="K7" s="13"/>
      <c r="L7" s="16">
        <f t="shared" ca="1" si="0"/>
        <v>653.66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653.66</v>
      </c>
      <c r="R7" s="16">
        <f t="shared" ca="1" si="2"/>
        <v>653.66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2097.0813518451291</v>
      </c>
      <c r="J8" s="14">
        <f ca="1">Q10/J18</f>
        <v>5791.9186481548695</v>
      </c>
      <c r="K8" s="13"/>
      <c r="L8" s="16">
        <f t="shared" ca="1" si="0"/>
        <v>7888.9999999999982</v>
      </c>
      <c r="M8" s="16"/>
      <c r="N8" s="16">
        <f t="shared" ca="1" si="3"/>
        <v>0</v>
      </c>
      <c r="O8" s="11" cm="1">
        <f t="array" aca="1" ref="O8" ca="1">INDIRECT("'data'!$R$" &amp; $A$1)*parameters!$B$15</f>
        <v>236.18</v>
      </c>
      <c r="P8" s="13" cm="1">
        <f t="array" aca="1" ref="P8" ca="1">-INDIRECT("'data'!$S$" &amp; $A$1)*parameters!$B$15</f>
        <v>-591.91999999999996</v>
      </c>
      <c r="Q8" s="16">
        <f ca="1">SUM(Q6:Q7)</f>
        <v>7533.2599999999993</v>
      </c>
      <c r="R8" s="16">
        <f t="shared" ca="1" si="2"/>
        <v>7533.2599999999984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1677.7600000000002</v>
      </c>
      <c r="L9" s="16">
        <f t="shared" ca="1" si="0"/>
        <v>1677.7600000000002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1487.6399999999999</v>
      </c>
      <c r="P9" s="13" cm="1">
        <f t="array" aca="1" ref="P9" ca="1">-INDIRECT("'data'!$V$" &amp; $A$1)*parameters!$B$15</f>
        <v>-1226.96</v>
      </c>
      <c r="Q9" s="16" cm="1">
        <f t="array" aca="1" ref="Q9" ca="1">INDIRECT("'data'!$T$" &amp; $A$1)*parameters!$B$15</f>
        <v>1938.44</v>
      </c>
      <c r="R9" s="16">
        <f t="shared" ca="1" si="2"/>
        <v>1938.44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2369.667880512091</v>
      </c>
      <c r="L10" s="16">
        <f t="shared" ca="1" si="0"/>
        <v>2369.667880512091</v>
      </c>
      <c r="M10" s="16"/>
      <c r="N10" s="16">
        <f t="shared" ca="1" si="3"/>
        <v>0</v>
      </c>
      <c r="O10" s="11" cm="1">
        <f t="array" aca="1" ref="O10" ca="1">INDIRECT("'data'!$X$" &amp; $A$1)*parameters!$B$15</f>
        <v>4878.4399999999996</v>
      </c>
      <c r="P10" s="13" cm="1">
        <f t="array" aca="1" ref="P10" ca="1">-INDIRECT("'data'!$Y$" &amp; $A$1)*parameters!$B$15</f>
        <v>-1894.34</v>
      </c>
      <c r="Q10" s="16" cm="1">
        <f t="array" aca="1" ref="Q10" ca="1">INDIRECT("'data'!$W$" &amp; $A$1)*parameters!$B$15</f>
        <v>5353.7678805120904</v>
      </c>
      <c r="R10" s="16">
        <f t="shared" ca="1" si="2"/>
        <v>5353.7678805120904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3709.0887772403989</v>
      </c>
      <c r="N11" s="19"/>
      <c r="O11" s="21" cm="1">
        <f t="array" aca="1" ref="O11" ca="1">INDIRECT("'data'!$Z$" &amp; $A$1)*parameters!$B$15</f>
        <v>3611.2999999999997</v>
      </c>
      <c r="P11" s="27" cm="1">
        <f t="array" aca="1" ref="P11" ca="1">-INDIRECT("'data'!$AA$" &amp; $A$1)*parameters!$B$15</f>
        <v>-3705.38</v>
      </c>
      <c r="Q11" s="16">
        <f ca="1">K9*parameters!$B$10+K10*parameters!$B$11</f>
        <v>3615.0087772403986</v>
      </c>
      <c r="R11" s="16">
        <f t="shared" ref="R11:R17" ca="1" si="4">SUM(L11:P11)</f>
        <v>3615.0087772403986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-34.779176310757975</v>
      </c>
      <c r="D12" s="9">
        <f ca="1">-(D17-Q4)</f>
        <v>0</v>
      </c>
      <c r="E12" s="9">
        <f ca="1">-(E17-Q5)</f>
        <v>-296.90034015316678</v>
      </c>
      <c r="F12" s="9">
        <f ca="1">-(F17-Q6)</f>
        <v>-454.7283582089558</v>
      </c>
      <c r="G12" s="9">
        <f ca="1">-(G17-Q7)</f>
        <v>-29.370303030303035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-815.77817770318359</v>
      </c>
      <c r="M12" s="17"/>
      <c r="N12" s="17"/>
      <c r="O12" s="10"/>
      <c r="P12" s="12"/>
      <c r="Q12" s="9">
        <f t="shared" ref="Q12:Q17" ca="1" si="6">SUM(L12:P12)</f>
        <v>-815.77817770318359</v>
      </c>
      <c r="R12" s="17">
        <f t="shared" ca="1" si="4"/>
        <v>-815.77817770318359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-158.64135184512907</v>
      </c>
      <c r="J13" s="14">
        <f ca="1">-(J17-Q10)</f>
        <v>-438.1507676427791</v>
      </c>
      <c r="K13" s="13">
        <f ca="1">-(K17-Q11)</f>
        <v>-432.41910327169262</v>
      </c>
      <c r="L13" s="14">
        <f t="shared" ca="1" si="5"/>
        <v>-1029.2112227596008</v>
      </c>
      <c r="M13" s="16">
        <f ca="1">-E15</f>
        <v>-1669.8827786328247</v>
      </c>
      <c r="N13" s="16"/>
      <c r="O13" s="11"/>
      <c r="P13" s="13"/>
      <c r="Q13" s="14">
        <f t="shared" ca="1" si="6"/>
        <v>-2699.0940013924255</v>
      </c>
      <c r="R13" s="16">
        <f t="shared" ca="1" si="4"/>
        <v>-2699.0940013924255</v>
      </c>
    </row>
    <row r="14" spans="1:20">
      <c r="A14" s="18" t="s">
        <v>78</v>
      </c>
      <c r="B14" s="11"/>
      <c r="C14" s="14"/>
      <c r="D14" s="14"/>
      <c r="E14" s="14">
        <f ca="1">-(I13+J13)-K13</f>
        <v>1029.2112227596008</v>
      </c>
      <c r="F14" s="14"/>
      <c r="G14" s="14"/>
      <c r="H14" s="14"/>
      <c r="I14" s="14"/>
      <c r="J14" s="14"/>
      <c r="K14" s="13"/>
      <c r="L14" s="14">
        <f t="shared" ca="1" si="5"/>
        <v>1029.2112227596008</v>
      </c>
      <c r="M14" s="16"/>
      <c r="N14" s="16"/>
      <c r="O14" s="11"/>
      <c r="P14" s="13"/>
      <c r="Q14" s="14">
        <f t="shared" ca="1" si="6"/>
        <v>1029.2112227596008</v>
      </c>
      <c r="R14" s="16">
        <f t="shared" ca="1" si="4"/>
        <v>1029.2112227596008</v>
      </c>
    </row>
    <row r="15" spans="1:20">
      <c r="A15" s="18" t="s">
        <v>79</v>
      </c>
      <c r="B15" s="11"/>
      <c r="C15" s="14"/>
      <c r="D15" s="14"/>
      <c r="E15" s="14">
        <f ca="1">E17-E14</f>
        <v>1669.8827786328247</v>
      </c>
      <c r="F15" s="14"/>
      <c r="G15" s="14"/>
      <c r="H15" s="14"/>
      <c r="I15" s="14"/>
      <c r="J15" s="14"/>
      <c r="K15" s="13"/>
      <c r="L15" s="14">
        <f t="shared" ca="1" si="5"/>
        <v>1669.8827786328247</v>
      </c>
      <c r="M15" s="16"/>
      <c r="N15" s="16"/>
      <c r="O15" s="11"/>
      <c r="P15" s="13"/>
      <c r="Q15" s="14">
        <f t="shared" ca="1" si="6"/>
        <v>1669.8827786328247</v>
      </c>
      <c r="R15" s="16">
        <f t="shared" ca="1" si="4"/>
        <v>1669.8827786328247</v>
      </c>
    </row>
    <row r="16" spans="1:20">
      <c r="A16" s="30" t="s">
        <v>89</v>
      </c>
      <c r="B16" s="21">
        <f ca="1">Q2</f>
        <v>891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891</v>
      </c>
      <c r="M16" s="19"/>
      <c r="N16" s="19"/>
      <c r="O16" s="21"/>
      <c r="P16" s="27"/>
      <c r="Q16" s="22">
        <f t="shared" ca="1" si="6"/>
        <v>891</v>
      </c>
      <c r="R16" s="19">
        <f t="shared" ca="1" si="4"/>
        <v>891</v>
      </c>
    </row>
    <row r="17" spans="1:18">
      <c r="A17" s="29" t="s">
        <v>88</v>
      </c>
      <c r="B17" s="9">
        <f ca="1">B16</f>
        <v>891</v>
      </c>
      <c r="C17" s="9">
        <f ca="1">SUM(C$2:C$11)</f>
        <v>5520.5041763107574</v>
      </c>
      <c r="D17" s="9">
        <f ca="1">SUM(D$2:D$11)</f>
        <v>0</v>
      </c>
      <c r="E17" s="9">
        <f ca="1">$Q$5/parameters!$B$4</f>
        <v>2699.0940013924255</v>
      </c>
      <c r="F17" s="9">
        <f t="shared" ref="F17:K17" ca="1" si="7">SUM(F$2:F$11)</f>
        <v>7334.3283582089553</v>
      </c>
      <c r="G17" s="9">
        <f t="shared" ca="1" si="7"/>
        <v>683.030303030303</v>
      </c>
      <c r="H17" s="9">
        <f t="shared" ca="1" si="7"/>
        <v>7533.2599999999993</v>
      </c>
      <c r="I17" s="9">
        <f t="shared" ca="1" si="7"/>
        <v>2097.0813518451291</v>
      </c>
      <c r="J17" s="9">
        <f t="shared" ca="1" si="7"/>
        <v>5791.9186481548695</v>
      </c>
      <c r="K17" s="9">
        <f t="shared" ca="1" si="7"/>
        <v>4047.4278805120912</v>
      </c>
      <c r="L17" s="17">
        <f t="shared" ca="1" si="5"/>
        <v>36597.644719454533</v>
      </c>
      <c r="M17" s="17"/>
      <c r="N17" s="17"/>
      <c r="O17" s="9"/>
      <c r="P17" s="14"/>
      <c r="Q17" s="11">
        <f t="shared" ca="1" si="6"/>
        <v>36597.644719454533</v>
      </c>
      <c r="R17" s="17">
        <f t="shared" ca="1" si="4"/>
        <v>36597.644719454533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0.92435136018660058</v>
      </c>
      <c r="J18" s="39">
        <f ca="1">I18</f>
        <v>0.92435136018660058</v>
      </c>
      <c r="K18" s="40">
        <f ca="1">1-(-K13)/K17</f>
        <v>0.89316199916649741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4039.8108080909728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4039.8108080909728</v>
      </c>
      <c r="M2" s="17"/>
      <c r="N2" s="17">
        <f ca="1">Q2-(L2+O2+P2)</f>
        <v>0</v>
      </c>
      <c r="O2" s="11" cm="1">
        <f t="array" aca="1" ref="O2" ca="1">INDIRECT("'data'!$F$" &amp; $A$1)</f>
        <v>3.9000000000000004</v>
      </c>
      <c r="P2" s="13">
        <f ca="1">IF(-(L2-Q2+O2)&lt;0, -(L2-Q2+O2), 0)</f>
        <v>-4043.7108080909729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4019.4626865671644</v>
      </c>
      <c r="G3" s="14">
        <f ca="1">Q3-O3-P3-F3</f>
        <v>30.807313432835144</v>
      </c>
      <c r="H3" s="14"/>
      <c r="I3" s="14"/>
      <c r="J3" s="14"/>
      <c r="K3" s="13"/>
      <c r="L3" s="16">
        <f t="shared" ca="1" si="0"/>
        <v>4050.2699999999995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136.07999999999998</v>
      </c>
      <c r="P3" s="13" cm="1">
        <f t="array" aca="1" ref="P3" ca="1">-INDIRECT("'data'!$I$" &amp; $A$1)*parameters!$B$13</f>
        <v>-171.98999999999998</v>
      </c>
      <c r="Q3" s="16" cm="1">
        <f t="array" aca="1" ref="Q3" ca="1">INDIRECT("'data'!$G$" &amp; $A$1)*parameters!$B$13</f>
        <v>4014.3599999999997</v>
      </c>
      <c r="R3" s="16">
        <f t="shared" ref="R3:R10" ca="1" si="2">SUM(L3:P3)</f>
        <v>4014.3599999999997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34.04</v>
      </c>
      <c r="H4" s="14"/>
      <c r="I4" s="14"/>
      <c r="J4" s="14"/>
      <c r="K4" s="13"/>
      <c r="L4" s="16">
        <f t="shared" ca="1" si="0"/>
        <v>34.04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-34.04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1004.8656716417911</v>
      </c>
      <c r="G5" s="14">
        <f ca="1">Q7/parameters!$B$7-(G3+G4)</f>
        <v>2441.9865423665378</v>
      </c>
      <c r="H5" s="14"/>
      <c r="I5" s="14"/>
      <c r="J5" s="14"/>
      <c r="K5" s="13"/>
      <c r="L5" s="16">
        <f t="shared" ca="1" si="0"/>
        <v>3446.8522140083287</v>
      </c>
      <c r="M5" s="16"/>
      <c r="N5" s="16"/>
      <c r="O5" s="11" cm="1">
        <f t="array" aca="1" ref="O5" ca="1">INDIRECT("'data'!$M$" &amp; $A$1)*parameters!$B$15</f>
        <v>3088.96</v>
      </c>
      <c r="P5" s="13" cm="1">
        <f t="array" aca="1" ref="P5" ca="1">-INDIRECT("'data'!$N$" &amp; $A$1)*parameters!$B$15</f>
        <v>-4083.66</v>
      </c>
      <c r="Q5" s="16">
        <f ca="1">SUM(L5:P5)</f>
        <v>2452.1522140083289</v>
      </c>
      <c r="R5" s="16">
        <f t="shared" ca="1" si="2"/>
        <v>2452.1522140083289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4712.82</v>
      </c>
      <c r="I6" s="14"/>
      <c r="J6" s="14"/>
      <c r="K6" s="13"/>
      <c r="L6" s="16">
        <f t="shared" ca="1" si="0"/>
        <v>4712.82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4712.82</v>
      </c>
      <c r="R6" s="16">
        <f t="shared" ca="1" si="2"/>
        <v>4712.82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2399.04</v>
      </c>
      <c r="I7" s="14"/>
      <c r="J7" s="14"/>
      <c r="K7" s="13"/>
      <c r="L7" s="16">
        <f t="shared" ca="1" si="0"/>
        <v>2399.04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2399.04</v>
      </c>
      <c r="R7" s="16">
        <f t="shared" ca="1" si="2"/>
        <v>2399.04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833.021848605385</v>
      </c>
      <c r="J8" s="14">
        <f ca="1">Q10/J18</f>
        <v>8255.498151394615</v>
      </c>
      <c r="K8" s="13"/>
      <c r="L8" s="16">
        <f t="shared" ca="1" si="0"/>
        <v>9088.52</v>
      </c>
      <c r="M8" s="16"/>
      <c r="N8" s="16">
        <f t="shared" ca="1" si="3"/>
        <v>0</v>
      </c>
      <c r="O8" s="11" cm="1">
        <f t="array" aca="1" ref="O8" ca="1">INDIRECT("'data'!$R$" &amp; $A$1)*parameters!$B$15</f>
        <v>159.74</v>
      </c>
      <c r="P8" s="13" cm="1">
        <f t="array" aca="1" ref="P8" ca="1">-INDIRECT("'data'!$S$" &amp; $A$1)*parameters!$B$15</f>
        <v>-2136.4</v>
      </c>
      <c r="Q8" s="16">
        <f ca="1">SUM(Q6:Q7)</f>
        <v>7111.86</v>
      </c>
      <c r="R8" s="16">
        <f t="shared" ca="1" si="2"/>
        <v>7111.8600000000006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987.83999999999992</v>
      </c>
      <c r="L9" s="16">
        <f t="shared" ca="1" si="0"/>
        <v>987.83999999999992</v>
      </c>
      <c r="M9" s="16"/>
      <c r="N9" s="16">
        <f t="shared" ca="1" si="3"/>
        <v>0</v>
      </c>
      <c r="O9" s="11" cm="1">
        <f t="array" aca="1" ref="O9" ca="1">INDIRECT("'data'!$U$" &amp; $A$1)*parameters!$B$15</f>
        <v>1297.52</v>
      </c>
      <c r="P9" s="13" cm="1">
        <f t="array" aca="1" ref="P9" ca="1">-INDIRECT("'data'!$V$" &amp; $A$1)*parameters!$B$15</f>
        <v>-1503.32</v>
      </c>
      <c r="Q9" s="16" cm="1">
        <f t="array" aca="1" ref="Q9" ca="1">INDIRECT("'data'!$T$" &amp; $A$1)*parameters!$B$15</f>
        <v>782.04</v>
      </c>
      <c r="R9" s="16">
        <f t="shared" ca="1" si="2"/>
        <v>782.03999999999974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2276.9526315789481</v>
      </c>
      <c r="L10" s="16">
        <f t="shared" ca="1" si="0"/>
        <v>2276.9526315789481</v>
      </c>
      <c r="M10" s="16"/>
      <c r="N10" s="16">
        <f t="shared" ca="1" si="3"/>
        <v>0</v>
      </c>
      <c r="O10" s="11" cm="1">
        <f t="array" aca="1" ref="O10" ca="1">INDIRECT("'data'!$X$" &amp; $A$1)*parameters!$B$15</f>
        <v>13126.119999999999</v>
      </c>
      <c r="P10" s="13" cm="1">
        <f t="array" aca="1" ref="P10" ca="1">-INDIRECT("'data'!$Y$" &amp; $A$1)*parameters!$B$15</f>
        <v>-7652.82</v>
      </c>
      <c r="Q10" s="16" cm="1">
        <f t="array" aca="1" ref="Q10" ca="1">INDIRECT("'data'!$W$" &amp; $A$1)*parameters!$B$15</f>
        <v>7750.2526315789473</v>
      </c>
      <c r="R10" s="16">
        <f t="shared" ca="1" si="2"/>
        <v>7750.2526315789473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3163.1088631578959</v>
      </c>
      <c r="N11" s="19"/>
      <c r="O11" s="21" cm="1">
        <f t="array" aca="1" ref="O11" ca="1">INDIRECT("'data'!$Z$" &amp; $A$1)*parameters!$B$15</f>
        <v>6689.48</v>
      </c>
      <c r="P11" s="27" cm="1">
        <f t="array" aca="1" ref="P11" ca="1">-INDIRECT("'data'!$AA$" &amp; $A$1)*parameters!$B$15</f>
        <v>-6965.84</v>
      </c>
      <c r="Q11" s="16">
        <f ca="1">K9*parameters!$B$10+K10*parameters!$B$11</f>
        <v>2886.7488631578954</v>
      </c>
      <c r="R11" s="16">
        <f t="shared" ref="R11:R17" ca="1" si="4">SUM(L11:P11)</f>
        <v>2886.7488631578963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-25.450808090973169</v>
      </c>
      <c r="D12" s="9">
        <f ca="1">-(D17-Q4)</f>
        <v>0</v>
      </c>
      <c r="E12" s="9">
        <f ca="1">-(E17-Q5)</f>
        <v>-303.07499274260226</v>
      </c>
      <c r="F12" s="9">
        <f ca="1">-(F17-Q6)</f>
        <v>-311.50835820895554</v>
      </c>
      <c r="G12" s="9">
        <f ca="1">-(G17-Q7)</f>
        <v>-107.79385579937298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-747.82801484190395</v>
      </c>
      <c r="M12" s="17"/>
      <c r="N12" s="17"/>
      <c r="O12" s="10"/>
      <c r="P12" s="12"/>
      <c r="Q12" s="9">
        <f t="shared" ref="Q12:Q17" ca="1" si="6">SUM(L12:P12)</f>
        <v>-747.82801484190395</v>
      </c>
      <c r="R12" s="17">
        <f t="shared" ca="1" si="4"/>
        <v>-747.82801484190395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-50.981848605385039</v>
      </c>
      <c r="J13" s="14">
        <f ca="1">-(J17-Q10)</f>
        <v>-505.24551981566765</v>
      </c>
      <c r="K13" s="13">
        <f ca="1">-(K17-Q11)</f>
        <v>-378.04376842105285</v>
      </c>
      <c r="L13" s="14">
        <f t="shared" ca="1" si="5"/>
        <v>-934.27113684210553</v>
      </c>
      <c r="M13" s="16">
        <f ca="1">-E15</f>
        <v>-1820.9560699088256</v>
      </c>
      <c r="N13" s="16"/>
      <c r="O13" s="11"/>
      <c r="P13" s="13"/>
      <c r="Q13" s="14">
        <f t="shared" ca="1" si="6"/>
        <v>-2755.2272067509311</v>
      </c>
      <c r="R13" s="16">
        <f t="shared" ca="1" si="4"/>
        <v>-2755.2272067509311</v>
      </c>
    </row>
    <row r="14" spans="1:20">
      <c r="A14" s="18" t="s">
        <v>78</v>
      </c>
      <c r="B14" s="11"/>
      <c r="C14" s="14"/>
      <c r="D14" s="14"/>
      <c r="E14" s="14">
        <f ca="1">-(I13+J13)-K13</f>
        <v>934.27113684210553</v>
      </c>
      <c r="F14" s="14"/>
      <c r="G14" s="14"/>
      <c r="H14" s="14"/>
      <c r="I14" s="14"/>
      <c r="J14" s="14"/>
      <c r="K14" s="13"/>
      <c r="L14" s="14">
        <f t="shared" ca="1" si="5"/>
        <v>934.27113684210553</v>
      </c>
      <c r="M14" s="16"/>
      <c r="N14" s="16"/>
      <c r="O14" s="11"/>
      <c r="P14" s="13"/>
      <c r="Q14" s="14">
        <f t="shared" ca="1" si="6"/>
        <v>934.27113684210553</v>
      </c>
      <c r="R14" s="16">
        <f t="shared" ca="1" si="4"/>
        <v>934.27113684210553</v>
      </c>
    </row>
    <row r="15" spans="1:20">
      <c r="A15" s="18" t="s">
        <v>79</v>
      </c>
      <c r="B15" s="11"/>
      <c r="C15" s="14"/>
      <c r="D15" s="14"/>
      <c r="E15" s="14">
        <f ca="1">E17-E14</f>
        <v>1820.9560699088256</v>
      </c>
      <c r="F15" s="14"/>
      <c r="G15" s="14"/>
      <c r="H15" s="14"/>
      <c r="I15" s="14"/>
      <c r="J15" s="14"/>
      <c r="K15" s="13"/>
      <c r="L15" s="14">
        <f t="shared" ca="1" si="5"/>
        <v>1820.9560699088256</v>
      </c>
      <c r="M15" s="16"/>
      <c r="N15" s="16"/>
      <c r="O15" s="11"/>
      <c r="P15" s="13"/>
      <c r="Q15" s="14">
        <f t="shared" ca="1" si="6"/>
        <v>1820.9560699088256</v>
      </c>
      <c r="R15" s="16">
        <f t="shared" ca="1" si="4"/>
        <v>1820.9560699088256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4039.8108080909728</v>
      </c>
      <c r="D17" s="9">
        <f ca="1">SUM(D$2:D$11)</f>
        <v>0</v>
      </c>
      <c r="E17" s="9">
        <f ca="1">$Q$5/parameters!$B$4</f>
        <v>2755.2272067509311</v>
      </c>
      <c r="F17" s="9">
        <f t="shared" ref="F17:K17" ca="1" si="7">SUM(F$2:F$11)</f>
        <v>5024.3283582089553</v>
      </c>
      <c r="G17" s="9">
        <f t="shared" ca="1" si="7"/>
        <v>2506.8338557993729</v>
      </c>
      <c r="H17" s="9">
        <f t="shared" ca="1" si="7"/>
        <v>7111.86</v>
      </c>
      <c r="I17" s="9">
        <f t="shared" ca="1" si="7"/>
        <v>833.021848605385</v>
      </c>
      <c r="J17" s="9">
        <f t="shared" ca="1" si="7"/>
        <v>8255.498151394615</v>
      </c>
      <c r="K17" s="9">
        <f t="shared" ca="1" si="7"/>
        <v>3264.7926315789482</v>
      </c>
      <c r="L17" s="17">
        <f t="shared" ca="1" si="5"/>
        <v>33791.372860429183</v>
      </c>
      <c r="M17" s="17"/>
      <c r="N17" s="17"/>
      <c r="O17" s="9"/>
      <c r="P17" s="14"/>
      <c r="Q17" s="11">
        <f t="shared" ca="1" si="6"/>
        <v>33791.372860429183</v>
      </c>
      <c r="R17" s="17">
        <f t="shared" ca="1" si="4"/>
        <v>33791.372860429183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0.93879890582613534</v>
      </c>
      <c r="J18" s="39">
        <f ca="1">I18</f>
        <v>0.93879890582613534</v>
      </c>
      <c r="K18" s="40">
        <f ca="1">1-(-K13)/K17</f>
        <v>0.88420588653490684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8343.9971822481639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8343.9971822481639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-8343.9971822481639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7943.2656716417914</v>
      </c>
      <c r="G3" s="14">
        <f ca="1">Q3-O3-P3-F3</f>
        <v>389.74432835821062</v>
      </c>
      <c r="H3" s="14"/>
      <c r="I3" s="14"/>
      <c r="J3" s="14"/>
      <c r="K3" s="13"/>
      <c r="L3" s="16">
        <f t="shared" ca="1" si="0"/>
        <v>8333.010000000002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-44.414999999999999</v>
      </c>
      <c r="Q3" s="16" cm="1">
        <f t="array" aca="1" ref="Q3" ca="1">INDIRECT("'data'!$G$" &amp; $A$1)*parameters!$B$13</f>
        <v>8291.43</v>
      </c>
      <c r="R3" s="16">
        <f t="shared" ref="R3:R10" ca="1" si="2">SUM(L3:P3)</f>
        <v>8291.43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13.8</v>
      </c>
      <c r="H4" s="14"/>
      <c r="I4" s="14"/>
      <c r="J4" s="14"/>
      <c r="K4" s="13"/>
      <c r="L4" s="16">
        <f t="shared" ca="1" si="0"/>
        <v>13.8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-13.8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Q6/parameters!$B$5*16%</f>
        <v>1513.0029850746268</v>
      </c>
      <c r="G5" s="14">
        <f ca="1">Q7/parameters!$B$7-(G3+G4)</f>
        <v>1497.0617322478499</v>
      </c>
      <c r="H5" s="14"/>
      <c r="I5" s="14"/>
      <c r="J5" s="14"/>
      <c r="K5" s="13"/>
      <c r="L5" s="16">
        <f t="shared" ca="1" si="0"/>
        <v>3010.064717322477</v>
      </c>
      <c r="M5" s="16"/>
      <c r="N5" s="16"/>
      <c r="O5" s="11" cm="1">
        <f t="array" aca="1" ref="O5" ca="1">INDIRECT("'data'!$M$" &amp; $A$1)*parameters!$B$15</f>
        <v>7124.5999999999995</v>
      </c>
      <c r="P5" s="13" cm="1">
        <f t="array" aca="1" ref="P5" ca="1">-INDIRECT("'data'!$N$" &amp; $A$1)*parameters!$B$15</f>
        <v>-295.95999999999998</v>
      </c>
      <c r="Q5" s="16">
        <f ca="1">SUM(L5:P5)</f>
        <v>9838.7047173224782</v>
      </c>
      <c r="R5" s="16">
        <f t="shared" ca="1" si="2"/>
        <v>9838.7047173224782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8869.98</v>
      </c>
      <c r="I6" s="14"/>
      <c r="J6" s="14"/>
      <c r="K6" s="13"/>
      <c r="L6" s="16">
        <f t="shared" ca="1" si="0"/>
        <v>8869.98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8869.98</v>
      </c>
      <c r="R6" s="16">
        <f t="shared" ca="1" si="2"/>
        <v>8869.98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1818.8799999999999</v>
      </c>
      <c r="I7" s="14"/>
      <c r="J7" s="14"/>
      <c r="K7" s="13"/>
      <c r="L7" s="16">
        <f t="shared" ca="1" si="0"/>
        <v>1818.8799999999999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1818.8799999999999</v>
      </c>
      <c r="R7" s="16">
        <f t="shared" ca="1" si="2"/>
        <v>1818.8799999999999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3502.1478114918405</v>
      </c>
      <c r="J8" s="14">
        <f ca="1">Q10/J18</f>
        <v>4909.1921885081574</v>
      </c>
      <c r="K8" s="13"/>
      <c r="L8" s="16">
        <f t="shared" ca="1" si="0"/>
        <v>8411.3399999999983</v>
      </c>
      <c r="M8" s="16"/>
      <c r="N8" s="16">
        <f t="shared" ca="1" si="3"/>
        <v>0</v>
      </c>
      <c r="O8" s="11" cm="1">
        <f t="array" aca="1" ref="O8" ca="1">INDIRECT("'data'!$R$" &amp; $A$1)*parameters!$B$15</f>
        <v>2633.2599999999998</v>
      </c>
      <c r="P8" s="13" cm="1">
        <f t="array" aca="1" ref="P8" ca="1">-INDIRECT("'data'!$S$" &amp; $A$1)*parameters!$B$15</f>
        <v>-355.74</v>
      </c>
      <c r="Q8" s="16">
        <f ca="1">SUM(Q6:Q7)</f>
        <v>10688.859999999999</v>
      </c>
      <c r="R8" s="16">
        <f t="shared" ca="1" si="2"/>
        <v>10688.859999999999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3522.12</v>
      </c>
      <c r="L9" s="16">
        <f t="shared" ca="1" si="0"/>
        <v>3522.12</v>
      </c>
      <c r="M9" s="16"/>
      <c r="N9" s="16">
        <f t="shared" ca="1" si="3"/>
        <v>0</v>
      </c>
      <c r="O9" s="11" cm="1">
        <f t="array" aca="1" ref="O9" ca="1">INDIRECT("'data'!$U$" &amp; $A$1)*parameters!$B$15</f>
        <v>1827.7</v>
      </c>
      <c r="P9" s="13" cm="1">
        <f t="array" aca="1" ref="P9" ca="1">-INDIRECT("'data'!$V$" &amp; $A$1)*parameters!$B$15</f>
        <v>-2145.2199999999998</v>
      </c>
      <c r="Q9" s="16" cm="1">
        <f t="array" aca="1" ref="Q9" ca="1">INDIRECT("'data'!$T$" &amp; $A$1)*parameters!$B$15</f>
        <v>3204.6</v>
      </c>
      <c r="R9" s="16">
        <f t="shared" ca="1" si="2"/>
        <v>3204.6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5959.1597439544803</v>
      </c>
      <c r="L10" s="16">
        <f t="shared" ca="1" si="0"/>
        <v>5959.1597439544803</v>
      </c>
      <c r="M10" s="16"/>
      <c r="N10" s="16">
        <f t="shared" ca="1" si="3"/>
        <v>0</v>
      </c>
      <c r="O10" s="11" cm="1">
        <f t="array" aca="1" ref="O10" ca="1">INDIRECT("'data'!$X$" &amp; $A$1)*parameters!$B$15</f>
        <v>2075.64</v>
      </c>
      <c r="P10" s="13" cm="1">
        <f t="array" aca="1" ref="P10" ca="1">-INDIRECT("'data'!$Y$" &amp; $A$1)*parameters!$B$15</f>
        <v>-3542.7</v>
      </c>
      <c r="Q10" s="16" cm="1">
        <f t="array" aca="1" ref="Q10" ca="1">INDIRECT("'data'!$W$" &amp; $A$1)*parameters!$B$15</f>
        <v>4492.0997439544808</v>
      </c>
      <c r="R10" s="16">
        <f t="shared" ca="1" si="2"/>
        <v>4492.0997439544799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14352.910179800852</v>
      </c>
      <c r="N11" s="19"/>
      <c r="O11" s="21" cm="1">
        <f t="array" aca="1" ref="O11" ca="1">INDIRECT("'data'!$Z$" &amp; $A$1)*parameters!$B$15</f>
        <v>5698.7</v>
      </c>
      <c r="P11" s="27" cm="1">
        <f t="array" aca="1" ref="P11" ca="1">-INDIRECT("'data'!$AA$" &amp; $A$1)*parameters!$B$15</f>
        <v>-11615.94</v>
      </c>
      <c r="Q11" s="16">
        <f ca="1">K9*parameters!$B$10+K10*parameters!$B$11</f>
        <v>8435.6701798008526</v>
      </c>
      <c r="R11" s="16">
        <f t="shared" ref="R11:R17" ca="1" si="4">SUM(L11:P11)</f>
        <v>8435.6701798008526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-52.56718224816359</v>
      </c>
      <c r="D12" s="9">
        <f ca="1">-(D17-Q4)</f>
        <v>0</v>
      </c>
      <c r="E12" s="9">
        <f ca="1">-(E17-Q5)</f>
        <v>-1216.0196841634515</v>
      </c>
      <c r="F12" s="9">
        <f ca="1">-(F17-Q6)</f>
        <v>-586.2886567164187</v>
      </c>
      <c r="G12" s="9">
        <f ca="1">-(G17-Q7)</f>
        <v>-81.726060606060628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-1936.6015837340944</v>
      </c>
      <c r="M12" s="17"/>
      <c r="N12" s="17"/>
      <c r="O12" s="10"/>
      <c r="P12" s="12"/>
      <c r="Q12" s="9">
        <f t="shared" ref="Q12:Q17" ca="1" si="6">SUM(L12:P12)</f>
        <v>-1936.6015837340944</v>
      </c>
      <c r="R12" s="17">
        <f t="shared" ca="1" si="4"/>
        <v>-1936.6015837340944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-297.54781149184055</v>
      </c>
      <c r="J13" s="14">
        <f ca="1">-(J17-Q10)</f>
        <v>-417.09244455367661</v>
      </c>
      <c r="K13" s="13">
        <f ca="1">-(K17-Q11)</f>
        <v>-1045.6095641536285</v>
      </c>
      <c r="L13" s="14">
        <f t="shared" ca="1" si="5"/>
        <v>-1760.2498201991457</v>
      </c>
      <c r="M13" s="16">
        <f ca="1">-E15</f>
        <v>-9294.4745812867841</v>
      </c>
      <c r="N13" s="16"/>
      <c r="O13" s="11"/>
      <c r="P13" s="13"/>
      <c r="Q13" s="14">
        <f t="shared" ca="1" si="6"/>
        <v>-11054.72440148593</v>
      </c>
      <c r="R13" s="16">
        <f t="shared" ca="1" si="4"/>
        <v>-11054.72440148593</v>
      </c>
    </row>
    <row r="14" spans="1:20">
      <c r="A14" s="18" t="s">
        <v>78</v>
      </c>
      <c r="B14" s="11"/>
      <c r="C14" s="14"/>
      <c r="D14" s="14"/>
      <c r="E14" s="14">
        <f ca="1">-(I13+J13)-K13</f>
        <v>1760.2498201991457</v>
      </c>
      <c r="F14" s="14"/>
      <c r="G14" s="14"/>
      <c r="H14" s="14"/>
      <c r="I14" s="14"/>
      <c r="J14" s="14"/>
      <c r="K14" s="13"/>
      <c r="L14" s="14">
        <f t="shared" ca="1" si="5"/>
        <v>1760.2498201991457</v>
      </c>
      <c r="M14" s="16"/>
      <c r="N14" s="16"/>
      <c r="O14" s="11"/>
      <c r="P14" s="13"/>
      <c r="Q14" s="14">
        <f t="shared" ca="1" si="6"/>
        <v>1760.2498201991457</v>
      </c>
      <c r="R14" s="16">
        <f t="shared" ca="1" si="4"/>
        <v>1760.2498201991457</v>
      </c>
    </row>
    <row r="15" spans="1:20">
      <c r="A15" s="18" t="s">
        <v>79</v>
      </c>
      <c r="B15" s="11"/>
      <c r="C15" s="14"/>
      <c r="D15" s="14"/>
      <c r="E15" s="14">
        <f ca="1">E17-E14</f>
        <v>9294.4745812867841</v>
      </c>
      <c r="F15" s="14"/>
      <c r="G15" s="14"/>
      <c r="H15" s="14"/>
      <c r="I15" s="14"/>
      <c r="J15" s="14"/>
      <c r="K15" s="13"/>
      <c r="L15" s="14">
        <f t="shared" ca="1" si="5"/>
        <v>9294.4745812867841</v>
      </c>
      <c r="M15" s="16"/>
      <c r="N15" s="16"/>
      <c r="O15" s="11"/>
      <c r="P15" s="13"/>
      <c r="Q15" s="14">
        <f t="shared" ca="1" si="6"/>
        <v>9294.4745812867841</v>
      </c>
      <c r="R15" s="16">
        <f t="shared" ca="1" si="4"/>
        <v>9294.4745812867841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8343.9971822481639</v>
      </c>
      <c r="D17" s="9">
        <f ca="1">SUM(D$2:D$11)</f>
        <v>0</v>
      </c>
      <c r="E17" s="9">
        <f ca="1">$Q$5/parameters!$B$4</f>
        <v>11054.72440148593</v>
      </c>
      <c r="F17" s="9">
        <f t="shared" ref="F17:K17" ca="1" si="7">SUM(F$2:F$11)</f>
        <v>9456.2686567164183</v>
      </c>
      <c r="G17" s="9">
        <f t="shared" ca="1" si="7"/>
        <v>1900.6060606060605</v>
      </c>
      <c r="H17" s="9">
        <f t="shared" ca="1" si="7"/>
        <v>10688.859999999999</v>
      </c>
      <c r="I17" s="9">
        <f t="shared" ca="1" si="7"/>
        <v>3502.1478114918405</v>
      </c>
      <c r="J17" s="9">
        <f t="shared" ca="1" si="7"/>
        <v>4909.1921885081574</v>
      </c>
      <c r="K17" s="9">
        <f t="shared" ca="1" si="7"/>
        <v>9481.2797439544811</v>
      </c>
      <c r="L17" s="17">
        <f t="shared" ca="1" si="5"/>
        <v>59337.076045011054</v>
      </c>
      <c r="M17" s="17"/>
      <c r="N17" s="17"/>
      <c r="O17" s="9"/>
      <c r="P17" s="14"/>
      <c r="Q17" s="11">
        <f t="shared" ca="1" si="6"/>
        <v>59337.076045011054</v>
      </c>
      <c r="R17" s="17">
        <f t="shared" ca="1" si="4"/>
        <v>59337.076045011054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0.91503847709811781</v>
      </c>
      <c r="J18" s="39">
        <f ca="1">I18</f>
        <v>0.91503847709811781</v>
      </c>
      <c r="K18" s="40">
        <f ca="1">1-(-K13)/K17</f>
        <v>0.88971851982108874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5297.8100391282705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5297.8100391282705</v>
      </c>
      <c r="M2" s="17"/>
      <c r="N2" s="17">
        <f ca="1">Q2-(L2+O2+P2)</f>
        <v>0</v>
      </c>
      <c r="O2" s="11" cm="1">
        <f t="array" aca="1" ref="O2" ca="1">INDIRECT("'data'!$F$" &amp; $A$1)</f>
        <v>15185.300000000001</v>
      </c>
      <c r="P2" s="13">
        <f ca="1">IF(-(L2-Q2+O2)&lt;0, -(L2-Q2+O2), 0)</f>
        <v>-20483.110039128271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5397.313432835821</v>
      </c>
      <c r="G3" s="14">
        <f ca="1">Q3-O3-P3-F3</f>
        <v>38.165403045941275</v>
      </c>
      <c r="H3" s="14"/>
      <c r="I3" s="14"/>
      <c r="J3" s="14"/>
      <c r="K3" s="13"/>
      <c r="L3" s="16">
        <f t="shared" ca="1" si="0"/>
        <v>5435.4788358817623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207.89999999999998</v>
      </c>
      <c r="P3" s="13" cm="1">
        <f t="array" aca="1" ref="P3" ca="1">-INDIRECT("'data'!$I$" &amp; $A$1)*parameters!$B$13</f>
        <v>-378.94499999999999</v>
      </c>
      <c r="Q3" s="16" cm="1">
        <f t="array" aca="1" ref="Q3" ca="1">INDIRECT("'data'!$G$" &amp; $A$1)*parameters!$B$13</f>
        <v>5264.4338358817622</v>
      </c>
      <c r="R3" s="16">
        <f t="shared" ref="R3:R10" ca="1" si="2">SUM(L3:P3)</f>
        <v>5264.4338358817622</v>
      </c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63.48</v>
      </c>
      <c r="H4" s="14"/>
      <c r="I4" s="14"/>
      <c r="J4" s="14"/>
      <c r="K4" s="13"/>
      <c r="L4" s="16">
        <f t="shared" ca="1" si="0"/>
        <v>63.48</v>
      </c>
      <c r="M4" s="16"/>
      <c r="N4" s="16">
        <f t="shared" ca="1" si="1"/>
        <v>0</v>
      </c>
      <c r="O4" s="11" cm="1">
        <f t="array" aca="1" ref="O4" ca="1">INDIRECT("'data'!$K$" &amp; $A$1)*parameters!$B$14</f>
        <v>11.96</v>
      </c>
      <c r="P4" s="13" cm="1">
        <f t="array" aca="1" ref="P4" ca="1">-INDIRECT("'data'!$L$" &amp; $A$1)*parameters!$B$14</f>
        <v>-75.44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>
      <c r="A5" s="18" t="s">
        <v>107</v>
      </c>
      <c r="B5" s="11"/>
      <c r="C5" s="14"/>
      <c r="D5" s="14"/>
      <c r="E5" s="14"/>
      <c r="F5" s="14">
        <f ca="1">Q6/parameters!$B$5*25%</f>
        <v>1799.1044776119404</v>
      </c>
      <c r="G5" s="14">
        <f ca="1">Q7/parameters!$B$7-(G3+G4)</f>
        <v>7.9261748014986608</v>
      </c>
      <c r="H5" s="14"/>
      <c r="I5" s="14"/>
      <c r="J5" s="14"/>
      <c r="K5" s="13"/>
      <c r="L5" s="16">
        <f t="shared" ca="1" si="0"/>
        <v>1807.0306524134392</v>
      </c>
      <c r="M5" s="16"/>
      <c r="N5" s="16"/>
      <c r="O5" s="11" cm="1">
        <f t="array" aca="1" ref="O5" ca="1">INDIRECT("'data'!$M$" &amp; $A$1)*parameters!$B$15</f>
        <v>3973.9</v>
      </c>
      <c r="P5" s="13" cm="1">
        <f t="array" aca="1" ref="P5" ca="1">-INDIRECT("'data'!$N$" &amp; $A$1)*parameters!$B$15</f>
        <v>-1608.18</v>
      </c>
      <c r="Q5" s="16">
        <f ca="1">SUM(L5:P5)</f>
        <v>4172.7506524134387</v>
      </c>
      <c r="R5" s="16">
        <f t="shared" ca="1" si="2"/>
        <v>4172.7506524134387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6750.24</v>
      </c>
      <c r="I6" s="14"/>
      <c r="J6" s="14"/>
      <c r="K6" s="13"/>
      <c r="L6" s="16">
        <f t="shared" ca="1" si="0"/>
        <v>6750.24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6750.24</v>
      </c>
      <c r="R6" s="16">
        <f t="shared" ca="1" si="2"/>
        <v>6750.24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104.86</v>
      </c>
      <c r="I7" s="14"/>
      <c r="J7" s="14"/>
      <c r="K7" s="13"/>
      <c r="L7" s="16">
        <f t="shared" ca="1" si="0"/>
        <v>104.86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104.86</v>
      </c>
      <c r="R7" s="16">
        <f t="shared" ca="1" si="2"/>
        <v>104.86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178.85143535146639</v>
      </c>
      <c r="J8" s="14">
        <f ca="1">Q10/J18</f>
        <v>6641.9485646485318</v>
      </c>
      <c r="K8" s="13"/>
      <c r="L8" s="16">
        <f t="shared" ca="1" si="0"/>
        <v>6820.7999999999984</v>
      </c>
      <c r="M8" s="16"/>
      <c r="N8" s="16">
        <f t="shared" ca="1" si="3"/>
        <v>0</v>
      </c>
      <c r="O8" s="11" cm="1">
        <f t="array" aca="1" ref="O8" ca="1">INDIRECT("'data'!$R$" &amp; $A$1)*parameters!$B$15</f>
        <v>769.3</v>
      </c>
      <c r="P8" s="13" cm="1">
        <f t="array" aca="1" ref="P8" ca="1">-INDIRECT("'data'!$S$" &amp; $A$1)*parameters!$B$15</f>
        <v>-735</v>
      </c>
      <c r="Q8" s="16">
        <f ca="1">SUM(Q6:Q7)</f>
        <v>6855.0999999999995</v>
      </c>
      <c r="R8" s="16">
        <f t="shared" ca="1" si="2"/>
        <v>6855.0999999999985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1501.36</v>
      </c>
      <c r="L9" s="16">
        <f t="shared" ca="1" si="0"/>
        <v>1501.36</v>
      </c>
      <c r="M9" s="16"/>
      <c r="N9" s="16">
        <f t="shared" ca="1" si="3"/>
        <v>0</v>
      </c>
      <c r="O9" s="11" cm="1">
        <f t="array" aca="1" ref="O9" ca="1">INDIRECT("'data'!$U$" &amp; $A$1)*parameters!$B$15</f>
        <v>723.24</v>
      </c>
      <c r="P9" s="13" cm="1">
        <f t="array" aca="1" ref="P9" ca="1">-INDIRECT("'data'!$V$" &amp; $A$1)*parameters!$B$15</f>
        <v>-2054.08</v>
      </c>
      <c r="Q9" s="16" cm="1">
        <f t="array" aca="1" ref="Q9" ca="1">INDIRECT("'data'!$T$" &amp; $A$1)*parameters!$B$15</f>
        <v>170.52</v>
      </c>
      <c r="R9" s="16">
        <f t="shared" ca="1" si="2"/>
        <v>170.51999999999998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1297.3067140825037</v>
      </c>
      <c r="L10" s="16">
        <f t="shared" ca="1" si="0"/>
        <v>1297.3067140825037</v>
      </c>
      <c r="M10" s="16"/>
      <c r="N10" s="16">
        <f t="shared" ca="1" si="3"/>
        <v>0</v>
      </c>
      <c r="O10" s="11" cm="1">
        <f t="array" aca="1" ref="O10" ca="1">INDIRECT("'data'!$X$" &amp; $A$1)*parameters!$B$15</f>
        <v>8311.3799999999992</v>
      </c>
      <c r="P10" s="13" cm="1">
        <f t="array" aca="1" ref="P10" ca="1">-INDIRECT("'data'!$Y$" &amp; $A$1)*parameters!$B$15</f>
        <v>-3276.14</v>
      </c>
      <c r="Q10" s="16" cm="1">
        <f t="array" aca="1" ref="Q10" ca="1">INDIRECT("'data'!$W$" &amp; $A$1)*parameters!$B$15</f>
        <v>6332.5467140825031</v>
      </c>
      <c r="R10" s="16">
        <f t="shared" ca="1" si="2"/>
        <v>6332.546714082504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3189.4421741109527</v>
      </c>
      <c r="N11" s="19"/>
      <c r="O11" s="21" cm="1">
        <f t="array" aca="1" ref="O11" ca="1">INDIRECT("'data'!$Z$" &amp; $A$1)*parameters!$B$15</f>
        <v>5482.12</v>
      </c>
      <c r="P11" s="27" cm="1">
        <f t="array" aca="1" ref="P11" ca="1">-INDIRECT("'data'!$AA$" &amp; $A$1)*parameters!$B$15</f>
        <v>-6144.5999999999995</v>
      </c>
      <c r="Q11" s="16">
        <f ca="1">K9*parameters!$B$10+K10*parameters!$B$11</f>
        <v>2526.9621741109531</v>
      </c>
      <c r="R11" s="16">
        <f t="shared" ref="R11:R17" ca="1" si="4">SUM(L11:P11)</f>
        <v>2526.962174110954</v>
      </c>
    </row>
    <row r="12" spans="1:19">
      <c r="A12" s="29" t="s">
        <v>86</v>
      </c>
      <c r="B12" s="10">
        <f ca="1">-(B17-Q2)</f>
        <v>0</v>
      </c>
      <c r="C12" s="9">
        <f ca="1">-(C17-Q3)</f>
        <v>-33.376203246508339</v>
      </c>
      <c r="D12" s="9">
        <f ca="1">-(D17-Q4)</f>
        <v>0</v>
      </c>
      <c r="E12" s="9">
        <f ca="1">-(E17-Q5)</f>
        <v>-515.73322670278412</v>
      </c>
      <c r="F12" s="9">
        <f ca="1">-(F17-Q6)</f>
        <v>-446.17791044776186</v>
      </c>
      <c r="G12" s="9">
        <f ca="1">-(G17-Q7)</f>
        <v>-4.7115778474399264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-999.99891824449423</v>
      </c>
      <c r="M12" s="17"/>
      <c r="N12" s="17"/>
      <c r="O12" s="10"/>
      <c r="P12" s="12"/>
      <c r="Q12" s="9">
        <f t="shared" ref="Q12:Q17" ca="1" si="6">SUM(L12:P12)</f>
        <v>-999.99891824449423</v>
      </c>
      <c r="R12" s="17">
        <f t="shared" ca="1" si="4"/>
        <v>-999.99891824449423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-8.3314353514663821</v>
      </c>
      <c r="J13" s="14">
        <f ca="1">-(J17-Q10)</f>
        <v>-309.40185056602877</v>
      </c>
      <c r="K13" s="13">
        <f ca="1">-(K17-Q11)</f>
        <v>-271.70453997155073</v>
      </c>
      <c r="L13" s="14">
        <f t="shared" ca="1" si="5"/>
        <v>-589.43782588904583</v>
      </c>
      <c r="M13" s="16">
        <f ca="1">-E15</f>
        <v>-4099.0460532271773</v>
      </c>
      <c r="N13" s="16"/>
      <c r="O13" s="11"/>
      <c r="P13" s="13"/>
      <c r="Q13" s="14">
        <f t="shared" ca="1" si="6"/>
        <v>-4688.4838791162229</v>
      </c>
      <c r="R13" s="16">
        <f t="shared" ca="1" si="4"/>
        <v>-4688.4838791162229</v>
      </c>
    </row>
    <row r="14" spans="1:19">
      <c r="A14" s="18" t="s">
        <v>78</v>
      </c>
      <c r="B14" s="11"/>
      <c r="C14" s="14"/>
      <c r="D14" s="14"/>
      <c r="E14" s="14">
        <f ca="1">-(I13+J13)-K13</f>
        <v>589.43782588904583</v>
      </c>
      <c r="F14" s="14"/>
      <c r="G14" s="14"/>
      <c r="H14" s="14"/>
      <c r="I14" s="14"/>
      <c r="J14" s="14"/>
      <c r="K14" s="13"/>
      <c r="L14" s="14">
        <f t="shared" ca="1" si="5"/>
        <v>589.43782588904583</v>
      </c>
      <c r="M14" s="16"/>
      <c r="N14" s="16"/>
      <c r="O14" s="11"/>
      <c r="P14" s="13"/>
      <c r="Q14" s="14">
        <f t="shared" ca="1" si="6"/>
        <v>589.43782588904583</v>
      </c>
      <c r="R14" s="16">
        <f t="shared" ca="1" si="4"/>
        <v>589.43782588904583</v>
      </c>
    </row>
    <row r="15" spans="1:19">
      <c r="A15" s="18" t="s">
        <v>79</v>
      </c>
      <c r="B15" s="11"/>
      <c r="C15" s="14"/>
      <c r="D15" s="14"/>
      <c r="E15" s="14">
        <f ca="1">E17-E14</f>
        <v>4099.0460532271773</v>
      </c>
      <c r="F15" s="14"/>
      <c r="G15" s="14"/>
      <c r="H15" s="14"/>
      <c r="I15" s="14"/>
      <c r="J15" s="14"/>
      <c r="K15" s="13"/>
      <c r="L15" s="14">
        <f t="shared" ca="1" si="5"/>
        <v>4099.0460532271773</v>
      </c>
      <c r="M15" s="16"/>
      <c r="N15" s="16"/>
      <c r="O15" s="11"/>
      <c r="P15" s="13"/>
      <c r="Q15" s="14">
        <f t="shared" ca="1" si="6"/>
        <v>4099.0460532271773</v>
      </c>
      <c r="R15" s="16">
        <f t="shared" ca="1" si="4"/>
        <v>4099.0460532271773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5297.8100391282705</v>
      </c>
      <c r="D17" s="9">
        <f ca="1">SUM(D$2:D$11)</f>
        <v>0</v>
      </c>
      <c r="E17" s="9">
        <f ca="1">$Q$5/parameters!$B$4</f>
        <v>4688.4838791162229</v>
      </c>
      <c r="F17" s="9">
        <f t="shared" ref="F17:K17" ca="1" si="7">SUM(F$2:F$11)</f>
        <v>7196.4179104477616</v>
      </c>
      <c r="G17" s="9">
        <f t="shared" ca="1" si="7"/>
        <v>109.57157784743993</v>
      </c>
      <c r="H17" s="9">
        <f t="shared" ca="1" si="7"/>
        <v>6855.0999999999995</v>
      </c>
      <c r="I17" s="9">
        <f t="shared" ca="1" si="7"/>
        <v>178.85143535146639</v>
      </c>
      <c r="J17" s="9">
        <f t="shared" ca="1" si="7"/>
        <v>6641.9485646485318</v>
      </c>
      <c r="K17" s="9">
        <f t="shared" ca="1" si="7"/>
        <v>2798.6667140825039</v>
      </c>
      <c r="L17" s="17">
        <f t="shared" ca="1" si="5"/>
        <v>33766.850120622192</v>
      </c>
      <c r="M17" s="17"/>
      <c r="N17" s="17"/>
      <c r="O17" s="9"/>
      <c r="P17" s="14"/>
      <c r="Q17" s="11">
        <f t="shared" ca="1" si="6"/>
        <v>33766.850120622192</v>
      </c>
      <c r="R17" s="17">
        <f t="shared" ca="1" si="4"/>
        <v>33766.850120622192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0.95341700593515488</v>
      </c>
      <c r="J18" s="39">
        <f ca="1">I18</f>
        <v>0.95341700593515488</v>
      </c>
      <c r="K18" s="40">
        <f ca="1">1-(-K13)/K17</f>
        <v>0.90291643567118185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3417.862533963973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3417.862533963973</v>
      </c>
      <c r="M2" s="17"/>
      <c r="N2" s="17">
        <f ca="1">Q2-(L2+O2+P2)</f>
        <v>0</v>
      </c>
      <c r="O2" s="11" cm="1">
        <f t="array" aca="1" ref="O2" ca="1">INDIRECT("'data'!$F$" &amp; $A$1)</f>
        <v>526843.85</v>
      </c>
      <c r="P2" s="13">
        <f ca="1">IF(-(L2-Q2+O2)&lt;0, -(L2-Q2+O2), 0)</f>
        <v>-29267.712533963961</v>
      </c>
      <c r="Q2" s="17" cm="1">
        <f t="array" aca="1" ref="Q2" ca="1">INDIRECT("'data'!$D$" &amp; $A$1)</f>
        <v>500994</v>
      </c>
      <c r="R2" s="17">
        <f ca="1">SUM(L2:P2)</f>
        <v>500994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3173.6119402985078</v>
      </c>
      <c r="G3" s="14">
        <f ca="1">Q3-O3-P3-F3</f>
        <v>234.05805970149231</v>
      </c>
      <c r="H3" s="14"/>
      <c r="I3" s="14"/>
      <c r="J3" s="14"/>
      <c r="K3" s="13"/>
      <c r="L3" s="16">
        <f t="shared" ca="1" si="0"/>
        <v>3407.67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-11.34</v>
      </c>
      <c r="Q3" s="16" cm="1">
        <f t="array" aca="1" ref="Q3" ca="1">INDIRECT("'data'!$G$" &amp; $A$1)*parameters!$B$13</f>
        <v>3396.33</v>
      </c>
      <c r="R3" s="16">
        <f t="shared" ref="R3:R10" ca="1" si="2">SUM(L3:P3)</f>
        <v>3396.33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793.40298507462694</v>
      </c>
      <c r="G5" s="14">
        <f ca="1">Q7/parameters!$B$7-(G3+G4)</f>
        <v>920.02762472901986</v>
      </c>
      <c r="H5" s="14"/>
      <c r="I5" s="14"/>
      <c r="J5" s="14"/>
      <c r="K5" s="13"/>
      <c r="L5" s="16">
        <f t="shared" ca="1" si="0"/>
        <v>1713.4306098036468</v>
      </c>
      <c r="M5" s="16"/>
      <c r="N5" s="16"/>
      <c r="O5" s="11" cm="1">
        <f t="array" aca="1" ref="O5" ca="1">INDIRECT("'data'!$M$" &amp; $A$1)*parameters!$B$15</f>
        <v>1860.04</v>
      </c>
      <c r="P5" s="13" cm="1">
        <f t="array" aca="1" ref="P5" ca="1">-INDIRECT("'data'!$N$" &amp; $A$1)*parameters!$B$15</f>
        <v>-21.56</v>
      </c>
      <c r="Q5" s="16">
        <f ca="1">SUM(L5:P5)</f>
        <v>3551.9106098036468</v>
      </c>
      <c r="R5" s="16">
        <f t="shared" ca="1" si="2"/>
        <v>3551.9106098036468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3721.06</v>
      </c>
      <c r="I6" s="14"/>
      <c r="J6" s="14"/>
      <c r="K6" s="13"/>
      <c r="L6" s="16">
        <f t="shared" ca="1" si="0"/>
        <v>3721.06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3721.06</v>
      </c>
      <c r="R6" s="16">
        <f t="shared" ca="1" si="2"/>
        <v>3721.06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1104.46</v>
      </c>
      <c r="I7" s="14"/>
      <c r="J7" s="14"/>
      <c r="K7" s="13"/>
      <c r="L7" s="16">
        <f t="shared" ca="1" si="0"/>
        <v>1104.46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1104.46</v>
      </c>
      <c r="R7" s="16">
        <f t="shared" ca="1" si="2"/>
        <v>1104.46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1896.0936462448171</v>
      </c>
      <c r="J8" s="14">
        <f ca="1">Q10/J18</f>
        <v>2883.3663537551834</v>
      </c>
      <c r="K8" s="13"/>
      <c r="L8" s="16">
        <f t="shared" ca="1" si="0"/>
        <v>4779.4600000000009</v>
      </c>
      <c r="M8" s="16"/>
      <c r="N8" s="16">
        <f t="shared" ca="1" si="3"/>
        <v>0</v>
      </c>
      <c r="O8" s="11" cm="1">
        <f t="array" aca="1" ref="O8" ca="1">INDIRECT("'data'!$R$" &amp; $A$1)*parameters!$B$15</f>
        <v>48.019999999999996</v>
      </c>
      <c r="P8" s="13" cm="1">
        <f t="array" aca="1" ref="P8" ca="1">-INDIRECT("'data'!$S$" &amp; $A$1)*parameters!$B$15</f>
        <v>-1.96</v>
      </c>
      <c r="Q8" s="16">
        <f ca="1">SUM(Q6:Q7)</f>
        <v>4825.5200000000004</v>
      </c>
      <c r="R8" s="16">
        <f t="shared" ca="1" si="2"/>
        <v>4825.5200000000013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2309.86</v>
      </c>
      <c r="L9" s="16">
        <f t="shared" ca="1" si="0"/>
        <v>2309.86</v>
      </c>
      <c r="M9" s="16"/>
      <c r="N9" s="16">
        <f t="shared" ca="1" si="3"/>
        <v>0</v>
      </c>
      <c r="O9" s="11" cm="1">
        <f t="array" aca="1" ref="O9" ca="1">INDIRECT("'data'!$U$" &amp; $A$1)*parameters!$B$15</f>
        <v>125.44</v>
      </c>
      <c r="P9" s="13" cm="1">
        <f t="array" aca="1" ref="P9" ca="1">-INDIRECT("'data'!$V$" &amp; $A$1)*parameters!$B$15</f>
        <v>-789.88</v>
      </c>
      <c r="Q9" s="16" cm="1">
        <f t="array" aca="1" ref="Q9" ca="1">INDIRECT("'data'!$T$" &amp; $A$1)*parameters!$B$15</f>
        <v>1645.42</v>
      </c>
      <c r="R9" s="16">
        <f t="shared" ca="1" si="2"/>
        <v>1645.42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2634.4700142247511</v>
      </c>
      <c r="L10" s="16">
        <f t="shared" ca="1" si="0"/>
        <v>2634.4700142247511</v>
      </c>
      <c r="M10" s="16"/>
      <c r="N10" s="16">
        <f t="shared" ca="1" si="3"/>
        <v>0</v>
      </c>
      <c r="O10" s="11" cm="1">
        <f t="array" aca="1" ref="O10" ca="1">INDIRECT("'data'!$X$" &amp; $A$1)*parameters!$B$15</f>
        <v>567.41999999999996</v>
      </c>
      <c r="P10" s="13" cm="1">
        <f t="array" aca="1" ref="P10" ca="1">-INDIRECT("'data'!$Y$" &amp; $A$1)*parameters!$B$15</f>
        <v>-699.72</v>
      </c>
      <c r="Q10" s="16" cm="1">
        <f t="array" aca="1" ref="Q10" ca="1">INDIRECT("'data'!$W$" &amp; $A$1)*parameters!$B$15</f>
        <v>2502.170014224751</v>
      </c>
      <c r="R10" s="16">
        <f t="shared" ca="1" si="2"/>
        <v>2502.170014224751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9275.1726122332857</v>
      </c>
      <c r="N11" s="19"/>
      <c r="O11" s="21" cm="1">
        <f t="array" aca="1" ref="O11" ca="1">INDIRECT("'data'!$Z$" &amp; $A$1)*parameters!$B$15</f>
        <v>872.19999999999993</v>
      </c>
      <c r="P11" s="27" cm="1">
        <f t="array" aca="1" ref="P11" ca="1">-INDIRECT("'data'!$AA$" &amp; $A$1)*parameters!$B$15</f>
        <v>-5710.46</v>
      </c>
      <c r="Q11" s="16">
        <f ca="1">K9*parameters!$B$10+K10*parameters!$B$11</f>
        <v>4436.9126122332855</v>
      </c>
      <c r="R11" s="16">
        <f t="shared" ref="R11:R17" ca="1" si="4">SUM(L11:P11)</f>
        <v>4436.9126122332864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-21.532533963973037</v>
      </c>
      <c r="D12" s="9">
        <f ca="1">-(D17-Q4)</f>
        <v>0</v>
      </c>
      <c r="E12" s="9">
        <f ca="1">-(E17-Q5)</f>
        <v>-439.00018772854037</v>
      </c>
      <c r="F12" s="9">
        <f ca="1">-(F17-Q6)</f>
        <v>-245.95492537313476</v>
      </c>
      <c r="G12" s="9">
        <f ca="1">-(G17-Q7)</f>
        <v>-49.625684430512138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-756.1133314961603</v>
      </c>
      <c r="M12" s="17"/>
      <c r="N12" s="17"/>
      <c r="O12" s="10"/>
      <c r="P12" s="12"/>
      <c r="Q12" s="9">
        <f t="shared" ref="Q12:Q17" ca="1" si="6">SUM(L12:P12)</f>
        <v>-756.1133314961603</v>
      </c>
      <c r="R12" s="17">
        <f t="shared" ca="1" si="4"/>
        <v>-756.1133314961603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-250.67364624481706</v>
      </c>
      <c r="J13" s="14">
        <f ca="1">-(J17-Q10)</f>
        <v>-381.1963395304324</v>
      </c>
      <c r="K13" s="13">
        <f ca="1">-(K17-Q11)</f>
        <v>-507.41740199146625</v>
      </c>
      <c r="L13" s="14">
        <f t="shared" ca="1" si="5"/>
        <v>-1139.2873877667157</v>
      </c>
      <c r="M13" s="16">
        <f ca="1">-E15</f>
        <v>-2851.6234097654715</v>
      </c>
      <c r="N13" s="16"/>
      <c r="O13" s="11"/>
      <c r="P13" s="13"/>
      <c r="Q13" s="14">
        <f t="shared" ca="1" si="6"/>
        <v>-3990.9107975321872</v>
      </c>
      <c r="R13" s="16">
        <f t="shared" ca="1" si="4"/>
        <v>-3990.9107975321872</v>
      </c>
    </row>
    <row r="14" spans="1:19">
      <c r="A14" s="18" t="s">
        <v>78</v>
      </c>
      <c r="B14" s="11"/>
      <c r="C14" s="14"/>
      <c r="D14" s="14"/>
      <c r="E14" s="14">
        <f ca="1">-(I13+J13)-K13</f>
        <v>1139.2873877667157</v>
      </c>
      <c r="F14" s="14"/>
      <c r="G14" s="14"/>
      <c r="H14" s="14"/>
      <c r="I14" s="14"/>
      <c r="J14" s="14"/>
      <c r="K14" s="13"/>
      <c r="L14" s="14">
        <f t="shared" ca="1" si="5"/>
        <v>1139.2873877667157</v>
      </c>
      <c r="M14" s="16"/>
      <c r="N14" s="16"/>
      <c r="O14" s="11"/>
      <c r="P14" s="13"/>
      <c r="Q14" s="14">
        <f t="shared" ca="1" si="6"/>
        <v>1139.2873877667157</v>
      </c>
      <c r="R14" s="16">
        <f t="shared" ca="1" si="4"/>
        <v>1139.2873877667157</v>
      </c>
    </row>
    <row r="15" spans="1:19">
      <c r="A15" s="18" t="s">
        <v>79</v>
      </c>
      <c r="B15" s="11"/>
      <c r="C15" s="14"/>
      <c r="D15" s="14"/>
      <c r="E15" s="14">
        <f ca="1">E17-E14</f>
        <v>2851.6234097654715</v>
      </c>
      <c r="F15" s="14"/>
      <c r="G15" s="14"/>
      <c r="H15" s="14"/>
      <c r="I15" s="14"/>
      <c r="J15" s="14"/>
      <c r="K15" s="13"/>
      <c r="L15" s="14">
        <f t="shared" ca="1" si="5"/>
        <v>2851.6234097654715</v>
      </c>
      <c r="M15" s="16"/>
      <c r="N15" s="16"/>
      <c r="O15" s="11"/>
      <c r="P15" s="13"/>
      <c r="Q15" s="14">
        <f t="shared" ca="1" si="6"/>
        <v>2851.6234097654715</v>
      </c>
      <c r="R15" s="16">
        <f t="shared" ca="1" si="4"/>
        <v>2851.6234097654715</v>
      </c>
    </row>
    <row r="16" spans="1:19">
      <c r="A16" s="30" t="s">
        <v>89</v>
      </c>
      <c r="B16" s="21">
        <f ca="1">Q2</f>
        <v>500994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500994</v>
      </c>
      <c r="M16" s="19"/>
      <c r="N16" s="19"/>
      <c r="O16" s="21"/>
      <c r="P16" s="27"/>
      <c r="Q16" s="22">
        <f t="shared" ca="1" si="6"/>
        <v>500994</v>
      </c>
      <c r="R16" s="19">
        <f t="shared" ca="1" si="4"/>
        <v>500994</v>
      </c>
    </row>
    <row r="17" spans="1:18">
      <c r="A17" s="29" t="s">
        <v>88</v>
      </c>
      <c r="B17" s="9">
        <f ca="1">B16</f>
        <v>500994</v>
      </c>
      <c r="C17" s="9">
        <f ca="1">SUM(C$2:C$11)</f>
        <v>3417.862533963973</v>
      </c>
      <c r="D17" s="9">
        <f ca="1">SUM(D$2:D$11)</f>
        <v>0</v>
      </c>
      <c r="E17" s="9">
        <f ca="1">$Q$5/parameters!$B$4</f>
        <v>3990.9107975321872</v>
      </c>
      <c r="F17" s="9">
        <f t="shared" ref="F17:K17" ca="1" si="7">SUM(F$2:F$11)</f>
        <v>3967.0149253731347</v>
      </c>
      <c r="G17" s="9">
        <f t="shared" ca="1" si="7"/>
        <v>1154.0856844305122</v>
      </c>
      <c r="H17" s="9">
        <f t="shared" ca="1" si="7"/>
        <v>4825.5200000000004</v>
      </c>
      <c r="I17" s="9">
        <f t="shared" ca="1" si="7"/>
        <v>1896.0936462448171</v>
      </c>
      <c r="J17" s="9">
        <f t="shared" ca="1" si="7"/>
        <v>2883.3663537551834</v>
      </c>
      <c r="K17" s="9">
        <f t="shared" ca="1" si="7"/>
        <v>4944.3300142247517</v>
      </c>
      <c r="L17" s="17">
        <f t="shared" ca="1" si="5"/>
        <v>528073.18395552458</v>
      </c>
      <c r="M17" s="17"/>
      <c r="N17" s="17"/>
      <c r="O17" s="9"/>
      <c r="P17" s="14"/>
      <c r="Q17" s="11">
        <f t="shared" ca="1" si="6"/>
        <v>528073.18395552458</v>
      </c>
      <c r="R17" s="17">
        <f t="shared" ca="1" si="4"/>
        <v>528073.18395552458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0.86779469107906559</v>
      </c>
      <c r="J18" s="39">
        <f ca="1">I18</f>
        <v>0.86779469107906559</v>
      </c>
      <c r="K18" s="40">
        <f ca="1">1-(-K13)/K17</f>
        <v>0.89737388068117718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4245.2249169769539</v>
      </c>
      <c r="D2" s="9">
        <f ca="1">Q4/parameters!$B$3</f>
        <v>1041.5618395894132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5286.7867565663673</v>
      </c>
      <c r="M2" s="17"/>
      <c r="N2" s="17">
        <f ca="1">Q2-(L2+O2+P2)</f>
        <v>0</v>
      </c>
      <c r="O2" s="11" cm="1">
        <f t="array" aca="1" ref="O2" ca="1">INDIRECT("'data'!$F$" &amp; $A$1)</f>
        <v>42415.1</v>
      </c>
      <c r="P2" s="13">
        <f ca="1">IF(-(L2-Q2+O2)&lt;0, -(L2-Q2+O2), 0)</f>
        <v>-1701.8867565663677</v>
      </c>
      <c r="Q2" s="17" cm="1">
        <f t="array" aca="1" ref="Q2" ca="1">INDIRECT("'data'!$D$" &amp; $A$1)</f>
        <v>46000</v>
      </c>
      <c r="R2" s="17">
        <f ca="1">SUM(L2:P2)</f>
        <v>46000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3266.3880597014931</v>
      </c>
      <c r="G3" s="14">
        <f ca="1">Q3-O3-P3-F3</f>
        <v>541.96194029850631</v>
      </c>
      <c r="H3" s="14"/>
      <c r="I3" s="14"/>
      <c r="J3" s="14"/>
      <c r="K3" s="13"/>
      <c r="L3" s="16">
        <f t="shared" ca="1" si="0"/>
        <v>3808.3499999999995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410.13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4218.4799999999996</v>
      </c>
      <c r="R3" s="16">
        <f t="shared" ref="R3:R10" ca="1" si="2">SUM(L3:P3)</f>
        <v>4218.4799999999996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977.04</v>
      </c>
      <c r="H4" s="14"/>
      <c r="I4" s="14"/>
      <c r="J4" s="14"/>
      <c r="K4" s="13"/>
      <c r="L4" s="16">
        <f t="shared" ca="1" si="0"/>
        <v>977.04</v>
      </c>
      <c r="M4" s="16"/>
      <c r="N4" s="16">
        <f t="shared" ca="1" si="1"/>
        <v>0</v>
      </c>
      <c r="O4" s="11" cm="1">
        <f t="array" aca="1" ref="O4" ca="1">INDIRECT("'data'!$K$" &amp; $A$1)*parameters!$B$14</f>
        <v>57.96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1035</v>
      </c>
      <c r="R4" s="16">
        <f t="shared" ca="1" si="2"/>
        <v>1035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816.59701492537329</v>
      </c>
      <c r="G5" s="14">
        <f ca="1">Q7/parameters!$B$7-(G3+G4)</f>
        <v>1051.3219886461125</v>
      </c>
      <c r="H5" s="14"/>
      <c r="I5" s="14"/>
      <c r="J5" s="14"/>
      <c r="K5" s="13"/>
      <c r="L5" s="16">
        <f t="shared" ca="1" si="0"/>
        <v>1867.9190035714857</v>
      </c>
      <c r="M5" s="16"/>
      <c r="N5" s="16"/>
      <c r="O5" s="11" cm="1">
        <f t="array" aca="1" ref="O5" ca="1">INDIRECT("'data'!$M$" &amp; $A$1)*parameters!$B$15</f>
        <v>1240.68</v>
      </c>
      <c r="P5" s="13" cm="1">
        <f t="array" aca="1" ref="P5" ca="1">-INDIRECT("'data'!$N$" &amp; $A$1)*parameters!$B$15</f>
        <v>-72.52</v>
      </c>
      <c r="Q5" s="16">
        <f ca="1">SUM(L5:P5)</f>
        <v>3036.0790035714858</v>
      </c>
      <c r="R5" s="16">
        <f t="shared" ca="1" si="2"/>
        <v>3036.0790035714858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3829.84</v>
      </c>
      <c r="I6" s="14"/>
      <c r="J6" s="14"/>
      <c r="K6" s="13"/>
      <c r="L6" s="16">
        <f t="shared" ca="1" si="0"/>
        <v>3829.84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3829.84</v>
      </c>
      <c r="R6" s="16">
        <f t="shared" ca="1" si="2"/>
        <v>3829.84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2459.8000000000002</v>
      </c>
      <c r="I7" s="14"/>
      <c r="J7" s="14"/>
      <c r="K7" s="13"/>
      <c r="L7" s="16">
        <f t="shared" ca="1" si="0"/>
        <v>2459.8000000000002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2459.8000000000002</v>
      </c>
      <c r="R7" s="16">
        <f t="shared" ca="1" si="2"/>
        <v>2459.8000000000002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2532.6603417024189</v>
      </c>
      <c r="J8" s="14">
        <f ca="1">Q10/J18</f>
        <v>3637.4196582975801</v>
      </c>
      <c r="K8" s="13"/>
      <c r="L8" s="16">
        <f t="shared" ca="1" si="0"/>
        <v>6170.079999999999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150.91999999999999</v>
      </c>
      <c r="P8" s="13" cm="1">
        <f t="array" aca="1" ref="P8" ca="1">-INDIRECT("'data'!$S$" &amp; $A$1)*parameters!$B$15</f>
        <v>-31.36</v>
      </c>
      <c r="Q8" s="16">
        <f ca="1">SUM(Q6:Q7)</f>
        <v>6289.64</v>
      </c>
      <c r="R8" s="16">
        <f t="shared" ca="1" si="2"/>
        <v>6289.6399999999994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2111.9</v>
      </c>
      <c r="L9" s="16">
        <f t="shared" ca="1" si="0"/>
        <v>2111.9</v>
      </c>
      <c r="M9" s="16"/>
      <c r="N9" s="16">
        <f t="shared" ca="1" si="3"/>
        <v>0</v>
      </c>
      <c r="O9" s="11" cm="1">
        <f t="array" aca="1" ref="O9" ca="1">INDIRECT("'data'!$U$" &amp; $A$1)*parameters!$B$15</f>
        <v>484.12</v>
      </c>
      <c r="P9" s="13" cm="1">
        <f t="array" aca="1" ref="P9" ca="1">-INDIRECT("'data'!$V$" &amp; $A$1)*parameters!$B$15</f>
        <v>-342.02</v>
      </c>
      <c r="Q9" s="16" cm="1">
        <f t="array" aca="1" ref="Q9" ca="1">INDIRECT("'data'!$T$" &amp; $A$1)*parameters!$B$15</f>
        <v>2254</v>
      </c>
      <c r="R9" s="16">
        <f t="shared" ca="1" si="2"/>
        <v>2254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3030.4262588904694</v>
      </c>
      <c r="L10" s="16">
        <f t="shared" ca="1" si="0"/>
        <v>3030.4262588904694</v>
      </c>
      <c r="M10" s="16"/>
      <c r="N10" s="16">
        <f t="shared" ca="1" si="3"/>
        <v>0</v>
      </c>
      <c r="O10" s="11" cm="1">
        <f t="array" aca="1" ref="O10" ca="1">INDIRECT("'data'!$X$" &amp; $A$1)*parameters!$B$15</f>
        <v>1332.8</v>
      </c>
      <c r="P10" s="13" cm="1">
        <f t="array" aca="1" ref="P10" ca="1">-INDIRECT("'data'!$Y$" &amp; $A$1)*parameters!$B$15</f>
        <v>-1126.02</v>
      </c>
      <c r="Q10" s="16" cm="1">
        <f t="array" aca="1" ref="Q10" ca="1">INDIRECT("'data'!$W$" &amp; $A$1)*parameters!$B$15</f>
        <v>3237.2062588904696</v>
      </c>
      <c r="R10" s="16">
        <f t="shared" ca="1" si="2"/>
        <v>3237.2062588904696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4692.2925826458031</v>
      </c>
      <c r="N11" s="19"/>
      <c r="O11" s="21" cm="1">
        <f t="array" aca="1" ref="O11" ca="1">INDIRECT("'data'!$Z$" &amp; $A$1)*parameters!$B$15</f>
        <v>1487.6399999999999</v>
      </c>
      <c r="P11" s="27" cm="1">
        <f t="array" aca="1" ref="P11" ca="1">-INDIRECT("'data'!$AA$" &amp; $A$1)*parameters!$B$15</f>
        <v>-1588.58</v>
      </c>
      <c r="Q11" s="16">
        <f ca="1">K9*parameters!$B$10+K10*parameters!$B$11</f>
        <v>4591.3525826458035</v>
      </c>
      <c r="R11" s="16">
        <f t="shared" ref="R11:R17" ca="1" si="4">SUM(L11:P11)</f>
        <v>4591.3525826458026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-26.7449169769543</v>
      </c>
      <c r="D12" s="9">
        <f ca="1">-(D17-Q4)</f>
        <v>-6.5618395894132391</v>
      </c>
      <c r="E12" s="9">
        <f ca="1">-(E17-Q5)</f>
        <v>-375.24571954254316</v>
      </c>
      <c r="F12" s="9">
        <f ca="1">-(F17-Q6)</f>
        <v>-253.14507462686652</v>
      </c>
      <c r="G12" s="9">
        <f ca="1">-(G17-Q7)</f>
        <v>-110.52392894461855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-772.22147968039576</v>
      </c>
      <c r="M12" s="17"/>
      <c r="N12" s="17"/>
      <c r="O12" s="10"/>
      <c r="P12" s="12"/>
      <c r="Q12" s="9">
        <f t="shared" ref="Q12:Q17" ca="1" si="6">SUM(L12:P12)</f>
        <v>-772.22147968039576</v>
      </c>
      <c r="R12" s="17">
        <f t="shared" ca="1" si="4"/>
        <v>-772.22147968039576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-278.66034170241892</v>
      </c>
      <c r="J13" s="14">
        <f ca="1">-(J17-Q10)</f>
        <v>-400.2133994071105</v>
      </c>
      <c r="K13" s="13">
        <f ca="1">-(K17-Q11)</f>
        <v>-550.97367624466551</v>
      </c>
      <c r="L13" s="14">
        <f t="shared" ca="1" si="5"/>
        <v>-1229.8474173541949</v>
      </c>
      <c r="M13" s="16">
        <f ca="1">-E15</f>
        <v>-2181.4773057598341</v>
      </c>
      <c r="N13" s="16"/>
      <c r="O13" s="11"/>
      <c r="P13" s="13"/>
      <c r="Q13" s="14">
        <f t="shared" ca="1" si="6"/>
        <v>-3411.324723114029</v>
      </c>
      <c r="R13" s="16">
        <f t="shared" ca="1" si="4"/>
        <v>-3411.324723114029</v>
      </c>
    </row>
    <row r="14" spans="1:20">
      <c r="A14" s="18" t="s">
        <v>78</v>
      </c>
      <c r="B14" s="11"/>
      <c r="C14" s="14"/>
      <c r="D14" s="14"/>
      <c r="E14" s="14">
        <f ca="1">-(I13+J13)-K13</f>
        <v>1229.8474173541949</v>
      </c>
      <c r="F14" s="14"/>
      <c r="G14" s="14"/>
      <c r="H14" s="14"/>
      <c r="I14" s="14"/>
      <c r="J14" s="14"/>
      <c r="K14" s="13"/>
      <c r="L14" s="14">
        <f t="shared" ca="1" si="5"/>
        <v>1229.8474173541949</v>
      </c>
      <c r="M14" s="16"/>
      <c r="N14" s="16"/>
      <c r="O14" s="11"/>
      <c r="P14" s="13"/>
      <c r="Q14" s="14">
        <f t="shared" ca="1" si="6"/>
        <v>1229.8474173541949</v>
      </c>
      <c r="R14" s="16">
        <f t="shared" ca="1" si="4"/>
        <v>1229.8474173541949</v>
      </c>
    </row>
    <row r="15" spans="1:20">
      <c r="A15" s="18" t="s">
        <v>79</v>
      </c>
      <c r="B15" s="11"/>
      <c r="C15" s="14"/>
      <c r="D15" s="14"/>
      <c r="E15" s="14">
        <f ca="1">E17-E14</f>
        <v>2181.4773057598341</v>
      </c>
      <c r="F15" s="14"/>
      <c r="G15" s="14"/>
      <c r="H15" s="14"/>
      <c r="I15" s="14"/>
      <c r="J15" s="14"/>
      <c r="K15" s="13"/>
      <c r="L15" s="14">
        <f t="shared" ca="1" si="5"/>
        <v>2181.4773057598341</v>
      </c>
      <c r="M15" s="16"/>
      <c r="N15" s="16"/>
      <c r="O15" s="11"/>
      <c r="P15" s="13"/>
      <c r="Q15" s="14">
        <f t="shared" ca="1" si="6"/>
        <v>2181.4773057598341</v>
      </c>
      <c r="R15" s="16">
        <f t="shared" ca="1" si="4"/>
        <v>2181.4773057598341</v>
      </c>
    </row>
    <row r="16" spans="1:20">
      <c r="A16" s="30" t="s">
        <v>89</v>
      </c>
      <c r="B16" s="21">
        <f ca="1">Q2</f>
        <v>46000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46000</v>
      </c>
      <c r="M16" s="19"/>
      <c r="N16" s="19"/>
      <c r="O16" s="21"/>
      <c r="P16" s="27"/>
      <c r="Q16" s="22">
        <f t="shared" ca="1" si="6"/>
        <v>46000</v>
      </c>
      <c r="R16" s="19">
        <f t="shared" ca="1" si="4"/>
        <v>46000</v>
      </c>
    </row>
    <row r="17" spans="1:18">
      <c r="A17" s="29" t="s">
        <v>88</v>
      </c>
      <c r="B17" s="9">
        <f ca="1">B16</f>
        <v>46000</v>
      </c>
      <c r="C17" s="9">
        <f ca="1">SUM(C$2:C$11)</f>
        <v>4245.2249169769539</v>
      </c>
      <c r="D17" s="9">
        <f ca="1">SUM(D$2:D$11)</f>
        <v>1041.5618395894132</v>
      </c>
      <c r="E17" s="9">
        <f ca="1">$Q$5/parameters!$B$4</f>
        <v>3411.324723114029</v>
      </c>
      <c r="F17" s="9">
        <f t="shared" ref="F17:K17" ca="1" si="7">SUM(F$2:F$11)</f>
        <v>4082.9850746268667</v>
      </c>
      <c r="G17" s="9">
        <f t="shared" ca="1" si="7"/>
        <v>2570.3239289446187</v>
      </c>
      <c r="H17" s="9">
        <f t="shared" ca="1" si="7"/>
        <v>6289.64</v>
      </c>
      <c r="I17" s="9">
        <f t="shared" ca="1" si="7"/>
        <v>2532.6603417024189</v>
      </c>
      <c r="J17" s="9">
        <f t="shared" ca="1" si="7"/>
        <v>3637.4196582975801</v>
      </c>
      <c r="K17" s="9">
        <f t="shared" ca="1" si="7"/>
        <v>5142.326258890469</v>
      </c>
      <c r="L17" s="17">
        <f t="shared" ca="1" si="5"/>
        <v>78953.466742142366</v>
      </c>
      <c r="M17" s="17"/>
      <c r="N17" s="17"/>
      <c r="O17" s="9"/>
      <c r="P17" s="14"/>
      <c r="Q17" s="11">
        <f t="shared" ca="1" si="6"/>
        <v>78953.466742142366</v>
      </c>
      <c r="R17" s="17">
        <f t="shared" ca="1" si="4"/>
        <v>78953.466742142366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0.88997326758979955</v>
      </c>
      <c r="J18" s="39">
        <f ca="1">I18</f>
        <v>0.88997326758979955</v>
      </c>
      <c r="K18" s="40">
        <f ca="1">1-(-K13)/K17</f>
        <v>0.8928551693327319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453.62282378987618</v>
      </c>
      <c r="D2" s="9">
        <f ca="1">Q4/parameters!$B$3</f>
        <v>886.02193821072763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1339.6447620006038</v>
      </c>
      <c r="M2" s="17"/>
      <c r="N2" s="17">
        <f ca="1">Q2-(L2+O2+P2)</f>
        <v>0</v>
      </c>
      <c r="O2" s="11" cm="1">
        <f t="array" aca="1" ref="O2" ca="1">INDIRECT("'data'!$F$" &amp; $A$1)</f>
        <v>8620.3000000000011</v>
      </c>
      <c r="P2" s="13">
        <f ca="1">IF(-(L2-Q2+O2)&lt;0, -(L2-Q2+O2), 0)</f>
        <v>-8939.9447620006049</v>
      </c>
      <c r="Q2" s="17" cm="1">
        <f t="array" aca="1" ref="Q2" ca="1">INDIRECT("'data'!$D$" &amp; $A$1)</f>
        <v>1020</v>
      </c>
      <c r="R2" s="17">
        <f ca="1">SUM(L2:P2)</f>
        <v>1020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465.88499999999999</v>
      </c>
      <c r="H3" s="14"/>
      <c r="I3" s="14"/>
      <c r="J3" s="14"/>
      <c r="K3" s="13"/>
      <c r="L3" s="16">
        <f t="shared" ca="1" si="0"/>
        <v>465.88499999999999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-15.12</v>
      </c>
      <c r="Q3" s="16" cm="1">
        <f t="array" aca="1" ref="Q3" ca="1">INDIRECT("'data'!$G$" &amp; $A$1)*parameters!$B$13</f>
        <v>450.76499999999999</v>
      </c>
      <c r="R3" s="16">
        <f t="shared" ref="R3:R10" ca="1" si="2">SUM(L3:P3)</f>
        <v>450.76499999999999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570.4</v>
      </c>
      <c r="H4" s="14"/>
      <c r="I4" s="14"/>
      <c r="J4" s="14"/>
      <c r="K4" s="13"/>
      <c r="L4" s="16">
        <f t="shared" ca="1" si="0"/>
        <v>570.4</v>
      </c>
      <c r="M4" s="16"/>
      <c r="N4" s="16">
        <f t="shared" ca="1" si="1"/>
        <v>0</v>
      </c>
      <c r="O4" s="11" cm="1">
        <f t="array" aca="1" ref="O4" ca="1">INDIRECT("'data'!$K$" &amp; $A$1)*parameters!$B$14</f>
        <v>359.72</v>
      </c>
      <c r="P4" s="13" cm="1">
        <f t="array" aca="1" ref="P4" ca="1">-INDIRECT("'data'!$L$" &amp; $A$1)*parameters!$B$14</f>
        <v>-49.68</v>
      </c>
      <c r="Q4" s="16" cm="1">
        <f t="array" aca="1" ref="Q4" ca="1">INDIRECT("'data'!$J$" &amp; $A$1)*parameters!$B$14</f>
        <v>880.44</v>
      </c>
      <c r="R4" s="16">
        <f t="shared" ca="1" si="2"/>
        <v>880.44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2838.6575287356322</v>
      </c>
      <c r="H5" s="14"/>
      <c r="I5" s="14"/>
      <c r="J5" s="14"/>
      <c r="K5" s="13"/>
      <c r="L5" s="16">
        <f t="shared" ca="1" si="0"/>
        <v>2838.6575287356322</v>
      </c>
      <c r="M5" s="16"/>
      <c r="N5" s="16"/>
      <c r="O5" s="11" cm="1">
        <f t="array" aca="1" ref="O5" ca="1">INDIRECT("'data'!$M$" &amp; $A$1)*parameters!$B$15</f>
        <v>46.06</v>
      </c>
      <c r="P5" s="13" cm="1">
        <f t="array" aca="1" ref="P5" ca="1">-INDIRECT("'data'!$N$" &amp; $A$1)*parameters!$B$15</f>
        <v>-437.08</v>
      </c>
      <c r="Q5" s="16">
        <f ca="1">SUM(L5:P5)</f>
        <v>2447.6375287356323</v>
      </c>
      <c r="R5" s="16">
        <f t="shared" ca="1" si="2"/>
        <v>2447.6375287356323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3708.3199999999997</v>
      </c>
      <c r="I7" s="14"/>
      <c r="J7" s="14"/>
      <c r="K7" s="13"/>
      <c r="L7" s="16">
        <f t="shared" ca="1" si="0"/>
        <v>3708.3199999999997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3708.3199999999997</v>
      </c>
      <c r="R7" s="16">
        <f t="shared" ca="1" si="2"/>
        <v>3708.3199999999997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3340</v>
      </c>
      <c r="J8" s="14">
        <f ca="1">Q10/J18</f>
        <v>861.76529160739688</v>
      </c>
      <c r="K8" s="13"/>
      <c r="L8" s="16">
        <f t="shared" ca="1" si="0"/>
        <v>4201.7652916073966</v>
      </c>
      <c r="M8" s="16"/>
      <c r="N8" s="16">
        <f t="shared" ca="1" si="3"/>
        <v>-441.50529160739734</v>
      </c>
      <c r="O8" s="11" cm="1">
        <f t="array" aca="1" ref="O8" ca="1">INDIRECT("'data'!$R$" &amp; $A$1)*parameters!$B$15</f>
        <v>115.64</v>
      </c>
      <c r="P8" s="13" cm="1">
        <f t="array" aca="1" ref="P8" ca="1">-INDIRECT("'data'!$S$" &amp; $A$1)*parameters!$B$15</f>
        <v>-167.57999999999998</v>
      </c>
      <c r="Q8" s="16">
        <f ca="1">SUM(Q6:Q7)</f>
        <v>3708.3199999999997</v>
      </c>
      <c r="R8" s="16">
        <f t="shared" ca="1" si="2"/>
        <v>3708.3199999999993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6287.68</v>
      </c>
      <c r="L9" s="16">
        <f t="shared" ca="1" si="0"/>
        <v>6287.68</v>
      </c>
      <c r="M9" s="16"/>
      <c r="N9" s="16">
        <f t="shared" ca="1" si="3"/>
        <v>0</v>
      </c>
      <c r="O9" s="11" cm="1">
        <f t="array" aca="1" ref="O9" ca="1">INDIRECT("'data'!$U$" &amp; $A$1)*parameters!$B$15</f>
        <v>370.44</v>
      </c>
      <c r="P9" s="13" cm="1">
        <f t="array" aca="1" ref="P9" ca="1">-INDIRECT("'data'!$V$" &amp; $A$1)*parameters!$B$15</f>
        <v>-3384.92</v>
      </c>
      <c r="Q9" s="16" cm="1">
        <f t="array" aca="1" ref="Q9" ca="1">INDIRECT("'data'!$T$" &amp; $A$1)*parameters!$B$15</f>
        <v>3273.2</v>
      </c>
      <c r="R9" s="16">
        <f t="shared" ca="1" si="2"/>
        <v>3273.2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4032.4699857752489</v>
      </c>
      <c r="L10" s="16">
        <f t="shared" ca="1" si="0"/>
        <v>4032.4699857752489</v>
      </c>
      <c r="M10" s="16"/>
      <c r="N10" s="16">
        <f t="shared" ca="1" si="3"/>
        <v>0</v>
      </c>
      <c r="O10" s="11" cm="1">
        <f t="array" aca="1" ref="O10" ca="1">INDIRECT("'data'!$X$" &amp; $A$1)*parameters!$B$15</f>
        <v>485.09999999999997</v>
      </c>
      <c r="P10" s="13" cm="1">
        <f t="array" aca="1" ref="P10" ca="1">-INDIRECT("'data'!$Y$" &amp; $A$1)*parameters!$B$15</f>
        <v>-3673.04</v>
      </c>
      <c r="Q10" s="16" cm="1">
        <f t="array" aca="1" ref="Q10" ca="1">INDIRECT("'data'!$W$" &amp; $A$1)*parameters!$B$15</f>
        <v>844.52998577524897</v>
      </c>
      <c r="R10" s="16">
        <f t="shared" ca="1" si="2"/>
        <v>844.52998577524886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9887.9433877667143</v>
      </c>
      <c r="N11" s="19"/>
      <c r="O11" s="21" cm="1">
        <f t="array" aca="1" ref="O11" ca="1">INDIRECT("'data'!$Z$" &amp; $A$1)*parameters!$B$15</f>
        <v>1857.1</v>
      </c>
      <c r="P11" s="27" cm="1">
        <f t="array" aca="1" ref="P11" ca="1">-INDIRECT("'data'!$AA$" &amp; $A$1)*parameters!$B$15</f>
        <v>-2366.6999999999998</v>
      </c>
      <c r="Q11" s="16">
        <f ca="1">K9*parameters!$B$10+K10*parameters!$B$11</f>
        <v>9378.3433877667139</v>
      </c>
      <c r="R11" s="16">
        <f t="shared" ref="R11:R17" ca="1" si="4">SUM(L11:P11)</f>
        <v>9378.3433877667158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-2.8578237898761927</v>
      </c>
      <c r="D12" s="9">
        <f ca="1">-(D17-Q4)</f>
        <v>-5.5819382107275715</v>
      </c>
      <c r="E12" s="9">
        <f ca="1">-(E17-Q5)</f>
        <v>-302.5169979336174</v>
      </c>
      <c r="F12" s="9">
        <f ca="1">-(F17-Q6)</f>
        <v>0</v>
      </c>
      <c r="G12" s="9">
        <f ca="1">-(G17-Q7)</f>
        <v>-166.62252873563239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-477.57928866985355</v>
      </c>
      <c r="M12" s="17"/>
      <c r="N12" s="17"/>
      <c r="O12" s="10"/>
      <c r="P12" s="12"/>
      <c r="Q12" s="9">
        <f t="shared" ref="Q12:Q17" ca="1" si="6">SUM(L12:P12)</f>
        <v>-477.57928866985355</v>
      </c>
      <c r="R12" s="17">
        <f t="shared" ca="1" si="4"/>
        <v>-477.57928866985355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-66.800000000000182</v>
      </c>
      <c r="J13" s="14">
        <f ca="1">-(J17-Q10)</f>
        <v>-17.235305832147901</v>
      </c>
      <c r="K13" s="13">
        <f ca="1">-(K17-Q11)</f>
        <v>-941.80659800853573</v>
      </c>
      <c r="L13" s="14">
        <f t="shared" ca="1" si="5"/>
        <v>-1025.8419038406837</v>
      </c>
      <c r="M13" s="16">
        <f ca="1">-E15</f>
        <v>-1724.312622828566</v>
      </c>
      <c r="N13" s="16"/>
      <c r="O13" s="11"/>
      <c r="P13" s="13"/>
      <c r="Q13" s="14">
        <f t="shared" ca="1" si="6"/>
        <v>-2750.1545266692497</v>
      </c>
      <c r="R13" s="16">
        <f t="shared" ca="1" si="4"/>
        <v>-2750.1545266692497</v>
      </c>
    </row>
    <row r="14" spans="1:19">
      <c r="A14" s="18" t="s">
        <v>78</v>
      </c>
      <c r="B14" s="11"/>
      <c r="C14" s="14"/>
      <c r="D14" s="14"/>
      <c r="E14" s="14">
        <f ca="1">-(I13+J13)-K13</f>
        <v>1025.8419038406837</v>
      </c>
      <c r="F14" s="14"/>
      <c r="G14" s="14"/>
      <c r="H14" s="14"/>
      <c r="I14" s="14"/>
      <c r="J14" s="14"/>
      <c r="K14" s="13"/>
      <c r="L14" s="14">
        <f t="shared" ca="1" si="5"/>
        <v>1025.8419038406837</v>
      </c>
      <c r="M14" s="16"/>
      <c r="N14" s="16"/>
      <c r="O14" s="11"/>
      <c r="P14" s="13"/>
      <c r="Q14" s="14">
        <f t="shared" ca="1" si="6"/>
        <v>1025.8419038406837</v>
      </c>
      <c r="R14" s="16">
        <f t="shared" ca="1" si="4"/>
        <v>1025.8419038406837</v>
      </c>
    </row>
    <row r="15" spans="1:19">
      <c r="A15" s="18" t="s">
        <v>79</v>
      </c>
      <c r="B15" s="11"/>
      <c r="C15" s="14"/>
      <c r="D15" s="14"/>
      <c r="E15" s="14">
        <f ca="1">E17-E14</f>
        <v>1724.312622828566</v>
      </c>
      <c r="F15" s="14"/>
      <c r="G15" s="14"/>
      <c r="H15" s="14"/>
      <c r="I15" s="14"/>
      <c r="J15" s="14"/>
      <c r="K15" s="13"/>
      <c r="L15" s="14">
        <f t="shared" ca="1" si="5"/>
        <v>1724.312622828566</v>
      </c>
      <c r="M15" s="16"/>
      <c r="N15" s="16"/>
      <c r="O15" s="11"/>
      <c r="P15" s="13"/>
      <c r="Q15" s="14">
        <f t="shared" ca="1" si="6"/>
        <v>1724.312622828566</v>
      </c>
      <c r="R15" s="16">
        <f t="shared" ca="1" si="4"/>
        <v>1724.312622828566</v>
      </c>
    </row>
    <row r="16" spans="1:19">
      <c r="A16" s="30" t="s">
        <v>89</v>
      </c>
      <c r="B16" s="21">
        <f ca="1">Q2</f>
        <v>1020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1020</v>
      </c>
      <c r="M16" s="19"/>
      <c r="N16" s="19"/>
      <c r="O16" s="21"/>
      <c r="P16" s="27"/>
      <c r="Q16" s="22">
        <f t="shared" ca="1" si="6"/>
        <v>1020</v>
      </c>
      <c r="R16" s="19">
        <f t="shared" ca="1" si="4"/>
        <v>1020</v>
      </c>
    </row>
    <row r="17" spans="1:18">
      <c r="A17" s="29" t="s">
        <v>88</v>
      </c>
      <c r="B17" s="9">
        <f ca="1">B16</f>
        <v>1020</v>
      </c>
      <c r="C17" s="9">
        <f ca="1">SUM(C$2:C$11)</f>
        <v>453.62282378987618</v>
      </c>
      <c r="D17" s="9">
        <f ca="1">SUM(D$2:D$11)</f>
        <v>886.02193821072763</v>
      </c>
      <c r="E17" s="9">
        <f ca="1">$Q$5/parameters!$B$4</f>
        <v>2750.1545266692497</v>
      </c>
      <c r="F17" s="9">
        <f t="shared" ref="F17:K17" ca="1" si="7">SUM(F$2:F$11)</f>
        <v>0</v>
      </c>
      <c r="G17" s="9">
        <f t="shared" ca="1" si="7"/>
        <v>3874.9425287356321</v>
      </c>
      <c r="H17" s="9">
        <f t="shared" ca="1" si="7"/>
        <v>3708.3199999999997</v>
      </c>
      <c r="I17" s="9">
        <f t="shared" ca="1" si="7"/>
        <v>3340</v>
      </c>
      <c r="J17" s="9">
        <f t="shared" ca="1" si="7"/>
        <v>861.76529160739688</v>
      </c>
      <c r="K17" s="9">
        <f t="shared" ca="1" si="7"/>
        <v>10320.14998577525</v>
      </c>
      <c r="L17" s="17">
        <f t="shared" ca="1" si="5"/>
        <v>27214.977094788133</v>
      </c>
      <c r="M17" s="17"/>
      <c r="N17" s="17"/>
      <c r="O17" s="9"/>
      <c r="P17" s="14"/>
      <c r="Q17" s="11">
        <f t="shared" ca="1" si="6"/>
        <v>27214.977094788133</v>
      </c>
      <c r="R17" s="17">
        <f t="shared" ca="1" si="4"/>
        <v>27214.977094788133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0.90874099704881495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10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10</v>
      </c>
      <c r="R2" s="17">
        <f ca="1">SUM(L2:P2)</f>
        <v>10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349.65</v>
      </c>
      <c r="H3" s="14"/>
      <c r="I3" s="14"/>
      <c r="J3" s="14"/>
      <c r="K3" s="13"/>
      <c r="L3" s="16">
        <f t="shared" ca="1" si="0"/>
        <v>349.65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-350.59499999999997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4841.1754963427384</v>
      </c>
      <c r="H5" s="14"/>
      <c r="I5" s="14"/>
      <c r="J5" s="14"/>
      <c r="K5" s="13"/>
      <c r="L5" s="16">
        <f t="shared" ca="1" si="0"/>
        <v>4841.1754963427384</v>
      </c>
      <c r="M5" s="16"/>
      <c r="N5" s="16"/>
      <c r="O5" s="11" cm="1">
        <f t="array" aca="1" ref="O5" ca="1">INDIRECT("'data'!$M$" &amp; $A$1)*parameters!$B$15</f>
        <v>389.06</v>
      </c>
      <c r="P5" s="13" cm="1">
        <f t="array" aca="1" ref="P5" ca="1">-INDIRECT("'data'!$N$" &amp; $A$1)*parameters!$B$15</f>
        <v>-926.1</v>
      </c>
      <c r="Q5" s="16">
        <f ca="1">SUM(L5:P5)</f>
        <v>4304.1354963427384</v>
      </c>
      <c r="R5" s="16">
        <f t="shared" ca="1" si="2"/>
        <v>4304.1354963427384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4967.62</v>
      </c>
      <c r="I7" s="14"/>
      <c r="J7" s="14"/>
      <c r="K7" s="13"/>
      <c r="L7" s="16">
        <f t="shared" ca="1" si="0"/>
        <v>4967.62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4967.62</v>
      </c>
      <c r="R7" s="16">
        <f t="shared" ca="1" si="2"/>
        <v>4967.62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5336.1798514821094</v>
      </c>
      <c r="J8" s="14">
        <f ca="1">Q10/J18</f>
        <v>2735.1001485178899</v>
      </c>
      <c r="K8" s="13"/>
      <c r="L8" s="16">
        <f t="shared" ca="1" si="0"/>
        <v>8071.2799999999988</v>
      </c>
      <c r="M8" s="16"/>
      <c r="N8" s="16">
        <f t="shared" ca="1" si="3"/>
        <v>0</v>
      </c>
      <c r="O8" s="11" cm="1">
        <f t="array" aca="1" ref="O8" ca="1">INDIRECT("'data'!$R$" &amp; $A$1)*parameters!$B$15</f>
        <v>3.92</v>
      </c>
      <c r="P8" s="13" cm="1">
        <f t="array" aca="1" ref="P8" ca="1">-INDIRECT("'data'!$S$" &amp; $A$1)*parameters!$B$15</f>
        <v>-3107.58</v>
      </c>
      <c r="Q8" s="16">
        <f ca="1">SUM(Q6:Q7)</f>
        <v>4967.62</v>
      </c>
      <c r="R8" s="16">
        <f t="shared" ca="1" si="2"/>
        <v>4967.619999999999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6848.24</v>
      </c>
      <c r="L9" s="16">
        <f t="shared" ca="1" si="0"/>
        <v>6848.24</v>
      </c>
      <c r="M9" s="16"/>
      <c r="N9" s="16">
        <f t="shared" ca="1" si="3"/>
        <v>0</v>
      </c>
      <c r="O9" s="11" cm="1">
        <f t="array" aca="1" ref="O9" ca="1">INDIRECT("'data'!$U$" &amp; $A$1)*parameters!$B$15</f>
        <v>752.64</v>
      </c>
      <c r="P9" s="13" cm="1">
        <f t="array" aca="1" ref="P9" ca="1">-INDIRECT("'data'!$V$" &amp; $A$1)*parameters!$B$15</f>
        <v>-2570.54</v>
      </c>
      <c r="Q9" s="16" cm="1">
        <f t="array" aca="1" ref="Q9" ca="1">INDIRECT("'data'!$T$" &amp; $A$1)*parameters!$B$15</f>
        <v>5030.34</v>
      </c>
      <c r="R9" s="16">
        <f t="shared" ca="1" si="2"/>
        <v>5030.34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10343.859573257469</v>
      </c>
      <c r="L10" s="16">
        <f t="shared" ca="1" si="0"/>
        <v>10343.859573257469</v>
      </c>
      <c r="M10" s="16"/>
      <c r="N10" s="16">
        <f t="shared" ca="1" si="3"/>
        <v>0</v>
      </c>
      <c r="O10" s="11" cm="1">
        <f t="array" aca="1" ref="O10" ca="1">INDIRECT("'data'!$X$" &amp; $A$1)*parameters!$B$15</f>
        <v>206.78</v>
      </c>
      <c r="P10" s="13" cm="1">
        <f t="array" aca="1" ref="P10" ca="1">-INDIRECT("'data'!$Y$" &amp; $A$1)*parameters!$B$15</f>
        <v>-7972.3</v>
      </c>
      <c r="Q10" s="16" cm="1">
        <f t="array" aca="1" ref="Q10" ca="1">INDIRECT("'data'!$W$" &amp; $A$1)*parameters!$B$15</f>
        <v>2578.3395732574681</v>
      </c>
      <c r="R10" s="16">
        <f t="shared" ca="1" si="2"/>
        <v>2578.3395732574691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13717.044833001422</v>
      </c>
      <c r="N11" s="19"/>
      <c r="O11" s="21" cm="1">
        <f t="array" aca="1" ref="O11" ca="1">INDIRECT("'data'!$Z$" &amp; $A$1)*parameters!$B$15</f>
        <v>4868.6400000000003</v>
      </c>
      <c r="P11" s="27" cm="1">
        <f t="array" aca="1" ref="P11" ca="1">-INDIRECT("'data'!$AA$" &amp; $A$1)*parameters!$B$15</f>
        <v>-3252.62</v>
      </c>
      <c r="Q11" s="16">
        <f ca="1">K9*parameters!$B$10+K10*parameters!$B$11</f>
        <v>15333.064833001423</v>
      </c>
      <c r="R11" s="16">
        <f t="shared" ref="R11:R17" ca="1" si="4">SUM(L11:P11)</f>
        <v>15333.064833001423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-531.97180291876521</v>
      </c>
      <c r="F12" s="9">
        <f ca="1">-(F17-Q6)</f>
        <v>0</v>
      </c>
      <c r="G12" s="9">
        <f ca="1">-(G17-Q7)</f>
        <v>-223.20549634273812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-755.17729926150332</v>
      </c>
      <c r="M12" s="17"/>
      <c r="N12" s="17"/>
      <c r="O12" s="10"/>
      <c r="P12" s="12"/>
      <c r="Q12" s="9">
        <f t="shared" ref="Q12:Q17" ca="1" si="6">SUM(L12:P12)</f>
        <v>-755.17729926150332</v>
      </c>
      <c r="R12" s="17">
        <f t="shared" ca="1" si="4"/>
        <v>-755.17729926150332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-305.83985148210922</v>
      </c>
      <c r="J13" s="14">
        <f ca="1">-(J17-Q10)</f>
        <v>-156.76057526042177</v>
      </c>
      <c r="K13" s="13">
        <f ca="1">-(K17-Q11)</f>
        <v>-1859.0347402560437</v>
      </c>
      <c r="L13" s="14">
        <f t="shared" ca="1" si="5"/>
        <v>-2321.6351669985747</v>
      </c>
      <c r="M13" s="16">
        <f ca="1">-E15</f>
        <v>-2514.4721322629289</v>
      </c>
      <c r="N13" s="16"/>
      <c r="O13" s="11"/>
      <c r="P13" s="13"/>
      <c r="Q13" s="14">
        <f t="shared" ca="1" si="6"/>
        <v>-4836.1072992615036</v>
      </c>
      <c r="R13" s="16">
        <f t="shared" ca="1" si="4"/>
        <v>-4836.1072992615036</v>
      </c>
    </row>
    <row r="14" spans="1:20">
      <c r="A14" s="18" t="s">
        <v>78</v>
      </c>
      <c r="B14" s="11"/>
      <c r="C14" s="14"/>
      <c r="D14" s="14"/>
      <c r="E14" s="14">
        <f ca="1">-(I13+J13)-K13</f>
        <v>2321.6351669985747</v>
      </c>
      <c r="F14" s="14"/>
      <c r="G14" s="14"/>
      <c r="H14" s="14"/>
      <c r="I14" s="14"/>
      <c r="J14" s="14"/>
      <c r="K14" s="13"/>
      <c r="L14" s="14">
        <f t="shared" ca="1" si="5"/>
        <v>2321.6351669985747</v>
      </c>
      <c r="M14" s="16"/>
      <c r="N14" s="16"/>
      <c r="O14" s="11"/>
      <c r="P14" s="13"/>
      <c r="Q14" s="14">
        <f t="shared" ca="1" si="6"/>
        <v>2321.6351669985747</v>
      </c>
      <c r="R14" s="16">
        <f t="shared" ca="1" si="4"/>
        <v>2321.6351669985747</v>
      </c>
    </row>
    <row r="15" spans="1:20">
      <c r="A15" s="18" t="s">
        <v>79</v>
      </c>
      <c r="B15" s="11"/>
      <c r="C15" s="14"/>
      <c r="D15" s="14"/>
      <c r="E15" s="14">
        <f ca="1">E17-E14</f>
        <v>2514.4721322629289</v>
      </c>
      <c r="F15" s="14"/>
      <c r="G15" s="14"/>
      <c r="H15" s="14"/>
      <c r="I15" s="14"/>
      <c r="J15" s="14"/>
      <c r="K15" s="13"/>
      <c r="L15" s="14">
        <f t="shared" ca="1" si="5"/>
        <v>2514.4721322629289</v>
      </c>
      <c r="M15" s="16"/>
      <c r="N15" s="16"/>
      <c r="O15" s="11"/>
      <c r="P15" s="13"/>
      <c r="Q15" s="14">
        <f t="shared" ca="1" si="6"/>
        <v>2514.4721322629289</v>
      </c>
      <c r="R15" s="16">
        <f t="shared" ca="1" si="4"/>
        <v>2514.4721322629289</v>
      </c>
    </row>
    <row r="16" spans="1:20">
      <c r="A16" s="30" t="s">
        <v>89</v>
      </c>
      <c r="B16" s="21">
        <f ca="1">Q2</f>
        <v>10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10</v>
      </c>
      <c r="M16" s="19"/>
      <c r="N16" s="19"/>
      <c r="O16" s="21"/>
      <c r="P16" s="27"/>
      <c r="Q16" s="22">
        <f t="shared" ca="1" si="6"/>
        <v>10</v>
      </c>
      <c r="R16" s="19">
        <f t="shared" ca="1" si="4"/>
        <v>10</v>
      </c>
    </row>
    <row r="17" spans="1:18">
      <c r="A17" s="29" t="s">
        <v>88</v>
      </c>
      <c r="B17" s="9">
        <f ca="1">B16</f>
        <v>10</v>
      </c>
      <c r="C17" s="9">
        <f ca="1">SUM(C$2:C$11)</f>
        <v>0</v>
      </c>
      <c r="D17" s="9">
        <f ca="1">SUM(D$2:D$11)</f>
        <v>0</v>
      </c>
      <c r="E17" s="9">
        <f ca="1">$Q$5/parameters!$B$4</f>
        <v>4836.1072992615036</v>
      </c>
      <c r="F17" s="9">
        <f t="shared" ref="F17:K17" ca="1" si="7">SUM(F$2:F$11)</f>
        <v>0</v>
      </c>
      <c r="G17" s="9">
        <f t="shared" ca="1" si="7"/>
        <v>5190.825496342738</v>
      </c>
      <c r="H17" s="9">
        <f t="shared" ca="1" si="7"/>
        <v>4967.62</v>
      </c>
      <c r="I17" s="9">
        <f t="shared" ca="1" si="7"/>
        <v>5336.1798514821094</v>
      </c>
      <c r="J17" s="9">
        <f t="shared" ca="1" si="7"/>
        <v>2735.1001485178899</v>
      </c>
      <c r="K17" s="9">
        <f t="shared" ca="1" si="7"/>
        <v>17192.099573257467</v>
      </c>
      <c r="L17" s="17">
        <f t="shared" ca="1" si="5"/>
        <v>40267.932368861708</v>
      </c>
      <c r="M17" s="17"/>
      <c r="N17" s="17"/>
      <c r="O17" s="9"/>
      <c r="P17" s="14"/>
      <c r="Q17" s="11">
        <f t="shared" ca="1" si="6"/>
        <v>40267.932368861708</v>
      </c>
      <c r="R17" s="17">
        <f t="shared" ca="1" si="4"/>
        <v>40267.932368861708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0.94268561780256277</v>
      </c>
      <c r="J18" s="39">
        <f ca="1">I18</f>
        <v>0.94268561780256277</v>
      </c>
      <c r="K18" s="40">
        <f ca="1">1-(-K13)/K17</f>
        <v>0.89186691640922111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2724.5899164737843</v>
      </c>
      <c r="D2" s="9">
        <f ca="1">Q4/parameters!$B$3</f>
        <v>100.91576934688537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2825.5056858206699</v>
      </c>
      <c r="M2" s="17"/>
      <c r="N2" s="17">
        <f ca="1">Q2-(L2+O2+P2)</f>
        <v>0</v>
      </c>
      <c r="O2" s="11" cm="1">
        <f t="array" aca="1" ref="O2" ca="1">INDIRECT("'data'!$F$" &amp; $A$1)</f>
        <v>13058.5</v>
      </c>
      <c r="P2" s="13">
        <f ca="1">IF(-(L2-Q2+O2)&lt;0, -(L2-Q2+O2), 0)</f>
        <v>-684.0056858206699</v>
      </c>
      <c r="Q2" s="17" cm="1">
        <f t="array" aca="1" ref="Q2" ca="1">INDIRECT("'data'!$D$" &amp; $A$1)</f>
        <v>15200</v>
      </c>
      <c r="R2" s="17">
        <f ca="1">SUM(L2:P2)</f>
        <v>15200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2415.5223880597014</v>
      </c>
      <c r="G3" s="14">
        <f ca="1">Q3-O3-P3-F3</f>
        <v>267.33261194029865</v>
      </c>
      <c r="H3" s="14"/>
      <c r="I3" s="14"/>
      <c r="J3" s="14"/>
      <c r="K3" s="13"/>
      <c r="L3" s="16">
        <f t="shared" ca="1" si="0"/>
        <v>2682.855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72.765000000000001</v>
      </c>
      <c r="P3" s="13" cm="1">
        <f t="array" aca="1" ref="P3" ca="1">-INDIRECT("'data'!$I$" &amp; $A$1)*parameters!$B$13</f>
        <v>-48.195</v>
      </c>
      <c r="Q3" s="16" cm="1">
        <f t="array" aca="1" ref="Q3" ca="1">INDIRECT("'data'!$G$" &amp; $A$1)*parameters!$B$13</f>
        <v>2707.4249999999997</v>
      </c>
      <c r="R3" s="16">
        <f t="shared" ref="R3:R10" ca="1" si="2">SUM(L3:P3)</f>
        <v>2707.4249999999997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126.96</v>
      </c>
      <c r="H4" s="14"/>
      <c r="I4" s="14"/>
      <c r="J4" s="14"/>
      <c r="K4" s="13"/>
      <c r="L4" s="16">
        <f t="shared" ca="1" si="0"/>
        <v>126.96</v>
      </c>
      <c r="M4" s="16"/>
      <c r="N4" s="16">
        <f t="shared" ca="1" si="1"/>
        <v>0</v>
      </c>
      <c r="O4" s="11" cm="1">
        <f t="array" aca="1" ref="O4" ca="1">INDIRECT("'data'!$K$" &amp; $A$1)*parameters!$B$14</f>
        <v>2.7600000000000002</v>
      </c>
      <c r="P4" s="13" cm="1">
        <f t="array" aca="1" ref="P4" ca="1">-INDIRECT("'data'!$L$" &amp; $A$1)*parameters!$B$14</f>
        <v>-29.44</v>
      </c>
      <c r="Q4" s="16" cm="1">
        <f t="array" aca="1" ref="Q4" ca="1">INDIRECT("'data'!$J$" &amp; $A$1)*parameters!$B$14</f>
        <v>100.28</v>
      </c>
      <c r="R4" s="16">
        <f t="shared" ca="1" si="2"/>
        <v>100.28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603.88059701492546</v>
      </c>
      <c r="G5" s="14">
        <f ca="1">Q7/parameters!$B$7-(G3+G4)</f>
        <v>1312.7711289165459</v>
      </c>
      <c r="H5" s="14"/>
      <c r="I5" s="14"/>
      <c r="J5" s="14"/>
      <c r="K5" s="13"/>
      <c r="L5" s="16">
        <f t="shared" ca="1" si="0"/>
        <v>1916.6517259314714</v>
      </c>
      <c r="M5" s="16"/>
      <c r="N5" s="16"/>
      <c r="O5" s="11" cm="1">
        <f t="array" aca="1" ref="O5" ca="1">INDIRECT("'data'!$M$" &amp; $A$1)*parameters!$B$15</f>
        <v>1221.08</v>
      </c>
      <c r="P5" s="13" cm="1">
        <f t="array" aca="1" ref="P5" ca="1">-INDIRECT("'data'!$N$" &amp; $A$1)*parameters!$B$15</f>
        <v>-255.78</v>
      </c>
      <c r="Q5" s="16">
        <f ca="1">SUM(L5:P5)</f>
        <v>2881.9517259314712</v>
      </c>
      <c r="R5" s="16">
        <f t="shared" ca="1" si="2"/>
        <v>2881.9517259314712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2832.2</v>
      </c>
      <c r="I6" s="14"/>
      <c r="J6" s="14"/>
      <c r="K6" s="13"/>
      <c r="L6" s="16">
        <f t="shared" ca="1" si="0"/>
        <v>2832.2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2832.2</v>
      </c>
      <c r="R6" s="16">
        <f t="shared" ca="1" si="2"/>
        <v>2832.2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1633.66</v>
      </c>
      <c r="I7" s="14"/>
      <c r="J7" s="14"/>
      <c r="K7" s="13"/>
      <c r="L7" s="16">
        <f t="shared" ca="1" si="0"/>
        <v>1633.66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1633.66</v>
      </c>
      <c r="R7" s="16">
        <f t="shared" ca="1" si="2"/>
        <v>1633.66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998.05387885150174</v>
      </c>
      <c r="J8" s="14">
        <f ca="1">Q10/J18</f>
        <v>3536.4061211484973</v>
      </c>
      <c r="K8" s="13"/>
      <c r="L8" s="16">
        <f t="shared" ca="1" si="0"/>
        <v>4534.4599999999991</v>
      </c>
      <c r="M8" s="16"/>
      <c r="N8" s="16">
        <f t="shared" ca="1" si="3"/>
        <v>0</v>
      </c>
      <c r="O8" s="11" cm="1">
        <f t="array" aca="1" ref="O8" ca="1">INDIRECT("'data'!$R$" &amp; $A$1)*parameters!$B$15</f>
        <v>170.52</v>
      </c>
      <c r="P8" s="13" cm="1">
        <f t="array" aca="1" ref="P8" ca="1">-INDIRECT("'data'!$S$" &amp; $A$1)*parameters!$B$15</f>
        <v>-239.12</v>
      </c>
      <c r="Q8" s="16">
        <f ca="1">SUM(Q6:Q7)</f>
        <v>4465.8599999999997</v>
      </c>
      <c r="R8" s="16">
        <f t="shared" ca="1" si="2"/>
        <v>4465.8599999999997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1254.4000000000001</v>
      </c>
      <c r="L9" s="16">
        <f t="shared" ca="1" si="0"/>
        <v>1254.4000000000001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476.28</v>
      </c>
      <c r="P9" s="13" cm="1">
        <f t="array" aca="1" ref="P9" ca="1">-INDIRECT("'data'!$V$" &amp; $A$1)*parameters!$B$15</f>
        <v>-897.68</v>
      </c>
      <c r="Q9" s="16" cm="1">
        <f t="array" aca="1" ref="Q9" ca="1">INDIRECT("'data'!$T$" &amp; $A$1)*parameters!$B$15</f>
        <v>833</v>
      </c>
      <c r="R9" s="16">
        <f t="shared" ca="1" si="2"/>
        <v>833.00000000000011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2128.370412517781</v>
      </c>
      <c r="L10" s="16">
        <f t="shared" ca="1" si="0"/>
        <v>2128.370412517781</v>
      </c>
      <c r="M10" s="16"/>
      <c r="N10" s="16">
        <f t="shared" ca="1" si="3"/>
        <v>0</v>
      </c>
      <c r="O10" s="11" cm="1">
        <f t="array" aca="1" ref="O10" ca="1">INDIRECT("'data'!$X$" &amp; $A$1)*parameters!$B$15</f>
        <v>2377.48</v>
      </c>
      <c r="P10" s="13" cm="1">
        <f t="array" aca="1" ref="P10" ca="1">-INDIRECT("'data'!$Y$" &amp; $A$1)*parameters!$B$15</f>
        <v>-1554.28</v>
      </c>
      <c r="Q10" s="16" cm="1">
        <f t="array" aca="1" ref="Q10" ca="1">INDIRECT("'data'!$W$" &amp; $A$1)*parameters!$B$15</f>
        <v>2951.5704125177808</v>
      </c>
      <c r="R10" s="16">
        <f t="shared" ca="1" si="2"/>
        <v>2951.5704125177808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3552.4545547652915</v>
      </c>
      <c r="N11" s="19"/>
      <c r="O11" s="21" cm="1">
        <f t="array" aca="1" ref="O11" ca="1">INDIRECT("'data'!$Z$" &amp; $A$1)*parameters!$B$15</f>
        <v>2649.92</v>
      </c>
      <c r="P11" s="27" cm="1">
        <f t="array" aca="1" ref="P11" ca="1">-INDIRECT("'data'!$AA$" &amp; $A$1)*parameters!$B$15</f>
        <v>-3192.84</v>
      </c>
      <c r="Q11" s="16">
        <f ca="1">K9*parameters!$B$10+K10*parameters!$B$11</f>
        <v>3009.5345547652914</v>
      </c>
      <c r="R11" s="16">
        <f t="shared" ref="R11:R17" ca="1" si="4">SUM(L11:P11)</f>
        <v>3009.5345547652914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-17.164916473784615</v>
      </c>
      <c r="D12" s="9">
        <f ca="1">-(D17-Q4)</f>
        <v>-0.63576934688536824</v>
      </c>
      <c r="E12" s="9">
        <f ca="1">-(E17-Q5)</f>
        <v>-356.19628073310332</v>
      </c>
      <c r="F12" s="9">
        <f ca="1">-(F17-Q6)</f>
        <v>-187.20298507462712</v>
      </c>
      <c r="G12" s="9">
        <f ca="1">-(G17-Q7)</f>
        <v>-73.403740856844479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-634.60369248524489</v>
      </c>
      <c r="M12" s="17"/>
      <c r="N12" s="17"/>
      <c r="O12" s="10"/>
      <c r="P12" s="12"/>
      <c r="Q12" s="9">
        <f t="shared" ref="Q12:Q17" ca="1" si="6">SUM(L12:P12)</f>
        <v>-634.60369248524489</v>
      </c>
      <c r="R12" s="17">
        <f t="shared" ca="1" si="4"/>
        <v>-634.60369248524489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-165.05387885150174</v>
      </c>
      <c r="J13" s="14">
        <f ca="1">-(J17-Q10)</f>
        <v>-584.83570863071645</v>
      </c>
      <c r="K13" s="13">
        <f ca="1">-(K17-Q11)</f>
        <v>-373.23585775248966</v>
      </c>
      <c r="L13" s="14">
        <f t="shared" ca="1" si="5"/>
        <v>-1123.125445234708</v>
      </c>
      <c r="M13" s="16">
        <f ca="1">-E15</f>
        <v>-2115.0225614298665</v>
      </c>
      <c r="N13" s="16"/>
      <c r="O13" s="11"/>
      <c r="P13" s="13"/>
      <c r="Q13" s="14">
        <f t="shared" ca="1" si="6"/>
        <v>-3238.1480066645745</v>
      </c>
      <c r="R13" s="16">
        <f t="shared" ca="1" si="4"/>
        <v>-3238.1480066645745</v>
      </c>
    </row>
    <row r="14" spans="1:20">
      <c r="A14" s="18" t="s">
        <v>78</v>
      </c>
      <c r="B14" s="11"/>
      <c r="C14" s="14"/>
      <c r="D14" s="14"/>
      <c r="E14" s="14">
        <f ca="1">-(I13+J13)-K13</f>
        <v>1123.125445234708</v>
      </c>
      <c r="F14" s="14"/>
      <c r="G14" s="14"/>
      <c r="H14" s="14"/>
      <c r="I14" s="14"/>
      <c r="J14" s="14"/>
      <c r="K14" s="13"/>
      <c r="L14" s="14">
        <f t="shared" ca="1" si="5"/>
        <v>1123.125445234708</v>
      </c>
      <c r="M14" s="16"/>
      <c r="N14" s="16"/>
      <c r="O14" s="11"/>
      <c r="P14" s="13"/>
      <c r="Q14" s="14">
        <f t="shared" ca="1" si="6"/>
        <v>1123.125445234708</v>
      </c>
      <c r="R14" s="16">
        <f t="shared" ca="1" si="4"/>
        <v>1123.125445234708</v>
      </c>
    </row>
    <row r="15" spans="1:20">
      <c r="A15" s="18" t="s">
        <v>79</v>
      </c>
      <c r="B15" s="11"/>
      <c r="C15" s="14"/>
      <c r="D15" s="14"/>
      <c r="E15" s="14">
        <f ca="1">E17-E14</f>
        <v>2115.0225614298665</v>
      </c>
      <c r="F15" s="14"/>
      <c r="G15" s="14"/>
      <c r="H15" s="14"/>
      <c r="I15" s="14"/>
      <c r="J15" s="14"/>
      <c r="K15" s="13"/>
      <c r="L15" s="14">
        <f t="shared" ca="1" si="5"/>
        <v>2115.0225614298665</v>
      </c>
      <c r="M15" s="16"/>
      <c r="N15" s="16"/>
      <c r="O15" s="11"/>
      <c r="P15" s="13"/>
      <c r="Q15" s="14">
        <f t="shared" ca="1" si="6"/>
        <v>2115.0225614298665</v>
      </c>
      <c r="R15" s="16">
        <f t="shared" ca="1" si="4"/>
        <v>2115.0225614298665</v>
      </c>
    </row>
    <row r="16" spans="1:20">
      <c r="A16" s="30" t="s">
        <v>89</v>
      </c>
      <c r="B16" s="21">
        <f ca="1">Q2</f>
        <v>15200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15200</v>
      </c>
      <c r="M16" s="19"/>
      <c r="N16" s="19"/>
      <c r="O16" s="21"/>
      <c r="P16" s="27"/>
      <c r="Q16" s="22">
        <f t="shared" ca="1" si="6"/>
        <v>15200</v>
      </c>
      <c r="R16" s="19">
        <f t="shared" ca="1" si="4"/>
        <v>15200</v>
      </c>
    </row>
    <row r="17" spans="1:18">
      <c r="A17" s="29" t="s">
        <v>88</v>
      </c>
      <c r="B17" s="9">
        <f ca="1">B16</f>
        <v>15200</v>
      </c>
      <c r="C17" s="9">
        <f ca="1">SUM(C$2:C$11)</f>
        <v>2724.5899164737843</v>
      </c>
      <c r="D17" s="9">
        <f ca="1">SUM(D$2:D$11)</f>
        <v>100.91576934688537</v>
      </c>
      <c r="E17" s="9">
        <f ca="1">$Q$5/parameters!$B$4</f>
        <v>3238.1480066645745</v>
      </c>
      <c r="F17" s="9">
        <f t="shared" ref="F17:K17" ca="1" si="7">SUM(F$2:F$11)</f>
        <v>3019.4029850746269</v>
      </c>
      <c r="G17" s="9">
        <f t="shared" ca="1" si="7"/>
        <v>1707.0637408568446</v>
      </c>
      <c r="H17" s="9">
        <f t="shared" ca="1" si="7"/>
        <v>4465.8599999999997</v>
      </c>
      <c r="I17" s="9">
        <f t="shared" ca="1" si="7"/>
        <v>998.05387885150174</v>
      </c>
      <c r="J17" s="9">
        <f t="shared" ca="1" si="7"/>
        <v>3536.4061211484973</v>
      </c>
      <c r="K17" s="9">
        <f t="shared" ca="1" si="7"/>
        <v>3382.7704125177811</v>
      </c>
      <c r="L17" s="17">
        <f t="shared" ca="1" si="5"/>
        <v>38373.210830934499</v>
      </c>
      <c r="M17" s="17"/>
      <c r="N17" s="17"/>
      <c r="O17" s="9"/>
      <c r="P17" s="14"/>
      <c r="Q17" s="11">
        <f t="shared" ca="1" si="6"/>
        <v>38373.210830934499</v>
      </c>
      <c r="R17" s="17">
        <f t="shared" ca="1" si="4"/>
        <v>38373.210830934499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0.83462427996228472</v>
      </c>
      <c r="J18" s="39">
        <f ca="1">I18</f>
        <v>0.83462427996228472</v>
      </c>
      <c r="K18" s="40">
        <f ca="1">1-(-K13)/K17</f>
        <v>0.88966562543785177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2024-08-12T15:38:47Z</dcterms:modified>
</cp:coreProperties>
</file>