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0DB3888D-1B90-4848-9B87-E87AE676B2C0}" xr6:coauthVersionLast="47" xr6:coauthVersionMax="47" xr10:uidLastSave="{00000000-0000-0000-0000-000000000000}"/>
  <bookViews>
    <workbookView xWindow="0" yWindow="500" windowWidth="38400" windowHeight="21100" firstSheet="13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  <externalReference r:id="rId35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1" l="1"/>
  <c r="J18" i="41" s="1"/>
  <c r="I18" i="15" l="1"/>
  <c r="J18" i="15" s="1"/>
  <c r="I18" i="20"/>
  <c r="J18" i="20" s="1"/>
  <c r="AA33" i="49" l="1"/>
  <c r="Z33" i="49"/>
  <c r="Y33" i="49"/>
  <c r="X33" i="49"/>
  <c r="W33" i="49"/>
  <c r="V33" i="49"/>
  <c r="U33" i="49"/>
  <c r="T33" i="49"/>
  <c r="S33" i="49"/>
  <c r="R33" i="49"/>
  <c r="Q33" i="49"/>
  <c r="P33" i="49"/>
  <c r="O33" i="49"/>
  <c r="N33" i="49"/>
  <c r="M33" i="49"/>
  <c r="L33" i="49"/>
  <c r="K33" i="49"/>
  <c r="I33" i="49"/>
  <c r="H33" i="49"/>
  <c r="F33" i="49"/>
  <c r="E33" i="49"/>
  <c r="C32" i="49"/>
  <c r="Q32" i="49" l="1"/>
  <c r="Q31" i="49"/>
  <c r="Q30" i="49"/>
  <c r="Q29" i="49"/>
  <c r="Q28" i="49"/>
  <c r="Q27" i="49"/>
  <c r="Q26" i="49"/>
  <c r="Q25" i="49"/>
  <c r="Q24" i="49"/>
  <c r="Q23" i="49"/>
  <c r="Q22" i="49"/>
  <c r="Q21" i="49"/>
  <c r="Q20" i="49"/>
  <c r="Q19" i="49"/>
  <c r="Q18" i="49"/>
  <c r="Q17" i="49"/>
  <c r="Q16" i="49"/>
  <c r="Q15" i="49"/>
  <c r="Q14" i="49"/>
  <c r="Q13" i="49"/>
  <c r="Q12" i="49"/>
  <c r="Q11" i="49"/>
  <c r="Q10" i="49"/>
  <c r="Q9" i="49"/>
  <c r="Q8" i="49"/>
  <c r="Q7" i="49"/>
  <c r="Q6" i="49"/>
  <c r="Q5" i="49"/>
  <c r="Q4" i="49"/>
  <c r="Q7" i="18" a="1"/>
  <c r="Q7" i="18" l="1"/>
  <c r="Q3" i="49"/>
  <c r="H7" i="18" l="1"/>
  <c r="L7" i="18" s="1"/>
  <c r="N7" i="18" s="1"/>
  <c r="R7" i="18" s="1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C5" i="49"/>
  <c r="C6" i="49"/>
  <c r="C7" i="49"/>
  <c r="C8" i="49"/>
  <c r="C9" i="49"/>
  <c r="C10" i="49"/>
  <c r="C11" i="49"/>
  <c r="C12" i="49"/>
  <c r="C13" i="49"/>
  <c r="C14" i="49"/>
  <c r="C15" i="49"/>
  <c r="C16" i="49"/>
  <c r="C17" i="49"/>
  <c r="C18" i="49"/>
  <c r="C19" i="49"/>
  <c r="C20" i="49"/>
  <c r="C21" i="49"/>
  <c r="C22" i="49"/>
  <c r="C23" i="49"/>
  <c r="C24" i="49"/>
  <c r="C25" i="49"/>
  <c r="C26" i="49"/>
  <c r="C27" i="49"/>
  <c r="C28" i="49"/>
  <c r="C29" i="49"/>
  <c r="C30" i="49"/>
  <c r="C31" i="49"/>
  <c r="C4" i="49"/>
  <c r="Q2" i="18" a="1"/>
  <c r="O2" i="18" a="1"/>
  <c r="O2" i="18" l="1"/>
  <c r="Q2" i="18"/>
  <c r="B16" i="18" s="1"/>
  <c r="D3" i="49"/>
  <c r="G3" i="49"/>
  <c r="C3" i="49"/>
  <c r="L16" i="18" l="1"/>
  <c r="B17" i="18"/>
  <c r="B12" i="18" s="1"/>
  <c r="B18" i="18" s="1"/>
  <c r="J3" i="49"/>
  <c r="R16" i="18" l="1"/>
  <c r="Q16" i="18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W32" i="49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" i="49"/>
  <c r="Q6" i="28" a="1"/>
  <c r="Q6" i="36" a="1"/>
  <c r="O3" i="18" a="1"/>
  <c r="P3" i="18" a="1"/>
  <c r="O4" i="18" a="1"/>
  <c r="Q6" i="16" a="1"/>
  <c r="Q6" i="29" a="1"/>
  <c r="Q6" i="34" a="1"/>
  <c r="Q6" i="14" a="1"/>
  <c r="P8" i="18" a="1"/>
  <c r="O5" i="18" a="1"/>
  <c r="P10" i="18" a="1"/>
  <c r="Q6" i="22" a="1"/>
  <c r="O10" i="18" a="1"/>
  <c r="Q6" i="31" a="1"/>
  <c r="Q6" i="20" a="1"/>
  <c r="Q6" i="23" a="1"/>
  <c r="Q6" i="32" a="1"/>
  <c r="O8" i="18" a="1"/>
  <c r="O11" i="18" a="1"/>
  <c r="O9" i="18" a="1"/>
  <c r="Q6" i="43" a="1"/>
  <c r="Q6" i="26" a="1"/>
  <c r="Q6" i="40" a="1"/>
  <c r="Q6" i="42" a="1"/>
  <c r="Q6" i="11" a="1"/>
  <c r="Q6" i="17" a="1"/>
  <c r="Q6" i="30" a="1"/>
  <c r="Q6" i="33" a="1"/>
  <c r="P4" i="18" a="1"/>
  <c r="Q3" i="18" a="1"/>
  <c r="O5" i="40" a="1"/>
  <c r="Q6" i="15" a="1"/>
  <c r="Q6" i="21" a="1"/>
  <c r="Q6" i="41" a="1"/>
  <c r="P11" i="18" a="1"/>
  <c r="Q6" i="19" a="1"/>
  <c r="Q4" i="18" a="1"/>
  <c r="Q6" i="35" a="1"/>
  <c r="Q6" i="38" a="1"/>
  <c r="Q6" i="39" a="1"/>
  <c r="Q6" i="18" a="1"/>
  <c r="Q9" i="18" a="1"/>
  <c r="Q6" i="24" a="1"/>
  <c r="P5" i="18" a="1"/>
  <c r="P9" i="18" a="1"/>
  <c r="Q10" i="18" a="1"/>
  <c r="Q6" i="27" a="1"/>
  <c r="Q6" i="37" a="1"/>
  <c r="O3" i="18" l="1"/>
  <c r="P3" i="18"/>
  <c r="O4" i="18"/>
  <c r="O5" i="18"/>
  <c r="P8" i="18"/>
  <c r="P10" i="18"/>
  <c r="O10" i="18"/>
  <c r="O11" i="18"/>
  <c r="Q10" i="18"/>
  <c r="P4" i="18"/>
  <c r="O8" i="18"/>
  <c r="Q9" i="18"/>
  <c r="P11" i="18"/>
  <c r="Q4" i="18"/>
  <c r="Q3" i="18"/>
  <c r="P5" i="18"/>
  <c r="Q6" i="18"/>
  <c r="O9" i="18"/>
  <c r="P9" i="18"/>
  <c r="Q6" i="37"/>
  <c r="F5" i="37" s="1"/>
  <c r="Q6" i="36"/>
  <c r="F5" i="36" s="1"/>
  <c r="Q6" i="27"/>
  <c r="Q6" i="20"/>
  <c r="Q6" i="26"/>
  <c r="Q6" i="43"/>
  <c r="Q6" i="34"/>
  <c r="Q6" i="15"/>
  <c r="F5" i="15" s="1"/>
  <c r="Q6" i="17"/>
  <c r="Q6" i="19"/>
  <c r="F5" i="19" s="1"/>
  <c r="Q6" i="42"/>
  <c r="Q6" i="33"/>
  <c r="Q6" i="14"/>
  <c r="Q6" i="35"/>
  <c r="Q6" i="41"/>
  <c r="F5" i="41" s="1"/>
  <c r="Q6" i="24"/>
  <c r="Q6" i="32"/>
  <c r="F5" i="32" s="1"/>
  <c r="Q6" i="40"/>
  <c r="Q6" i="16"/>
  <c r="Q6" i="31"/>
  <c r="Q6" i="22"/>
  <c r="Q6" i="39"/>
  <c r="Q6" i="30"/>
  <c r="Q6" i="21"/>
  <c r="Q6" i="28"/>
  <c r="Q6" i="23"/>
  <c r="Q6" i="38"/>
  <c r="Q6" i="29"/>
  <c r="Q6" i="11"/>
  <c r="O5" i="40"/>
  <c r="O11" i="36" a="1"/>
  <c r="Q4" i="17" a="1"/>
  <c r="O9" i="42" a="1"/>
  <c r="O11" i="31" a="1"/>
  <c r="O11" i="23" a="1"/>
  <c r="P8" i="23" a="1"/>
  <c r="P4" i="26" a="1"/>
  <c r="P4" i="24" a="1"/>
  <c r="P9" i="36" a="1"/>
  <c r="O4" i="42" a="1"/>
  <c r="O8" i="39" a="1"/>
  <c r="O5" i="29" a="1"/>
  <c r="O8" i="23" a="1"/>
  <c r="Q4" i="28" a="1"/>
  <c r="P4" i="38" a="1"/>
  <c r="O10" i="29" a="1"/>
  <c r="P4" i="16" a="1"/>
  <c r="O2" i="22" a="1"/>
  <c r="O8" i="36" a="1"/>
  <c r="O11" i="28" a="1"/>
  <c r="P11" i="38" a="1"/>
  <c r="P3" i="21" a="1"/>
  <c r="Q7" i="11" a="1"/>
  <c r="P10" i="26" a="1"/>
  <c r="P3" i="36" a="1"/>
  <c r="O4" i="17" a="1"/>
  <c r="P4" i="32" a="1"/>
  <c r="O5" i="35" a="1"/>
  <c r="Q10" i="34" a="1"/>
  <c r="O9" i="33" a="1"/>
  <c r="Q2" i="16" a="1"/>
  <c r="Q3" i="17" a="1"/>
  <c r="O10" i="31" a="1"/>
  <c r="P11" i="31" a="1"/>
  <c r="O10" i="36" a="1"/>
  <c r="P5" i="31" a="1"/>
  <c r="Q4" i="29" a="1"/>
  <c r="P4" i="15" a="1"/>
  <c r="Q4" i="16" a="1"/>
  <c r="Q7" i="40" a="1"/>
  <c r="O11" i="32" a="1"/>
  <c r="P9" i="19" a="1"/>
  <c r="Q3" i="22" a="1"/>
  <c r="Q2" i="36" a="1"/>
  <c r="P5" i="37" a="1"/>
  <c r="O9" i="28" a="1"/>
  <c r="O2" i="31" a="1"/>
  <c r="O3" i="23" a="1"/>
  <c r="O2" i="17" a="1"/>
  <c r="P3" i="39" a="1"/>
  <c r="Q2" i="28" a="1"/>
  <c r="P11" i="29" a="1"/>
  <c r="O10" i="34" a="1"/>
  <c r="O2" i="14" a="1"/>
  <c r="O9" i="40" a="1"/>
  <c r="P9" i="29" a="1"/>
  <c r="P3" i="43" a="1"/>
  <c r="O11" i="14" a="1"/>
  <c r="P11" i="36" a="1"/>
  <c r="Q10" i="38" a="1"/>
  <c r="P8" i="24" a="1"/>
  <c r="O3" i="43" a="1"/>
  <c r="O4" i="20" a="1"/>
  <c r="Q2" i="40" a="1"/>
  <c r="O3" i="39" a="1"/>
  <c r="O2" i="43" a="1"/>
  <c r="P8" i="32" a="1"/>
  <c r="O9" i="36" a="1"/>
  <c r="P8" i="27" a="1"/>
  <c r="Q10" i="32" a="1"/>
  <c r="O11" i="11" a="1"/>
  <c r="P11" i="19" a="1"/>
  <c r="P8" i="16" a="1"/>
  <c r="O11" i="35" a="1"/>
  <c r="P10" i="27" a="1"/>
  <c r="P11" i="26" a="1"/>
  <c r="P9" i="20" a="1"/>
  <c r="P4" i="11" a="1"/>
  <c r="O10" i="14" a="1"/>
  <c r="P8" i="19" a="1"/>
  <c r="P4" i="23" a="1"/>
  <c r="O11" i="29" a="1"/>
  <c r="P8" i="15" a="1"/>
  <c r="Q7" i="29" a="1"/>
  <c r="P8" i="37" a="1"/>
  <c r="O8" i="29" a="1"/>
  <c r="Q10" i="17" a="1"/>
  <c r="O4" i="23" a="1"/>
  <c r="P8" i="30" a="1"/>
  <c r="Q4" i="27" a="1"/>
  <c r="O8" i="22" a="1"/>
  <c r="O8" i="31" a="1"/>
  <c r="P8" i="34" a="1"/>
  <c r="Q9" i="23" a="1"/>
  <c r="O2" i="35" a="1"/>
  <c r="P9" i="14" a="1"/>
  <c r="O10" i="42" a="1"/>
  <c r="Q4" i="40" a="1"/>
  <c r="P3" i="20" a="1"/>
  <c r="Q3" i="38" a="1"/>
  <c r="O2" i="11" a="1"/>
  <c r="Q2" i="15" a="1"/>
  <c r="Q4" i="20" a="1"/>
  <c r="P4" i="20" a="1"/>
  <c r="O3" i="27" a="1"/>
  <c r="Q4" i="22" a="1"/>
  <c r="P11" i="20" a="1"/>
  <c r="O3" i="29" a="1"/>
  <c r="O9" i="35" a="1"/>
  <c r="O4" i="38" a="1"/>
  <c r="P9" i="40" a="1"/>
  <c r="P5" i="26" a="1"/>
  <c r="Q2" i="30" a="1"/>
  <c r="O4" i="41" a="1"/>
  <c r="P3" i="22" a="1"/>
  <c r="O2" i="36" a="1"/>
  <c r="Q2" i="41" a="1"/>
  <c r="Q10" i="30" a="1"/>
  <c r="O4" i="19" a="1"/>
  <c r="O8" i="40" a="1"/>
  <c r="P10" i="15" a="1"/>
  <c r="Q7" i="42" a="1"/>
  <c r="P8" i="31" a="1"/>
  <c r="P3" i="26" a="1"/>
  <c r="P9" i="21" a="1"/>
  <c r="O10" i="11" a="1"/>
  <c r="Q3" i="33" a="1"/>
  <c r="O10" i="26" a="1"/>
  <c r="O4" i="27" a="1"/>
  <c r="O10" i="30" a="1"/>
  <c r="O9" i="17" a="1"/>
  <c r="P3" i="27" a="1"/>
  <c r="O3" i="17" a="1"/>
  <c r="O9" i="19" a="1"/>
  <c r="Q7" i="35" a="1"/>
  <c r="P9" i="35" a="1"/>
  <c r="O2" i="34" a="1"/>
  <c r="Q3" i="39" a="1"/>
  <c r="O8" i="17" a="1"/>
  <c r="Q7" i="20" a="1"/>
  <c r="Q4" i="19" a="1"/>
  <c r="O5" i="19" a="1"/>
  <c r="Q9" i="17" a="1"/>
  <c r="P8" i="17" a="1"/>
  <c r="Q2" i="24" a="1"/>
  <c r="O8" i="42" a="1"/>
  <c r="P11" i="23" a="1"/>
  <c r="O2" i="32" a="1"/>
  <c r="P5" i="30" a="1"/>
  <c r="P5" i="36" a="1"/>
  <c r="O2" i="39" a="1"/>
  <c r="Q10" i="35" a="1"/>
  <c r="Q3" i="26" a="1"/>
  <c r="O10" i="32" a="1"/>
  <c r="Q2" i="22" a="1"/>
  <c r="Q4" i="15" a="1"/>
  <c r="Q4" i="41" a="1"/>
  <c r="P5" i="14" a="1"/>
  <c r="P3" i="42" a="1"/>
  <c r="Q9" i="15" a="1"/>
  <c r="Q9" i="29" a="1"/>
  <c r="P11" i="28" a="1"/>
  <c r="P3" i="34" a="1"/>
  <c r="O4" i="22" a="1"/>
  <c r="Q7" i="23" a="1"/>
  <c r="Q2" i="32" a="1"/>
  <c r="P9" i="23" a="1"/>
  <c r="Q7" i="14" a="1"/>
  <c r="P5" i="40" a="1"/>
  <c r="P9" i="15" a="1"/>
  <c r="Q4" i="30" a="1"/>
  <c r="Q9" i="33" a="1"/>
  <c r="Q7" i="17" a="1"/>
  <c r="O5" i="17" a="1"/>
  <c r="O11" i="30" a="1"/>
  <c r="O8" i="14" a="1"/>
  <c r="O11" i="22" a="1"/>
  <c r="Q7" i="21" a="1"/>
  <c r="Q2" i="26" a="1"/>
  <c r="O11" i="40" a="1"/>
  <c r="O4" i="15" a="1"/>
  <c r="P8" i="26" a="1"/>
  <c r="O4" i="30" a="1"/>
  <c r="P10" i="35" a="1"/>
  <c r="O10" i="35" a="1"/>
  <c r="P4" i="39" a="1"/>
  <c r="P10" i="34" a="1"/>
  <c r="O5" i="31" a="1"/>
  <c r="O3" i="34" a="1"/>
  <c r="O11" i="17" a="1"/>
  <c r="O4" i="34" a="1"/>
  <c r="O10" i="17" a="1"/>
  <c r="P11" i="16" a="1"/>
  <c r="P4" i="35" a="1"/>
  <c r="Q9" i="21" a="1"/>
  <c r="O11" i="24" a="1"/>
  <c r="O4" i="14" a="1"/>
  <c r="O11" i="39" a="1"/>
  <c r="O8" i="30" a="1"/>
  <c r="Q9" i="30" a="1"/>
  <c r="P8" i="39" a="1"/>
  <c r="Q4" i="37" a="1"/>
  <c r="Q3" i="37" a="1"/>
  <c r="P11" i="40" a="1"/>
  <c r="Q4" i="23" a="1"/>
  <c r="Q3" i="27" a="1"/>
  <c r="Q2" i="37" a="1"/>
  <c r="P10" i="11" a="1"/>
  <c r="O9" i="22" a="1"/>
  <c r="O3" i="16" a="1"/>
  <c r="P9" i="39" a="1"/>
  <c r="P8" i="42" a="1"/>
  <c r="O5" i="11" a="1"/>
  <c r="Q7" i="32" a="1"/>
  <c r="P9" i="30" a="1"/>
  <c r="O2" i="26" a="1"/>
  <c r="Q3" i="23" a="1"/>
  <c r="P5" i="29" a="1"/>
  <c r="P3" i="24" a="1"/>
  <c r="O3" i="38" a="1"/>
  <c r="O9" i="30" a="1"/>
  <c r="Q7" i="16" a="1"/>
  <c r="P10" i="28" a="1"/>
  <c r="P10" i="32" a="1"/>
  <c r="Q4" i="34" a="1"/>
  <c r="Q7" i="36" a="1"/>
  <c r="O9" i="11" a="1"/>
  <c r="O5" i="30" a="1"/>
  <c r="P5" i="24" a="1"/>
  <c r="Q4" i="38" a="1"/>
  <c r="Q2" i="34" a="1"/>
  <c r="O3" i="20" a="1"/>
  <c r="Q10" i="41" a="1"/>
  <c r="O10" i="15" a="1"/>
  <c r="P8" i="43" a="1"/>
  <c r="O4" i="36" a="1"/>
  <c r="Q3" i="29" a="1"/>
  <c r="O11" i="34" a="1"/>
  <c r="O2" i="19" a="1"/>
  <c r="P8" i="40" a="1"/>
  <c r="Q7" i="30" a="1"/>
  <c r="P10" i="42" a="1"/>
  <c r="P11" i="30" a="1"/>
  <c r="O8" i="27" a="1"/>
  <c r="Q10" i="36" a="1"/>
  <c r="Q9" i="20" a="1"/>
  <c r="P4" i="14" a="1"/>
  <c r="O2" i="41" a="1"/>
  <c r="O2" i="27" a="1"/>
  <c r="Q4" i="11" a="1"/>
  <c r="O2" i="15" a="1"/>
  <c r="O4" i="24" a="1"/>
  <c r="O2" i="40" a="1"/>
  <c r="P3" i="32" a="1"/>
  <c r="O11" i="26" a="1"/>
  <c r="Q3" i="40" a="1"/>
  <c r="O11" i="19" a="1"/>
  <c r="O3" i="22" a="1"/>
  <c r="O5" i="22" a="1"/>
  <c r="O8" i="11" a="1"/>
  <c r="O2" i="16" a="1"/>
  <c r="Q9" i="38" a="1"/>
  <c r="O5" i="21" a="1"/>
  <c r="Q3" i="41" a="1"/>
  <c r="Q10" i="31" a="1"/>
  <c r="P10" i="23" a="1"/>
  <c r="O2" i="37" a="1"/>
  <c r="O3" i="30" a="1"/>
  <c r="O3" i="31" a="1"/>
  <c r="O5" i="38" a="1"/>
  <c r="O9" i="32" a="1"/>
  <c r="P8" i="11" a="1"/>
  <c r="Q4" i="39" a="1"/>
  <c r="Q10" i="14" a="1"/>
  <c r="O11" i="43" a="1"/>
  <c r="P8" i="29" a="1"/>
  <c r="Q4" i="35" a="1"/>
  <c r="Q10" i="24" a="1"/>
  <c r="P5" i="33" a="1"/>
  <c r="Q10" i="39" a="1"/>
  <c r="O3" i="28" a="1"/>
  <c r="P9" i="32" a="1"/>
  <c r="P5" i="21" a="1"/>
  <c r="P4" i="17" a="1"/>
  <c r="Q9" i="22" a="1"/>
  <c r="Q7" i="43" a="1"/>
  <c r="P10" i="14" a="1"/>
  <c r="P4" i="36" a="1"/>
  <c r="O3" i="33" a="1"/>
  <c r="O5" i="43" a="1"/>
  <c r="Q9" i="26" a="1"/>
  <c r="P10" i="19" a="1"/>
  <c r="Q2" i="19" a="1"/>
  <c r="Q9" i="34" a="1"/>
  <c r="O9" i="16" a="1"/>
  <c r="Q9" i="19" a="1"/>
  <c r="P5" i="27" a="1"/>
  <c r="P4" i="27" a="1"/>
  <c r="Q4" i="32" a="1"/>
  <c r="P8" i="20" a="1"/>
  <c r="O9" i="31" a="1"/>
  <c r="P5" i="15" a="1"/>
  <c r="O8" i="43" a="1"/>
  <c r="P5" i="38" a="1"/>
  <c r="Q9" i="43" a="1"/>
  <c r="P3" i="35" a="1"/>
  <c r="O3" i="19" a="1"/>
  <c r="O3" i="11" a="1"/>
  <c r="O9" i="27" a="1"/>
  <c r="O3" i="36" a="1"/>
  <c r="O9" i="38" a="1"/>
  <c r="P10" i="20" a="1"/>
  <c r="O5" i="23" a="1"/>
  <c r="Q3" i="32" a="1"/>
  <c r="Q9" i="39" a="1"/>
  <c r="O5" i="16" a="1"/>
  <c r="O3" i="40" a="1"/>
  <c r="P5" i="16" a="1"/>
  <c r="O10" i="39" a="1"/>
  <c r="P11" i="27" a="1"/>
  <c r="O2" i="28" a="1"/>
  <c r="O4" i="40" a="1"/>
  <c r="O8" i="37" a="1"/>
  <c r="Q7" i="39" a="1"/>
  <c r="O2" i="23" a="1"/>
  <c r="O10" i="27" a="1"/>
  <c r="O4" i="29" a="1"/>
  <c r="O8" i="34" a="1"/>
  <c r="Q10" i="21" a="1"/>
  <c r="P4" i="40" a="1"/>
  <c r="O8" i="15" a="1"/>
  <c r="P5" i="39" a="1"/>
  <c r="Q4" i="24" a="1"/>
  <c r="P4" i="37" a="1"/>
  <c r="P5" i="28" a="1"/>
  <c r="P9" i="38" a="1"/>
  <c r="Q7" i="37" a="1"/>
  <c r="P5" i="34" a="1"/>
  <c r="O2" i="20" a="1"/>
  <c r="O11" i="16" a="1"/>
  <c r="O5" i="28" a="1"/>
  <c r="P4" i="33" a="1"/>
  <c r="P3" i="16" a="1"/>
  <c r="O4" i="16" a="1"/>
  <c r="O9" i="43" a="1"/>
  <c r="O4" i="33" a="1"/>
  <c r="O4" i="31" a="1"/>
  <c r="Q3" i="30" a="1"/>
  <c r="O3" i="35" a="1"/>
  <c r="P9" i="33" a="1"/>
  <c r="O8" i="33" a="1"/>
  <c r="O5" i="41" a="1"/>
  <c r="P9" i="41" a="1"/>
  <c r="P8" i="35" a="1"/>
  <c r="Q7" i="22" a="1"/>
  <c r="P11" i="21" a="1"/>
  <c r="O9" i="23" a="1"/>
  <c r="O9" i="24" a="1"/>
  <c r="O2" i="33" a="1"/>
  <c r="Q7" i="34" a="1"/>
  <c r="P3" i="41" a="1"/>
  <c r="O11" i="27" a="1"/>
  <c r="P3" i="31" a="1"/>
  <c r="Q10" i="37" a="1"/>
  <c r="Q10" i="42" a="1"/>
  <c r="P9" i="31" a="1"/>
  <c r="Q10" i="11" a="1"/>
  <c r="Q10" i="23" a="1"/>
  <c r="Q10" i="26" a="1"/>
  <c r="P10" i="21" a="1"/>
  <c r="Q10" i="28" a="1"/>
  <c r="O9" i="34" a="1"/>
  <c r="Q3" i="31" a="1"/>
  <c r="O5" i="15" a="1"/>
  <c r="Q3" i="19" a="1"/>
  <c r="O9" i="26" a="1"/>
  <c r="O8" i="21" a="1"/>
  <c r="Q9" i="42" a="1"/>
  <c r="P3" i="37" a="1"/>
  <c r="O8" i="20" a="1"/>
  <c r="O10" i="37" a="1"/>
  <c r="Q4" i="26" a="1"/>
  <c r="O5" i="32" a="1"/>
  <c r="P10" i="41" a="1"/>
  <c r="O3" i="14" a="1"/>
  <c r="Q3" i="34" a="1"/>
  <c r="O8" i="35" a="1"/>
  <c r="O2" i="24" a="1"/>
  <c r="P9" i="43" a="1"/>
  <c r="Q9" i="16" a="1"/>
  <c r="P10" i="43" a="1"/>
  <c r="P8" i="36" a="1"/>
  <c r="O2" i="30" a="1"/>
  <c r="P4" i="31" a="1"/>
  <c r="P8" i="28" a="1"/>
  <c r="O3" i="26" a="1"/>
  <c r="P3" i="28" a="1"/>
  <c r="O9" i="15" a="1"/>
  <c r="Q2" i="27" a="1"/>
  <c r="O10" i="24" a="1"/>
  <c r="Q4" i="31" a="1"/>
  <c r="P3" i="38" a="1"/>
  <c r="O10" i="21" a="1"/>
  <c r="Q7" i="26" a="1"/>
  <c r="Q9" i="37" a="1"/>
  <c r="P8" i="33" a="1"/>
  <c r="Q10" i="16" a="1"/>
  <c r="O8" i="24" a="1"/>
  <c r="Q9" i="14" a="1"/>
  <c r="P11" i="41" a="1"/>
  <c r="Q4" i="43" a="1"/>
  <c r="Q10" i="20" a="1"/>
  <c r="Q2" i="23" a="1"/>
  <c r="Q3" i="16" a="1"/>
  <c r="O8" i="38" a="1"/>
  <c r="O10" i="22" a="1"/>
  <c r="P11" i="39" a="1"/>
  <c r="P5" i="41" a="1"/>
  <c r="O4" i="35" a="1"/>
  <c r="P10" i="29" a="1"/>
  <c r="Q9" i="31" a="1"/>
  <c r="Q10" i="19" a="1"/>
  <c r="P9" i="17" a="1"/>
  <c r="Q10" i="29" a="1"/>
  <c r="Q7" i="24" a="1"/>
  <c r="P11" i="37" a="1"/>
  <c r="O10" i="38" a="1"/>
  <c r="O4" i="21" a="1"/>
  <c r="O10" i="33" a="1"/>
  <c r="Q3" i="35" a="1"/>
  <c r="P4" i="43" a="1"/>
  <c r="P11" i="24" a="1"/>
  <c r="Q3" i="20" a="1"/>
  <c r="P8" i="22" a="1"/>
  <c r="O8" i="32" a="1"/>
  <c r="Q2" i="38" a="1"/>
  <c r="Q7" i="27" a="1"/>
  <c r="P9" i="28" a="1"/>
  <c r="P10" i="24" a="1"/>
  <c r="Q3" i="21" a="1"/>
  <c r="P9" i="26" a="1"/>
  <c r="O5" i="24" a="1"/>
  <c r="O2" i="42" a="1"/>
  <c r="Q4" i="21" a="1"/>
  <c r="P3" i="14" a="1"/>
  <c r="P3" i="15" a="1"/>
  <c r="O11" i="15" a="1"/>
  <c r="P10" i="30" a="1"/>
  <c r="P4" i="22" a="1"/>
  <c r="P4" i="21" a="1"/>
  <c r="O11" i="20" a="1"/>
  <c r="Q9" i="36" a="1"/>
  <c r="Q7" i="31" a="1"/>
  <c r="O4" i="43" a="1"/>
  <c r="O5" i="33" a="1"/>
  <c r="O3" i="37" a="1"/>
  <c r="O4" i="37" a="1"/>
  <c r="Q9" i="40" a="1"/>
  <c r="P5" i="19" a="1"/>
  <c r="P11" i="32" a="1"/>
  <c r="O9" i="14" a="1"/>
  <c r="O5" i="26" a="1"/>
  <c r="O5" i="36" a="1"/>
  <c r="P4" i="19" a="1"/>
  <c r="O4" i="32" a="1"/>
  <c r="Q10" i="15" a="1"/>
  <c r="Q3" i="43" a="1"/>
  <c r="P8" i="21" a="1"/>
  <c r="O8" i="41" a="1"/>
  <c r="O4" i="26" a="1"/>
  <c r="O9" i="20" a="1"/>
  <c r="Q9" i="28" a="1"/>
  <c r="Q2" i="42" a="1"/>
  <c r="Q2" i="17" a="1"/>
  <c r="P4" i="41" a="1"/>
  <c r="O11" i="37" a="1"/>
  <c r="P4" i="34" a="1"/>
  <c r="P11" i="14" a="1"/>
  <c r="O9" i="29" a="1"/>
  <c r="O5" i="27" a="1"/>
  <c r="Q2" i="29" a="1"/>
  <c r="P9" i="34" a="1"/>
  <c r="O2" i="29" a="1"/>
  <c r="Q3" i="36" a="1"/>
  <c r="O10" i="40" a="1"/>
  <c r="P5" i="35" a="1"/>
  <c r="O10" i="28" a="1"/>
  <c r="P9" i="22" a="1"/>
  <c r="Q2" i="39" a="1"/>
  <c r="Q10" i="33" a="1"/>
  <c r="Q2" i="14" a="1"/>
  <c r="Q2" i="31" a="1"/>
  <c r="P5" i="11" a="1"/>
  <c r="Q3" i="42" a="1"/>
  <c r="Q7" i="33" a="1"/>
  <c r="P4" i="30" a="1"/>
  <c r="O5" i="37" a="1"/>
  <c r="P3" i="11" a="1"/>
  <c r="O11" i="33" a="1"/>
  <c r="Q4" i="14" a="1"/>
  <c r="P5" i="22" a="1"/>
  <c r="P9" i="24" a="1"/>
  <c r="Q3" i="24" a="1"/>
  <c r="P3" i="17" a="1"/>
  <c r="P4" i="42" a="1"/>
  <c r="Q10" i="22" a="1"/>
  <c r="P9" i="42" a="1"/>
  <c r="O4" i="28" a="1"/>
  <c r="P5" i="43" a="1"/>
  <c r="P10" i="17" a="1"/>
  <c r="P10" i="40" a="1"/>
  <c r="P11" i="33" a="1"/>
  <c r="Q7" i="28" a="1"/>
  <c r="Q10" i="27" a="1"/>
  <c r="P3" i="19" a="1"/>
  <c r="O5" i="34" a="1"/>
  <c r="O4" i="11" a="1"/>
  <c r="P5" i="20" a="1"/>
  <c r="O4" i="39" a="1"/>
  <c r="P10" i="31" a="1"/>
  <c r="O10" i="19" a="1"/>
  <c r="O2" i="38" a="1"/>
  <c r="O8" i="16" a="1"/>
  <c r="P11" i="42" a="1"/>
  <c r="O10" i="41" a="1"/>
  <c r="Q7" i="38" a="1"/>
  <c r="O8" i="28" a="1"/>
  <c r="Q3" i="11" a="1"/>
  <c r="P5" i="32" a="1"/>
  <c r="Q2" i="11" a="1"/>
  <c r="Q2" i="33" a="1"/>
  <c r="O3" i="24" a="1"/>
  <c r="P10" i="16" a="1"/>
  <c r="O3" i="32" a="1"/>
  <c r="O10" i="23" a="1"/>
  <c r="P8" i="38" a="1"/>
  <c r="P3" i="29" a="1"/>
  <c r="P5" i="23" a="1"/>
  <c r="Q2" i="21" a="1"/>
  <c r="P9" i="16" a="1"/>
  <c r="P10" i="22" a="1"/>
  <c r="P5" i="42" a="1"/>
  <c r="P3" i="33" a="1"/>
  <c r="P9" i="11" a="1"/>
  <c r="O8" i="19" a="1"/>
  <c r="P11" i="35" a="1"/>
  <c r="O11" i="41" a="1"/>
  <c r="Q2" i="43" a="1"/>
  <c r="P8" i="41" a="1"/>
  <c r="O9" i="37" a="1"/>
  <c r="P11" i="11" a="1"/>
  <c r="O11" i="38" a="1"/>
  <c r="P3" i="23" a="1"/>
  <c r="Q7" i="41" a="1"/>
  <c r="P3" i="30" a="1"/>
  <c r="P4" i="28" a="1"/>
  <c r="P11" i="15" a="1"/>
  <c r="P5" i="17" a="1"/>
  <c r="O3" i="42" a="1"/>
  <c r="P9" i="37" a="1"/>
  <c r="O3" i="15" a="1"/>
  <c r="Q9" i="24" a="1"/>
  <c r="P11" i="34" a="1"/>
  <c r="Q9" i="41" a="1"/>
  <c r="P11" i="43" a="1"/>
  <c r="P9" i="27" a="1"/>
  <c r="O2" i="21" a="1"/>
  <c r="Q4" i="42" a="1"/>
  <c r="P10" i="37" a="1"/>
  <c r="O3" i="21" a="1"/>
  <c r="P10" i="39" a="1"/>
  <c r="O5" i="14" a="1"/>
  <c r="O3" i="41" a="1"/>
  <c r="O10" i="20" a="1"/>
  <c r="Q9" i="27" a="1"/>
  <c r="O5" i="42" a="1"/>
  <c r="Q3" i="15" a="1"/>
  <c r="O8" i="26" a="1"/>
  <c r="O9" i="39" a="1"/>
  <c r="Q3" i="14" a="1"/>
  <c r="P4" i="29" a="1"/>
  <c r="O11" i="42" a="1"/>
  <c r="O10" i="16" a="1"/>
  <c r="Q9" i="35" a="1"/>
  <c r="O5" i="20" a="1"/>
  <c r="Q2" i="35" a="1"/>
  <c r="Q4" i="36" a="1"/>
  <c r="Q7" i="15" a="1"/>
  <c r="Q4" i="33" a="1"/>
  <c r="Q2" i="20" a="1"/>
  <c r="Q10" i="43" a="1"/>
  <c r="O9" i="21" a="1"/>
  <c r="P11" i="22" a="1"/>
  <c r="P10" i="33" a="1"/>
  <c r="O5" i="39" a="1"/>
  <c r="P10" i="38" a="1"/>
  <c r="P10" i="36" a="1"/>
  <c r="P8" i="14" a="1"/>
  <c r="Q9" i="32" a="1"/>
  <c r="O9" i="41" a="1"/>
  <c r="O11" i="21" a="1"/>
  <c r="Q3" i="28" a="1"/>
  <c r="Q10" i="40" a="1"/>
  <c r="P11" i="17" a="1"/>
  <c r="P3" i="40" a="1"/>
  <c r="Q9" i="11" a="1"/>
  <c r="Q7" i="19" a="1"/>
  <c r="O10" i="43" a="1"/>
  <c r="G4" i="18" l="1"/>
  <c r="L4" i="18" s="1"/>
  <c r="N4" i="18" s="1"/>
  <c r="F5" i="18"/>
  <c r="F3" i="18" s="1"/>
  <c r="K10" i="18"/>
  <c r="L10" i="18" s="1"/>
  <c r="H6" i="18"/>
  <c r="Q8" i="18"/>
  <c r="C2" i="18"/>
  <c r="C17" i="18" s="1"/>
  <c r="D2" i="18"/>
  <c r="K9" i="18"/>
  <c r="F5" i="35"/>
  <c r="F3" i="35" s="1"/>
  <c r="F5" i="17"/>
  <c r="F5" i="38"/>
  <c r="F5" i="27"/>
  <c r="Q4" i="19"/>
  <c r="Q3" i="19"/>
  <c r="O5" i="42"/>
  <c r="O2" i="22"/>
  <c r="Q10" i="20"/>
  <c r="P8" i="36"/>
  <c r="P10" i="22"/>
  <c r="O10" i="33"/>
  <c r="O11" i="41"/>
  <c r="O5" i="20"/>
  <c r="P4" i="23"/>
  <c r="P4" i="26"/>
  <c r="Q4" i="42"/>
  <c r="Q10" i="28"/>
  <c r="P5" i="22"/>
  <c r="Q3" i="14"/>
  <c r="Q10" i="27"/>
  <c r="O4" i="37"/>
  <c r="P3" i="32"/>
  <c r="P9" i="24"/>
  <c r="P3" i="26"/>
  <c r="O3" i="26"/>
  <c r="Q4" i="11"/>
  <c r="P9" i="28"/>
  <c r="O9" i="30"/>
  <c r="O2" i="14"/>
  <c r="O10" i="30"/>
  <c r="P3" i="14"/>
  <c r="P11" i="11"/>
  <c r="O2" i="26"/>
  <c r="Q2" i="28"/>
  <c r="O10" i="16"/>
  <c r="P9" i="36"/>
  <c r="O11" i="29"/>
  <c r="P10" i="31"/>
  <c r="O2" i="36"/>
  <c r="O4" i="36"/>
  <c r="P8" i="26"/>
  <c r="Q10" i="15"/>
  <c r="Q10" i="24"/>
  <c r="O11" i="39"/>
  <c r="O10" i="37"/>
  <c r="P11" i="37"/>
  <c r="Q7" i="38"/>
  <c r="P4" i="16"/>
  <c r="O8" i="17"/>
  <c r="Q10" i="39"/>
  <c r="P3" i="30"/>
  <c r="O4" i="20"/>
  <c r="O4" i="21"/>
  <c r="Q2" i="23"/>
  <c r="O5" i="15"/>
  <c r="P11" i="34"/>
  <c r="P5" i="40"/>
  <c r="O3" i="17"/>
  <c r="P5" i="26"/>
  <c r="P10" i="37"/>
  <c r="Q2" i="43"/>
  <c r="Q4" i="22"/>
  <c r="Q10" i="11"/>
  <c r="Q2" i="14"/>
  <c r="O11" i="24"/>
  <c r="Q7" i="16"/>
  <c r="Q7" i="43"/>
  <c r="Q10" i="26"/>
  <c r="P8" i="33"/>
  <c r="P8" i="34"/>
  <c r="P11" i="33"/>
  <c r="Q2" i="33"/>
  <c r="Q3" i="17"/>
  <c r="O4" i="27"/>
  <c r="P5" i="24"/>
  <c r="P10" i="39"/>
  <c r="O2" i="43"/>
  <c r="Q4" i="27"/>
  <c r="Q7" i="30"/>
  <c r="Q4" i="34"/>
  <c r="P5" i="41"/>
  <c r="O10" i="29"/>
  <c r="P8" i="16"/>
  <c r="P11" i="17"/>
  <c r="O2" i="31"/>
  <c r="P4" i="34"/>
  <c r="Q2" i="36"/>
  <c r="P8" i="23"/>
  <c r="O11" i="42"/>
  <c r="Q9" i="40"/>
  <c r="O9" i="29"/>
  <c r="Q2" i="21"/>
  <c r="P11" i="26"/>
  <c r="O2" i="28"/>
  <c r="O3" i="22"/>
  <c r="Q2" i="42"/>
  <c r="P10" i="19"/>
  <c r="P10" i="15"/>
  <c r="Q2" i="32"/>
  <c r="O9" i="43"/>
  <c r="P4" i="32"/>
  <c r="O4" i="24"/>
  <c r="O5" i="30"/>
  <c r="P5" i="19"/>
  <c r="P4" i="42"/>
  <c r="Q3" i="38"/>
  <c r="O3" i="41"/>
  <c r="P3" i="33"/>
  <c r="Q10" i="19"/>
  <c r="Q9" i="35"/>
  <c r="Q3" i="11"/>
  <c r="Q3" i="35"/>
  <c r="O10" i="15"/>
  <c r="O2" i="41"/>
  <c r="Q4" i="20"/>
  <c r="P3" i="17"/>
  <c r="O9" i="33"/>
  <c r="P11" i="27"/>
  <c r="O5" i="16"/>
  <c r="O9" i="26"/>
  <c r="P8" i="19"/>
  <c r="P10" i="41"/>
  <c r="P3" i="31"/>
  <c r="O3" i="23"/>
  <c r="O9" i="24"/>
  <c r="P9" i="41"/>
  <c r="P3" i="23"/>
  <c r="O11" i="16"/>
  <c r="O3" i="31"/>
  <c r="O11" i="38"/>
  <c r="P11" i="30"/>
  <c r="P8" i="43"/>
  <c r="P5" i="17"/>
  <c r="Q3" i="20"/>
  <c r="Q2" i="11"/>
  <c r="Q2" i="22"/>
  <c r="P10" i="30"/>
  <c r="Q3" i="40"/>
  <c r="O8" i="23"/>
  <c r="O11" i="26"/>
  <c r="Q4" i="38"/>
  <c r="O10" i="21"/>
  <c r="P9" i="11"/>
  <c r="P5" i="31"/>
  <c r="Q7" i="23"/>
  <c r="O5" i="24"/>
  <c r="Q7" i="22"/>
  <c r="O3" i="20"/>
  <c r="O5" i="11"/>
  <c r="Q9" i="28"/>
  <c r="Q9" i="31"/>
  <c r="O2" i="38"/>
  <c r="P5" i="29"/>
  <c r="P8" i="15"/>
  <c r="P9" i="43"/>
  <c r="P5" i="28"/>
  <c r="Q4" i="21"/>
  <c r="Q7" i="36"/>
  <c r="P3" i="29"/>
  <c r="Q3" i="23"/>
  <c r="O9" i="31"/>
  <c r="P10" i="26"/>
  <c r="P10" i="32"/>
  <c r="O2" i="24"/>
  <c r="P10" i="34"/>
  <c r="O5" i="28"/>
  <c r="P4" i="35"/>
  <c r="P3" i="39"/>
  <c r="Q7" i="26"/>
  <c r="P10" i="42"/>
  <c r="P4" i="31"/>
  <c r="P9" i="34"/>
  <c r="P9" i="27"/>
  <c r="P9" i="39"/>
  <c r="O2" i="35"/>
  <c r="P3" i="20"/>
  <c r="Q4" i="15"/>
  <c r="O10" i="31"/>
  <c r="O11" i="37"/>
  <c r="O4" i="33"/>
  <c r="O2" i="32"/>
  <c r="Q9" i="41"/>
  <c r="P11" i="22"/>
  <c r="Q7" i="20"/>
  <c r="P4" i="24"/>
  <c r="P3" i="42"/>
  <c r="O10" i="43"/>
  <c r="Q2" i="39"/>
  <c r="P11" i="16"/>
  <c r="Q2" i="20"/>
  <c r="P9" i="14"/>
  <c r="O2" i="34"/>
  <c r="Q2" i="30"/>
  <c r="P4" i="20"/>
  <c r="O5" i="41"/>
  <c r="O3" i="28"/>
  <c r="P8" i="32"/>
  <c r="P11" i="21"/>
  <c r="P3" i="28"/>
  <c r="P9" i="17"/>
  <c r="P9" i="15"/>
  <c r="P5" i="15"/>
  <c r="O8" i="28"/>
  <c r="Q3" i="24"/>
  <c r="O8" i="19"/>
  <c r="P11" i="23"/>
  <c r="O4" i="29"/>
  <c r="P8" i="28"/>
  <c r="P10" i="23"/>
  <c r="O10" i="28"/>
  <c r="P4" i="14"/>
  <c r="O5" i="22"/>
  <c r="Q3" i="22"/>
  <c r="P10" i="35"/>
  <c r="Q9" i="39"/>
  <c r="O11" i="11"/>
  <c r="O8" i="42"/>
  <c r="Q4" i="32"/>
  <c r="P8" i="22"/>
  <c r="O4" i="19"/>
  <c r="O4" i="17"/>
  <c r="Q9" i="36"/>
  <c r="O8" i="32"/>
  <c r="O2" i="20"/>
  <c r="P10" i="24"/>
  <c r="Q9" i="19"/>
  <c r="Q3" i="21"/>
  <c r="Q7" i="32"/>
  <c r="Q7" i="21"/>
  <c r="P11" i="31"/>
  <c r="O3" i="16"/>
  <c r="O4" i="30"/>
  <c r="O10" i="42"/>
  <c r="O10" i="23"/>
  <c r="Q9" i="16"/>
  <c r="P4" i="22"/>
  <c r="P11" i="28"/>
  <c r="O3" i="42"/>
  <c r="Q3" i="33"/>
  <c r="Q2" i="15"/>
  <c r="O8" i="34"/>
  <c r="O5" i="43"/>
  <c r="P11" i="19"/>
  <c r="Q4" i="33"/>
  <c r="Q10" i="22"/>
  <c r="O8" i="30"/>
  <c r="P10" i="14"/>
  <c r="P8" i="29"/>
  <c r="O4" i="28"/>
  <c r="O5" i="35"/>
  <c r="P5" i="42"/>
  <c r="P3" i="43"/>
  <c r="P10" i="11"/>
  <c r="O2" i="23"/>
  <c r="P5" i="35"/>
  <c r="P11" i="29"/>
  <c r="P4" i="21"/>
  <c r="O3" i="40"/>
  <c r="P4" i="30"/>
  <c r="P11" i="41"/>
  <c r="P9" i="35"/>
  <c r="O10" i="40"/>
  <c r="Q3" i="29"/>
  <c r="Q4" i="35"/>
  <c r="Q7" i="37"/>
  <c r="P9" i="29"/>
  <c r="P5" i="32"/>
  <c r="O11" i="28"/>
  <c r="P3" i="19"/>
  <c r="O2" i="11"/>
  <c r="Q9" i="37"/>
  <c r="Q7" i="14"/>
  <c r="O9" i="23"/>
  <c r="O10" i="32"/>
  <c r="P5" i="36"/>
  <c r="P4" i="39"/>
  <c r="P3" i="41"/>
  <c r="O9" i="16"/>
  <c r="Q3" i="32"/>
  <c r="P4" i="19"/>
  <c r="Q10" i="17"/>
  <c r="Q9" i="38"/>
  <c r="O4" i="38"/>
  <c r="Q10" i="35"/>
  <c r="P4" i="17"/>
  <c r="P3" i="24"/>
  <c r="Q7" i="42"/>
  <c r="O5" i="19"/>
  <c r="O5" i="38"/>
  <c r="O4" i="39"/>
  <c r="Q9" i="27"/>
  <c r="Q9" i="43"/>
  <c r="O4" i="22"/>
  <c r="O2" i="17"/>
  <c r="Q4" i="28"/>
  <c r="P3" i="38"/>
  <c r="Q2" i="40"/>
  <c r="Q7" i="34"/>
  <c r="P4" i="33"/>
  <c r="P11" i="20"/>
  <c r="Q9" i="34"/>
  <c r="Q10" i="41"/>
  <c r="O10" i="41"/>
  <c r="Q3" i="16"/>
  <c r="Q2" i="27"/>
  <c r="Q10" i="36"/>
  <c r="O8" i="22"/>
  <c r="O2" i="39"/>
  <c r="O5" i="32"/>
  <c r="Q10" i="40"/>
  <c r="O8" i="35"/>
  <c r="O9" i="19"/>
  <c r="P9" i="38"/>
  <c r="O8" i="26"/>
  <c r="P8" i="42"/>
  <c r="P8" i="41"/>
  <c r="Q9" i="15"/>
  <c r="P5" i="21"/>
  <c r="O9" i="21"/>
  <c r="O3" i="35"/>
  <c r="Q7" i="19"/>
  <c r="Q9" i="22"/>
  <c r="Q2" i="26"/>
  <c r="O9" i="14"/>
  <c r="Q4" i="29"/>
  <c r="Q7" i="24"/>
  <c r="P8" i="35"/>
  <c r="O5" i="37"/>
  <c r="O11" i="14"/>
  <c r="O8" i="27"/>
  <c r="Q4" i="14"/>
  <c r="O4" i="23"/>
  <c r="P3" i="11"/>
  <c r="Q10" i="43"/>
  <c r="Q3" i="15"/>
  <c r="P11" i="43"/>
  <c r="P8" i="39"/>
  <c r="O8" i="41"/>
  <c r="O9" i="35"/>
  <c r="O8" i="39"/>
  <c r="Q10" i="21"/>
  <c r="P8" i="38"/>
  <c r="P11" i="35"/>
  <c r="Q10" i="38"/>
  <c r="Q3" i="28"/>
  <c r="P5" i="11"/>
  <c r="O8" i="21"/>
  <c r="P11" i="42"/>
  <c r="Q9" i="42"/>
  <c r="P4" i="27"/>
  <c r="Q3" i="31"/>
  <c r="P4" i="37"/>
  <c r="O11" i="19"/>
  <c r="P10" i="27"/>
  <c r="O2" i="15"/>
  <c r="Q10" i="30"/>
  <c r="O2" i="27"/>
  <c r="P8" i="40"/>
  <c r="P10" i="16"/>
  <c r="O11" i="33"/>
  <c r="O9" i="36"/>
  <c r="Q7" i="40"/>
  <c r="P11" i="15"/>
  <c r="O10" i="39"/>
  <c r="O3" i="36"/>
  <c r="P5" i="37"/>
  <c r="O10" i="35"/>
  <c r="Q7" i="39"/>
  <c r="O9" i="27"/>
  <c r="O3" i="14"/>
  <c r="O2" i="30"/>
  <c r="P10" i="28"/>
  <c r="P3" i="35"/>
  <c r="Q4" i="43"/>
  <c r="P5" i="27"/>
  <c r="O8" i="40"/>
  <c r="Q4" i="40"/>
  <c r="O10" i="38"/>
  <c r="Q7" i="29"/>
  <c r="P3" i="27"/>
  <c r="O5" i="21"/>
  <c r="O11" i="17"/>
  <c r="O5" i="31"/>
  <c r="O3" i="34"/>
  <c r="P5" i="20"/>
  <c r="P10" i="38"/>
  <c r="Q4" i="17"/>
  <c r="O8" i="14"/>
  <c r="O5" i="17"/>
  <c r="O8" i="24"/>
  <c r="Q9" i="17"/>
  <c r="Q10" i="29"/>
  <c r="O11" i="23"/>
  <c r="O3" i="32"/>
  <c r="O11" i="36"/>
  <c r="P5" i="23"/>
  <c r="P4" i="28"/>
  <c r="Q10" i="33"/>
  <c r="O10" i="22"/>
  <c r="O4" i="34"/>
  <c r="O10" i="34"/>
  <c r="P9" i="42"/>
  <c r="P9" i="19"/>
  <c r="Q9" i="21"/>
  <c r="O10" i="27"/>
  <c r="O10" i="36"/>
  <c r="O10" i="19"/>
  <c r="Q9" i="23"/>
  <c r="P9" i="16"/>
  <c r="O3" i="11"/>
  <c r="P9" i="32"/>
  <c r="Q10" i="16"/>
  <c r="Q3" i="30"/>
  <c r="O9" i="39"/>
  <c r="O4" i="40"/>
  <c r="O4" i="42"/>
  <c r="Q7" i="35"/>
  <c r="Q4" i="37"/>
  <c r="P10" i="20"/>
  <c r="P5" i="33"/>
  <c r="O3" i="38"/>
  <c r="Q10" i="37"/>
  <c r="Q3" i="27"/>
  <c r="P11" i="39"/>
  <c r="O2" i="19"/>
  <c r="O9" i="28"/>
  <c r="O9" i="37"/>
  <c r="O4" i="35"/>
  <c r="P11" i="40"/>
  <c r="Q3" i="43"/>
  <c r="P9" i="21"/>
  <c r="O11" i="43"/>
  <c r="Q3" i="41"/>
  <c r="P10" i="33"/>
  <c r="O4" i="41"/>
  <c r="P4" i="15"/>
  <c r="Q9" i="26"/>
  <c r="O3" i="39"/>
  <c r="Q7" i="27"/>
  <c r="P8" i="30"/>
  <c r="P4" i="11"/>
  <c r="Q2" i="41"/>
  <c r="Q4" i="30"/>
  <c r="Q10" i="32"/>
  <c r="O5" i="36"/>
  <c r="O3" i="15"/>
  <c r="Q4" i="23"/>
  <c r="O2" i="40"/>
  <c r="O9" i="41"/>
  <c r="P5" i="34"/>
  <c r="O2" i="37"/>
  <c r="O11" i="15"/>
  <c r="Q2" i="19"/>
  <c r="Q10" i="34"/>
  <c r="P8" i="24"/>
  <c r="O11" i="34"/>
  <c r="P10" i="40"/>
  <c r="Q10" i="42"/>
  <c r="O4" i="11"/>
  <c r="Q9" i="11"/>
  <c r="Q9" i="24"/>
  <c r="Q9" i="32"/>
  <c r="O11" i="35"/>
  <c r="O9" i="38"/>
  <c r="Q3" i="39"/>
  <c r="O8" i="43"/>
  <c r="P8" i="27"/>
  <c r="Q3" i="36"/>
  <c r="P3" i="37"/>
  <c r="P5" i="16"/>
  <c r="Q7" i="15"/>
  <c r="Q2" i="37"/>
  <c r="Q9" i="14"/>
  <c r="O2" i="29"/>
  <c r="Q4" i="16"/>
  <c r="P9" i="33"/>
  <c r="O9" i="15"/>
  <c r="O8" i="38"/>
  <c r="Q7" i="33"/>
  <c r="Q7" i="31"/>
  <c r="Q9" i="33"/>
  <c r="P9" i="37"/>
  <c r="P10" i="21"/>
  <c r="O3" i="30"/>
  <c r="P3" i="22"/>
  <c r="P4" i="38"/>
  <c r="P10" i="43"/>
  <c r="P4" i="36"/>
  <c r="P8" i="31"/>
  <c r="P10" i="29"/>
  <c r="P11" i="14"/>
  <c r="O9" i="17"/>
  <c r="O8" i="36"/>
  <c r="O11" i="31"/>
  <c r="O4" i="32"/>
  <c r="Q7" i="41"/>
  <c r="O9" i="20"/>
  <c r="P4" i="43"/>
  <c r="P8" i="21"/>
  <c r="Q7" i="11"/>
  <c r="Q2" i="38"/>
  <c r="O9" i="32"/>
  <c r="Q2" i="29"/>
  <c r="P3" i="34"/>
  <c r="Q2" i="16"/>
  <c r="P5" i="38"/>
  <c r="O10" i="11"/>
  <c r="Q4" i="39"/>
  <c r="P9" i="20"/>
  <c r="O3" i="21"/>
  <c r="O2" i="33"/>
  <c r="Q9" i="20"/>
  <c r="P3" i="16"/>
  <c r="Q7" i="28"/>
  <c r="O4" i="14"/>
  <c r="Q3" i="37"/>
  <c r="O11" i="40"/>
  <c r="P3" i="21"/>
  <c r="Q3" i="26"/>
  <c r="Q4" i="26"/>
  <c r="O5" i="29"/>
  <c r="O5" i="14"/>
  <c r="Q3" i="34"/>
  <c r="P3" i="36"/>
  <c r="O3" i="19"/>
  <c r="P5" i="39"/>
  <c r="O5" i="34"/>
  <c r="P5" i="43"/>
  <c r="O2" i="16"/>
  <c r="O9" i="34"/>
  <c r="O8" i="37"/>
  <c r="Q2" i="24"/>
  <c r="Q4" i="41"/>
  <c r="O4" i="15"/>
  <c r="O5" i="26"/>
  <c r="Q2" i="17"/>
  <c r="O3" i="33"/>
  <c r="P11" i="24"/>
  <c r="P4" i="29"/>
  <c r="O8" i="16"/>
  <c r="O9" i="42"/>
  <c r="Q2" i="35"/>
  <c r="P9" i="26"/>
  <c r="O9" i="40"/>
  <c r="P5" i="30"/>
  <c r="P8" i="11"/>
  <c r="O8" i="15"/>
  <c r="P4" i="41"/>
  <c r="O10" i="26"/>
  <c r="O8" i="31"/>
  <c r="Q9" i="29"/>
  <c r="P11" i="36"/>
  <c r="O8" i="33"/>
  <c r="P10" i="36"/>
  <c r="O4" i="26"/>
  <c r="O3" i="43"/>
  <c r="P8" i="14"/>
  <c r="O8" i="29"/>
  <c r="O10" i="24"/>
  <c r="O2" i="42"/>
  <c r="P11" i="32"/>
  <c r="Q2" i="34"/>
  <c r="O10" i="20"/>
  <c r="P8" i="37"/>
  <c r="O4" i="16"/>
  <c r="P3" i="15"/>
  <c r="O11" i="27"/>
  <c r="Q4" i="31"/>
  <c r="Q3" i="42"/>
  <c r="P8" i="17"/>
  <c r="O5" i="23"/>
  <c r="O5" i="27"/>
  <c r="O3" i="24"/>
  <c r="O8" i="20"/>
  <c r="P4" i="40"/>
  <c r="O3" i="29"/>
  <c r="P3" i="40"/>
  <c r="O10" i="14"/>
  <c r="O11" i="20"/>
  <c r="O9" i="11"/>
  <c r="P9" i="31"/>
  <c r="P8" i="20"/>
  <c r="O3" i="37"/>
  <c r="P9" i="22"/>
  <c r="O3" i="27"/>
  <c r="Q10" i="23"/>
  <c r="P9" i="30"/>
  <c r="O5" i="33"/>
  <c r="O4" i="31"/>
  <c r="Q2" i="31"/>
  <c r="Q4" i="36"/>
  <c r="P5" i="14"/>
  <c r="Q4" i="24"/>
  <c r="O9" i="22"/>
  <c r="O5" i="39"/>
  <c r="P11" i="38"/>
  <c r="O8" i="11"/>
  <c r="Q10" i="31"/>
  <c r="F5" i="20"/>
  <c r="O11" i="32"/>
  <c r="O11" i="22"/>
  <c r="P10" i="17"/>
  <c r="O11" i="21"/>
  <c r="P9" i="23"/>
  <c r="P9" i="40"/>
  <c r="O10" i="17"/>
  <c r="Q7" i="17"/>
  <c r="O2" i="21"/>
  <c r="Q10" i="14"/>
  <c r="O11" i="30"/>
  <c r="Q9" i="30"/>
  <c r="O4" i="43"/>
  <c r="G3" i="18" l="1"/>
  <c r="G5" i="18" s="1"/>
  <c r="L5" i="18" s="1"/>
  <c r="F17" i="18"/>
  <c r="F12" i="18" s="1"/>
  <c r="F18" i="18" s="1"/>
  <c r="C12" i="18"/>
  <c r="L6" i="18"/>
  <c r="H17" i="18"/>
  <c r="H12" i="18" s="1"/>
  <c r="H18" i="18" s="1"/>
  <c r="L9" i="18"/>
  <c r="K17" i="18"/>
  <c r="Q11" i="18"/>
  <c r="M11" i="18" s="1"/>
  <c r="R11" i="18" s="1"/>
  <c r="R4" i="18"/>
  <c r="N10" i="18"/>
  <c r="R10" i="18" s="1"/>
  <c r="L2" i="18"/>
  <c r="P2" i="18" s="1"/>
  <c r="N2" i="18" s="1"/>
  <c r="R2" i="18" s="1"/>
  <c r="D17" i="18"/>
  <c r="D12" i="18" s="1"/>
  <c r="D18" i="18" s="1"/>
  <c r="I18" i="18"/>
  <c r="G3" i="35"/>
  <c r="F3" i="39"/>
  <c r="F5" i="39" s="1"/>
  <c r="G4" i="15"/>
  <c r="C2" i="36"/>
  <c r="C2" i="38"/>
  <c r="C2" i="43"/>
  <c r="C2" i="40"/>
  <c r="C2" i="37"/>
  <c r="D2" i="39"/>
  <c r="C2" i="42"/>
  <c r="C2" i="41"/>
  <c r="Q8" i="34"/>
  <c r="I18" i="34" s="1"/>
  <c r="J18" i="34" s="1"/>
  <c r="K10" i="43"/>
  <c r="Q8" i="43"/>
  <c r="F5" i="43"/>
  <c r="F5" i="26"/>
  <c r="Q8" i="26"/>
  <c r="K10" i="42"/>
  <c r="Q8" i="17"/>
  <c r="F5" i="31"/>
  <c r="Q8" i="31"/>
  <c r="Q8" i="39"/>
  <c r="Q8" i="41"/>
  <c r="G4" i="20"/>
  <c r="D2" i="20"/>
  <c r="F5" i="14"/>
  <c r="Q8" i="14"/>
  <c r="I18" i="14" s="1"/>
  <c r="J18" i="14" s="1"/>
  <c r="G4" i="41"/>
  <c r="D2" i="41"/>
  <c r="H7" i="35"/>
  <c r="K10" i="38"/>
  <c r="F5" i="42"/>
  <c r="Q8" i="42"/>
  <c r="Q8" i="11"/>
  <c r="F5" i="11"/>
  <c r="F5" i="24"/>
  <c r="Q8" i="24"/>
  <c r="Q8" i="32"/>
  <c r="Q8" i="37"/>
  <c r="F5" i="40"/>
  <c r="Q8" i="40"/>
  <c r="C2" i="35"/>
  <c r="C2" i="39"/>
  <c r="K10" i="36"/>
  <c r="Q8" i="15"/>
  <c r="Q8" i="29"/>
  <c r="F5" i="29"/>
  <c r="K10" i="39"/>
  <c r="Q8" i="36"/>
  <c r="D2" i="36"/>
  <c r="G4" i="36"/>
  <c r="Q8" i="27"/>
  <c r="Q8" i="23"/>
  <c r="F5" i="23"/>
  <c r="D2" i="40"/>
  <c r="G4" i="40"/>
  <c r="K10" i="35"/>
  <c r="F5" i="30"/>
  <c r="Q8" i="30"/>
  <c r="Q8" i="21"/>
  <c r="F5" i="21"/>
  <c r="K9" i="35"/>
  <c r="D2" i="42"/>
  <c r="G4" i="42"/>
  <c r="K10" i="20"/>
  <c r="Q8" i="20"/>
  <c r="H6" i="20"/>
  <c r="B16" i="35"/>
  <c r="Q8" i="35"/>
  <c r="I18" i="35" s="1"/>
  <c r="J18" i="35" s="1"/>
  <c r="H6" i="35"/>
  <c r="F5" i="16"/>
  <c r="Q8" i="16"/>
  <c r="K10" i="41"/>
  <c r="C2" i="20"/>
  <c r="Q8" i="38"/>
  <c r="F5" i="33"/>
  <c r="Q8" i="33"/>
  <c r="D2" i="43"/>
  <c r="G4" i="43"/>
  <c r="F5" i="22"/>
  <c r="Q8" i="22"/>
  <c r="Q8" i="28"/>
  <c r="F5" i="28"/>
  <c r="K10" i="40"/>
  <c r="D2" i="35"/>
  <c r="G4" i="38"/>
  <c r="D2" i="38"/>
  <c r="L3" i="18" l="1"/>
  <c r="K13" i="18"/>
  <c r="K18" i="18" s="1"/>
  <c r="N9" i="18"/>
  <c r="R9" i="18" s="1"/>
  <c r="J18" i="18"/>
  <c r="J8" i="18" s="1"/>
  <c r="J17" i="18" s="1"/>
  <c r="J13" i="18" s="1"/>
  <c r="I8" i="18"/>
  <c r="N6" i="18"/>
  <c r="R6" i="18" s="1"/>
  <c r="C18" i="18"/>
  <c r="G3" i="39"/>
  <c r="G5" i="39" s="1"/>
  <c r="L4" i="39"/>
  <c r="N4" i="39" s="1"/>
  <c r="R4" i="39" s="1"/>
  <c r="L7" i="35"/>
  <c r="N7" i="35" s="1"/>
  <c r="R7" i="35" s="1"/>
  <c r="L6" i="20"/>
  <c r="N6" i="20" s="1"/>
  <c r="R6" i="20" s="1"/>
  <c r="I18" i="40"/>
  <c r="L4" i="38"/>
  <c r="C17" i="38"/>
  <c r="C12" i="38" s="1"/>
  <c r="L10" i="41"/>
  <c r="L10" i="35"/>
  <c r="C17" i="41"/>
  <c r="C12" i="41" s="1"/>
  <c r="L10" i="20"/>
  <c r="J8" i="35"/>
  <c r="L10" i="40"/>
  <c r="L4" i="43"/>
  <c r="L4" i="42"/>
  <c r="C17" i="37"/>
  <c r="C12" i="37" s="1"/>
  <c r="L10" i="42"/>
  <c r="D17" i="39"/>
  <c r="D12" i="39" s="1"/>
  <c r="L10" i="38"/>
  <c r="L10" i="36"/>
  <c r="C17" i="40"/>
  <c r="C12" i="40" s="1"/>
  <c r="L4" i="36"/>
  <c r="L4" i="41"/>
  <c r="L10" i="43"/>
  <c r="C17" i="43"/>
  <c r="C12" i="43" s="1"/>
  <c r="C17" i="20"/>
  <c r="C12" i="20" s="1"/>
  <c r="C17" i="35"/>
  <c r="C12" i="35" s="1"/>
  <c r="C17" i="36"/>
  <c r="C12" i="36" s="1"/>
  <c r="F3" i="20"/>
  <c r="L4" i="40"/>
  <c r="L10" i="39"/>
  <c r="C17" i="42"/>
  <c r="C12" i="42" s="1"/>
  <c r="D17" i="40"/>
  <c r="D12" i="40" s="1"/>
  <c r="L2" i="40"/>
  <c r="P2" i="40" s="1"/>
  <c r="D17" i="42"/>
  <c r="D12" i="42" s="1"/>
  <c r="L2" i="42"/>
  <c r="P2" i="42" s="1"/>
  <c r="L2" i="20"/>
  <c r="P2" i="20" s="1"/>
  <c r="D17" i="20"/>
  <c r="D12" i="20" s="1"/>
  <c r="L16" i="35"/>
  <c r="B17" i="35"/>
  <c r="L9" i="35"/>
  <c r="Q11" i="35"/>
  <c r="K17" i="35"/>
  <c r="L2" i="35"/>
  <c r="D17" i="35"/>
  <c r="D12" i="35" s="1"/>
  <c r="L2" i="38"/>
  <c r="P2" i="38" s="1"/>
  <c r="D17" i="38"/>
  <c r="D12" i="38" s="1"/>
  <c r="L2" i="43"/>
  <c r="P2" i="43" s="1"/>
  <c r="D17" i="43"/>
  <c r="D12" i="43" s="1"/>
  <c r="C17" i="39"/>
  <c r="C12" i="39" s="1"/>
  <c r="L2" i="39"/>
  <c r="P2" i="39" s="1"/>
  <c r="L2" i="36"/>
  <c r="P2" i="36" s="1"/>
  <c r="D17" i="36"/>
  <c r="D12" i="36" s="1"/>
  <c r="L6" i="35"/>
  <c r="H17" i="35"/>
  <c r="H12" i="35" s="1"/>
  <c r="H18" i="35" s="1"/>
  <c r="L2" i="41"/>
  <c r="P2" i="41" s="1"/>
  <c r="D17" i="41"/>
  <c r="D12" i="41" s="1"/>
  <c r="I17" i="18" l="1"/>
  <c r="I13" i="18" s="1"/>
  <c r="L8" i="18"/>
  <c r="N8" i="18" s="1"/>
  <c r="R8" i="18" s="1"/>
  <c r="G3" i="20"/>
  <c r="N10" i="42"/>
  <c r="R10" i="42" s="1"/>
  <c r="N10" i="41"/>
  <c r="R10" i="41" s="1"/>
  <c r="N10" i="20"/>
  <c r="R10" i="20" s="1"/>
  <c r="N10" i="38"/>
  <c r="R10" i="38" s="1"/>
  <c r="N10" i="39"/>
  <c r="R10" i="39" s="1"/>
  <c r="N10" i="35"/>
  <c r="R10" i="35" s="1"/>
  <c r="N10" i="43"/>
  <c r="R10" i="43" s="1"/>
  <c r="N10" i="36"/>
  <c r="R10" i="36" s="1"/>
  <c r="N10" i="40"/>
  <c r="R10" i="40" s="1"/>
  <c r="N4" i="43"/>
  <c r="N4" i="40"/>
  <c r="N4" i="41"/>
  <c r="N4" i="36"/>
  <c r="N4" i="42"/>
  <c r="N4" i="38"/>
  <c r="F17" i="35"/>
  <c r="F12" i="35" s="1"/>
  <c r="I8" i="35"/>
  <c r="J17" i="35"/>
  <c r="J13" i="35" s="1"/>
  <c r="D18" i="20"/>
  <c r="D18" i="41"/>
  <c r="C18" i="39"/>
  <c r="C18" i="36"/>
  <c r="F17" i="20"/>
  <c r="F12" i="20" s="1"/>
  <c r="C18" i="35"/>
  <c r="D18" i="39"/>
  <c r="C18" i="41"/>
  <c r="C18" i="20"/>
  <c r="M11" i="35"/>
  <c r="C18" i="43"/>
  <c r="D18" i="43"/>
  <c r="D18" i="38"/>
  <c r="D18" i="42"/>
  <c r="C18" i="37"/>
  <c r="C18" i="38"/>
  <c r="D18" i="36"/>
  <c r="C18" i="42"/>
  <c r="D18" i="35"/>
  <c r="D18" i="40"/>
  <c r="C18" i="40"/>
  <c r="K13" i="35"/>
  <c r="N6" i="35"/>
  <c r="R6" i="35" s="1"/>
  <c r="B12" i="35"/>
  <c r="R16" i="35"/>
  <c r="Q16" i="35"/>
  <c r="N9" i="35"/>
  <c r="P2" i="35"/>
  <c r="C2" i="34"/>
  <c r="N3" i="18" l="1"/>
  <c r="R3" i="18" s="1"/>
  <c r="E14" i="18"/>
  <c r="N5" i="18" s="1"/>
  <c r="L13" i="18"/>
  <c r="F18" i="35"/>
  <c r="R4" i="40"/>
  <c r="R4" i="43"/>
  <c r="R4" i="36"/>
  <c r="R4" i="41"/>
  <c r="R4" i="38"/>
  <c r="R4" i="42"/>
  <c r="L8" i="35"/>
  <c r="I17" i="35"/>
  <c r="I13" i="35" s="1"/>
  <c r="K18" i="35"/>
  <c r="C17" i="34"/>
  <c r="R9" i="35"/>
  <c r="G5" i="20"/>
  <c r="L3" i="35"/>
  <c r="N2" i="35"/>
  <c r="R11" i="35"/>
  <c r="F18" i="20"/>
  <c r="B18" i="35"/>
  <c r="D2" i="34"/>
  <c r="L14" i="18" l="1"/>
  <c r="N8" i="35"/>
  <c r="R8" i="35" s="1"/>
  <c r="N3" i="35"/>
  <c r="L13" i="35"/>
  <c r="E14" i="35"/>
  <c r="G5" i="35" s="1"/>
  <c r="G4" i="35" s="1"/>
  <c r="R2" i="35"/>
  <c r="L2" i="34"/>
  <c r="P2" i="34" s="1"/>
  <c r="D17" i="34"/>
  <c r="G17" i="18" l="1"/>
  <c r="G12" i="18" s="1"/>
  <c r="G18" i="18" s="1"/>
  <c r="Q14" i="18"/>
  <c r="R14" i="18"/>
  <c r="R3" i="35"/>
  <c r="L14" i="35"/>
  <c r="K10" i="34"/>
  <c r="R5" i="18" l="1"/>
  <c r="Q5" i="18"/>
  <c r="E17" i="18" s="1"/>
  <c r="R14" i="35"/>
  <c r="L5" i="35"/>
  <c r="Q14" i="35"/>
  <c r="L10" i="34"/>
  <c r="C12" i="34"/>
  <c r="D12" i="34"/>
  <c r="E15" i="18" l="1"/>
  <c r="E12" i="18"/>
  <c r="L17" i="18"/>
  <c r="N10" i="34"/>
  <c r="R10" i="34" s="1"/>
  <c r="Q5" i="35"/>
  <c r="G17" i="35"/>
  <c r="L4" i="35"/>
  <c r="R5" i="35"/>
  <c r="C18" i="34"/>
  <c r="D18" i="34"/>
  <c r="Q17" i="18" l="1"/>
  <c r="R17" i="18"/>
  <c r="E18" i="18"/>
  <c r="L12" i="18"/>
  <c r="L15" i="18"/>
  <c r="M13" i="18"/>
  <c r="E17" i="35"/>
  <c r="E12" i="35" s="1"/>
  <c r="G12" i="35"/>
  <c r="N4" i="35"/>
  <c r="D2" i="33"/>
  <c r="G4" i="33"/>
  <c r="K10" i="33"/>
  <c r="C2" i="33"/>
  <c r="D2" i="32"/>
  <c r="G4" i="32"/>
  <c r="C2" i="32"/>
  <c r="K10" i="32"/>
  <c r="G4" i="31"/>
  <c r="D2" i="31"/>
  <c r="K10" i="31"/>
  <c r="C2" i="31"/>
  <c r="K10" i="30"/>
  <c r="G4" i="30"/>
  <c r="D2" i="30"/>
  <c r="C2" i="30"/>
  <c r="K10" i="29"/>
  <c r="D2" i="29"/>
  <c r="C2" i="29"/>
  <c r="K10" i="28"/>
  <c r="D2" i="28"/>
  <c r="G4" i="28"/>
  <c r="C2" i="28"/>
  <c r="K10" i="27"/>
  <c r="D2" i="27"/>
  <c r="G4" i="27"/>
  <c r="C2" i="27"/>
  <c r="G4" i="26"/>
  <c r="D2" i="26"/>
  <c r="K10" i="26"/>
  <c r="C2" i="26"/>
  <c r="K10" i="24"/>
  <c r="C2" i="24"/>
  <c r="G4" i="24"/>
  <c r="D2" i="24"/>
  <c r="C2" i="23"/>
  <c r="K10" i="23"/>
  <c r="G4" i="23"/>
  <c r="D2" i="23"/>
  <c r="G4" i="22"/>
  <c r="D2" i="22"/>
  <c r="C2" i="22"/>
  <c r="G4" i="21"/>
  <c r="D2" i="21"/>
  <c r="C2" i="21"/>
  <c r="C2" i="19"/>
  <c r="G4" i="19"/>
  <c r="D2" i="19"/>
  <c r="C2" i="17"/>
  <c r="G4" i="17"/>
  <c r="D2" i="17"/>
  <c r="R13" i="18" l="1"/>
  <c r="Q13" i="18"/>
  <c r="Q15" i="18"/>
  <c r="R15" i="18"/>
  <c r="Q12" i="18"/>
  <c r="R12" i="18"/>
  <c r="G18" i="35"/>
  <c r="E18" i="35"/>
  <c r="E15" i="35"/>
  <c r="L17" i="35"/>
  <c r="Q17" i="35" s="1"/>
  <c r="L12" i="35"/>
  <c r="Q12" i="35" s="1"/>
  <c r="R4" i="35"/>
  <c r="L4" i="22"/>
  <c r="L4" i="19"/>
  <c r="L10" i="23"/>
  <c r="C17" i="27"/>
  <c r="C12" i="27" s="1"/>
  <c r="L10" i="29"/>
  <c r="C17" i="32"/>
  <c r="C12" i="32" s="1"/>
  <c r="L10" i="26"/>
  <c r="L10" i="28"/>
  <c r="C17" i="19"/>
  <c r="C12" i="19" s="1"/>
  <c r="C17" i="23"/>
  <c r="C12" i="23" s="1"/>
  <c r="L4" i="27"/>
  <c r="C17" i="30"/>
  <c r="C12" i="30" s="1"/>
  <c r="L4" i="32"/>
  <c r="C17" i="21"/>
  <c r="C12" i="21" s="1"/>
  <c r="L4" i="24"/>
  <c r="L10" i="27"/>
  <c r="L4" i="30"/>
  <c r="L4" i="17"/>
  <c r="L10" i="30"/>
  <c r="C17" i="33"/>
  <c r="C12" i="33" s="1"/>
  <c r="L4" i="21"/>
  <c r="C17" i="24"/>
  <c r="C12" i="24" s="1"/>
  <c r="C17" i="28"/>
  <c r="C12" i="28" s="1"/>
  <c r="L10" i="33"/>
  <c r="C17" i="22"/>
  <c r="C12" i="22" s="1"/>
  <c r="L4" i="28"/>
  <c r="C17" i="17"/>
  <c r="C12" i="17" s="1"/>
  <c r="L10" i="24"/>
  <c r="C17" i="31"/>
  <c r="C12" i="31" s="1"/>
  <c r="L4" i="33"/>
  <c r="C17" i="26"/>
  <c r="C12" i="26" s="1"/>
  <c r="L10" i="31"/>
  <c r="L4" i="31"/>
  <c r="C17" i="29"/>
  <c r="C12" i="29" s="1"/>
  <c r="L4" i="23"/>
  <c r="L4" i="26"/>
  <c r="L10" i="32"/>
  <c r="D17" i="22"/>
  <c r="D12" i="22" s="1"/>
  <c r="D17" i="28"/>
  <c r="D12" i="28" s="1"/>
  <c r="D17" i="30"/>
  <c r="D17" i="27"/>
  <c r="D17" i="31"/>
  <c r="D17" i="19"/>
  <c r="D12" i="19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L2" i="33"/>
  <c r="P2" i="33" s="1"/>
  <c r="L2" i="32"/>
  <c r="P2" i="32" s="1"/>
  <c r="L2" i="31"/>
  <c r="P2" i="31" s="1"/>
  <c r="L2" i="30"/>
  <c r="P2" i="30" s="1"/>
  <c r="L2" i="29"/>
  <c r="P2" i="29" s="1"/>
  <c r="L2" i="28"/>
  <c r="P2" i="28" s="1"/>
  <c r="L2" i="27"/>
  <c r="P2" i="27" s="1"/>
  <c r="L2" i="26"/>
  <c r="P2" i="26" s="1"/>
  <c r="L2" i="24"/>
  <c r="P2" i="24" s="1"/>
  <c r="L2" i="23"/>
  <c r="P2" i="23" s="1"/>
  <c r="L2" i="22"/>
  <c r="P2" i="22" s="1"/>
  <c r="L2" i="21"/>
  <c r="P2" i="21" s="1"/>
  <c r="L2" i="19"/>
  <c r="L2" i="17"/>
  <c r="P2" i="17" s="1"/>
  <c r="L15" i="35" l="1"/>
  <c r="R15" i="35" s="1"/>
  <c r="M13" i="35"/>
  <c r="R17" i="35"/>
  <c r="N10" i="31"/>
  <c r="R10" i="31" s="1"/>
  <c r="N10" i="28"/>
  <c r="R10" i="28" s="1"/>
  <c r="N10" i="32"/>
  <c r="R10" i="32" s="1"/>
  <c r="N10" i="30"/>
  <c r="R10" i="30" s="1"/>
  <c r="N10" i="26"/>
  <c r="R10" i="26" s="1"/>
  <c r="N10" i="24"/>
  <c r="R10" i="24" s="1"/>
  <c r="N10" i="27"/>
  <c r="R10" i="27" s="1"/>
  <c r="N10" i="29"/>
  <c r="R10" i="29" s="1"/>
  <c r="N10" i="23"/>
  <c r="R10" i="23" s="1"/>
  <c r="N10" i="33"/>
  <c r="R10" i="33" s="1"/>
  <c r="R12" i="35"/>
  <c r="N4" i="17"/>
  <c r="N4" i="30"/>
  <c r="N4" i="28"/>
  <c r="N4" i="24"/>
  <c r="N4" i="31"/>
  <c r="N4" i="26"/>
  <c r="N4" i="23"/>
  <c r="N4" i="32"/>
  <c r="N4" i="19"/>
  <c r="N4" i="21"/>
  <c r="N4" i="27"/>
  <c r="N4" i="22"/>
  <c r="N4" i="33"/>
  <c r="C18" i="24"/>
  <c r="C18" i="26"/>
  <c r="C18" i="31"/>
  <c r="C18" i="28"/>
  <c r="C18" i="22"/>
  <c r="C18" i="32"/>
  <c r="C18" i="17"/>
  <c r="C18" i="19"/>
  <c r="C18" i="29"/>
  <c r="C18" i="21"/>
  <c r="C18" i="33"/>
  <c r="C18" i="23"/>
  <c r="C18" i="27"/>
  <c r="C18" i="30"/>
  <c r="D18" i="21"/>
  <c r="D18" i="23"/>
  <c r="D18" i="17"/>
  <c r="D18" i="19"/>
  <c r="D18" i="29"/>
  <c r="D18" i="26"/>
  <c r="D18" i="28"/>
  <c r="D18" i="22"/>
  <c r="D12" i="27"/>
  <c r="D12" i="30"/>
  <c r="D12" i="32"/>
  <c r="D12" i="24"/>
  <c r="D12" i="31"/>
  <c r="D12" i="33"/>
  <c r="R13" i="35" l="1"/>
  <c r="Q15" i="35"/>
  <c r="Q13" i="35"/>
  <c r="R4" i="23"/>
  <c r="R4" i="32"/>
  <c r="R4" i="26"/>
  <c r="R4" i="31"/>
  <c r="R4" i="24"/>
  <c r="R4" i="33"/>
  <c r="R4" i="22"/>
  <c r="R4" i="28"/>
  <c r="R4" i="30"/>
  <c r="R4" i="27"/>
  <c r="R4" i="21"/>
  <c r="R4" i="17"/>
  <c r="R4" i="19"/>
  <c r="D18" i="30"/>
  <c r="D18" i="27"/>
  <c r="D18" i="31"/>
  <c r="D18" i="24"/>
  <c r="D18" i="33"/>
  <c r="D18" i="32"/>
  <c r="G4" i="16"/>
  <c r="D2" i="16"/>
  <c r="C2" i="16"/>
  <c r="G4" i="11"/>
  <c r="D2" i="11"/>
  <c r="C2" i="11"/>
  <c r="C17" i="11" l="1"/>
  <c r="D17" i="11"/>
  <c r="D12" i="11" s="1"/>
  <c r="L4" i="11"/>
  <c r="D17" i="16"/>
  <c r="D12" i="16" s="1"/>
  <c r="C17" i="16"/>
  <c r="L4" i="16"/>
  <c r="L2" i="16"/>
  <c r="P2" i="16" s="1"/>
  <c r="L2" i="11"/>
  <c r="P2" i="11" s="1"/>
  <c r="N4" i="11" l="1"/>
  <c r="N4" i="16"/>
  <c r="D18" i="11"/>
  <c r="D18" i="16"/>
  <c r="C12" i="16"/>
  <c r="D2" i="15"/>
  <c r="C2" i="15"/>
  <c r="R4" i="16" l="1"/>
  <c r="R4" i="11"/>
  <c r="C17" i="15"/>
  <c r="C12" i="15" s="1"/>
  <c r="C18" i="16"/>
  <c r="K9" i="37"/>
  <c r="K9" i="20"/>
  <c r="H7" i="20"/>
  <c r="N2" i="20"/>
  <c r="B16" i="20"/>
  <c r="K9" i="34"/>
  <c r="G4" i="29"/>
  <c r="F3" i="16"/>
  <c r="F3" i="17"/>
  <c r="F3" i="22"/>
  <c r="F3" i="11"/>
  <c r="F3" i="15"/>
  <c r="G3" i="15" s="1"/>
  <c r="G5" i="15" s="1"/>
  <c r="B16" i="37"/>
  <c r="B16" i="39"/>
  <c r="H6" i="39"/>
  <c r="F3" i="33"/>
  <c r="H6" i="33"/>
  <c r="F5" i="34"/>
  <c r="H6" i="34"/>
  <c r="F3" i="31"/>
  <c r="H6" i="31"/>
  <c r="F3" i="42"/>
  <c r="H6" i="42"/>
  <c r="F3" i="24"/>
  <c r="H6" i="24"/>
  <c r="F3" i="38"/>
  <c r="H6" i="38"/>
  <c r="F3" i="32"/>
  <c r="H6" i="32"/>
  <c r="F3" i="27"/>
  <c r="H6" i="27"/>
  <c r="F3" i="43"/>
  <c r="H6" i="43"/>
  <c r="F3" i="41"/>
  <c r="H6" i="41"/>
  <c r="F3" i="40"/>
  <c r="H6" i="40"/>
  <c r="F3" i="30"/>
  <c r="H6" i="30"/>
  <c r="F3" i="28"/>
  <c r="H6" i="28"/>
  <c r="F3" i="23"/>
  <c r="H6" i="23"/>
  <c r="F3" i="36"/>
  <c r="H6" i="36"/>
  <c r="F3" i="26"/>
  <c r="H6" i="26"/>
  <c r="K9" i="27"/>
  <c r="B16" i="40"/>
  <c r="H7" i="33"/>
  <c r="H7" i="41"/>
  <c r="K9" i="30"/>
  <c r="B16" i="38"/>
  <c r="H7" i="30"/>
  <c r="H7" i="28"/>
  <c r="K9" i="41"/>
  <c r="K9" i="39"/>
  <c r="K9" i="40"/>
  <c r="K9" i="26"/>
  <c r="K9" i="23"/>
  <c r="B16" i="41"/>
  <c r="K9" i="29"/>
  <c r="H7" i="36"/>
  <c r="B16" i="28"/>
  <c r="H7" i="42"/>
  <c r="H7" i="26"/>
  <c r="K9" i="33"/>
  <c r="H7" i="23"/>
  <c r="H7" i="38"/>
  <c r="K9" i="42"/>
  <c r="B16" i="34"/>
  <c r="K9" i="38"/>
  <c r="K9" i="28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K9" i="24"/>
  <c r="H7" i="40"/>
  <c r="B16" i="43"/>
  <c r="K9" i="31"/>
  <c r="B16" i="31"/>
  <c r="K9" i="36"/>
  <c r="G4" i="37"/>
  <c r="D2" i="37"/>
  <c r="K10" i="37"/>
  <c r="B16" i="11"/>
  <c r="B16" i="22"/>
  <c r="B16" i="21"/>
  <c r="B16" i="14"/>
  <c r="B16" i="16"/>
  <c r="B16" i="17"/>
  <c r="B16" i="19"/>
  <c r="D17" i="15"/>
  <c r="D12" i="15" s="1"/>
  <c r="K10" i="15"/>
  <c r="K9" i="15"/>
  <c r="K10" i="11"/>
  <c r="K10" i="21"/>
  <c r="K10" i="17"/>
  <c r="K10" i="22"/>
  <c r="K9" i="16"/>
  <c r="K10" i="16"/>
  <c r="K9" i="11"/>
  <c r="K10" i="19"/>
  <c r="H7" i="15"/>
  <c r="H7" i="22"/>
  <c r="H7" i="21"/>
  <c r="H7" i="19"/>
  <c r="H6" i="15"/>
  <c r="H6" i="17"/>
  <c r="H6" i="16"/>
  <c r="H6" i="19"/>
  <c r="K9" i="21"/>
  <c r="P2" i="19"/>
  <c r="K9" i="19"/>
  <c r="H6" i="11"/>
  <c r="H6" i="21"/>
  <c r="K9" i="22"/>
  <c r="H6" i="22"/>
  <c r="K9" i="17"/>
  <c r="H7" i="11"/>
  <c r="H7" i="16"/>
  <c r="H7" i="17"/>
  <c r="L2" i="15"/>
  <c r="P2" i="15" s="1"/>
  <c r="G4" i="14"/>
  <c r="D2" i="14"/>
  <c r="H6" i="14"/>
  <c r="K10" i="14"/>
  <c r="K9" i="14"/>
  <c r="H7" i="14"/>
  <c r="C2" i="14"/>
  <c r="L6" i="43" l="1"/>
  <c r="N6" i="43" s="1"/>
  <c r="R6" i="43" s="1"/>
  <c r="L6" i="42"/>
  <c r="N6" i="42" s="1"/>
  <c r="R6" i="42" s="1"/>
  <c r="L6" i="41"/>
  <c r="N6" i="41" s="1"/>
  <c r="R6" i="41" s="1"/>
  <c r="L6" i="40"/>
  <c r="N6" i="40" s="1"/>
  <c r="R6" i="40" s="1"/>
  <c r="L16" i="39"/>
  <c r="Q16" i="39" s="1"/>
  <c r="L6" i="39"/>
  <c r="N6" i="39" s="1"/>
  <c r="R6" i="39" s="1"/>
  <c r="L6" i="38"/>
  <c r="N6" i="38" s="1"/>
  <c r="R6" i="38" s="1"/>
  <c r="B17" i="37"/>
  <c r="B12" i="37" s="1"/>
  <c r="B18" i="37" s="1"/>
  <c r="L6" i="36"/>
  <c r="N6" i="36" s="1"/>
  <c r="R6" i="36" s="1"/>
  <c r="L6" i="34"/>
  <c r="N6" i="34" s="1"/>
  <c r="R6" i="34" s="1"/>
  <c r="L6" i="33"/>
  <c r="N6" i="33" s="1"/>
  <c r="R6" i="33" s="1"/>
  <c r="L6" i="32"/>
  <c r="N6" i="32" s="1"/>
  <c r="R6" i="32" s="1"/>
  <c r="L6" i="31"/>
  <c r="N6" i="31" s="1"/>
  <c r="R6" i="31" s="1"/>
  <c r="L6" i="30"/>
  <c r="N6" i="30" s="1"/>
  <c r="R6" i="30" s="1"/>
  <c r="L6" i="28"/>
  <c r="N6" i="28" s="1"/>
  <c r="R6" i="28" s="1"/>
  <c r="L6" i="27"/>
  <c r="N6" i="27" s="1"/>
  <c r="R6" i="27" s="1"/>
  <c r="L6" i="26"/>
  <c r="N6" i="26" s="1"/>
  <c r="R6" i="26" s="1"/>
  <c r="L7" i="15"/>
  <c r="N7" i="15" s="1"/>
  <c r="R7" i="15" s="1"/>
  <c r="L7" i="14"/>
  <c r="N7" i="14" s="1"/>
  <c r="R7" i="14" s="1"/>
  <c r="L6" i="24"/>
  <c r="N6" i="24" s="1"/>
  <c r="R6" i="24" s="1"/>
  <c r="L6" i="23"/>
  <c r="N6" i="23" s="1"/>
  <c r="R6" i="23" s="1"/>
  <c r="L7" i="22"/>
  <c r="N7" i="22" s="1"/>
  <c r="R7" i="22" s="1"/>
  <c r="L7" i="21"/>
  <c r="N7" i="21" s="1"/>
  <c r="R7" i="21" s="1"/>
  <c r="L7" i="19"/>
  <c r="N7" i="19" s="1"/>
  <c r="R7" i="19" s="1"/>
  <c r="L7" i="11"/>
  <c r="N7" i="11" s="1"/>
  <c r="R7" i="11" s="1"/>
  <c r="G3" i="23"/>
  <c r="G3" i="43"/>
  <c r="G3" i="42"/>
  <c r="G3" i="11"/>
  <c r="G3" i="28"/>
  <c r="G3" i="27"/>
  <c r="G3" i="31"/>
  <c r="G3" i="22"/>
  <c r="G3" i="17"/>
  <c r="G3" i="30"/>
  <c r="G3" i="32"/>
  <c r="G3" i="16"/>
  <c r="G3" i="26"/>
  <c r="G3" i="40"/>
  <c r="G3" i="38"/>
  <c r="G3" i="33"/>
  <c r="G3" i="36"/>
  <c r="G3" i="41"/>
  <c r="G3" i="24"/>
  <c r="Q11" i="36"/>
  <c r="L4" i="14"/>
  <c r="L10" i="22"/>
  <c r="Q11" i="31"/>
  <c r="Q11" i="28"/>
  <c r="Q11" i="38"/>
  <c r="Q11" i="29"/>
  <c r="Q11" i="30"/>
  <c r="L10" i="21"/>
  <c r="F17" i="11"/>
  <c r="F12" i="11" s="1"/>
  <c r="L10" i="11"/>
  <c r="Q11" i="24"/>
  <c r="Q11" i="42"/>
  <c r="Q11" i="23"/>
  <c r="F17" i="22"/>
  <c r="F12" i="22" s="1"/>
  <c r="Q11" i="20"/>
  <c r="F17" i="17"/>
  <c r="F12" i="17" s="1"/>
  <c r="Q11" i="26"/>
  <c r="L10" i="19"/>
  <c r="L10" i="15"/>
  <c r="L10" i="37"/>
  <c r="Q11" i="40"/>
  <c r="Q11" i="27"/>
  <c r="F3" i="34"/>
  <c r="G3" i="34" s="1"/>
  <c r="F17" i="16"/>
  <c r="F12" i="16" s="1"/>
  <c r="L4" i="29"/>
  <c r="C18" i="15"/>
  <c r="L10" i="17"/>
  <c r="Q11" i="32"/>
  <c r="Q11" i="33"/>
  <c r="Q11" i="39"/>
  <c r="L10" i="14"/>
  <c r="L10" i="16"/>
  <c r="Q11" i="41"/>
  <c r="Q11" i="34"/>
  <c r="D17" i="14"/>
  <c r="D12" i="14" s="1"/>
  <c r="R2" i="20"/>
  <c r="Q11" i="15"/>
  <c r="F17" i="39"/>
  <c r="F17" i="15"/>
  <c r="F12" i="15" s="1"/>
  <c r="D18" i="15"/>
  <c r="Q11" i="11"/>
  <c r="Q11" i="17"/>
  <c r="Q11" i="22"/>
  <c r="Q11" i="16"/>
  <c r="Q11" i="21"/>
  <c r="Q11" i="14"/>
  <c r="Q11" i="37"/>
  <c r="L9" i="20"/>
  <c r="K17" i="20"/>
  <c r="B17" i="20"/>
  <c r="L16" i="20"/>
  <c r="I8" i="20"/>
  <c r="J8" i="20"/>
  <c r="L7" i="20"/>
  <c r="H17" i="20"/>
  <c r="H12" i="20" s="1"/>
  <c r="H18" i="20" s="1"/>
  <c r="Q11" i="19"/>
  <c r="K17" i="34"/>
  <c r="L9" i="34"/>
  <c r="H6" i="29"/>
  <c r="H7" i="29"/>
  <c r="Q8" i="19"/>
  <c r="N2" i="33"/>
  <c r="N2" i="28"/>
  <c r="N2" i="40"/>
  <c r="N2" i="39"/>
  <c r="N2" i="31"/>
  <c r="N2" i="34"/>
  <c r="N2" i="26"/>
  <c r="N2" i="38"/>
  <c r="N2" i="27"/>
  <c r="N2" i="42"/>
  <c r="N2" i="41"/>
  <c r="N2" i="32"/>
  <c r="N2" i="24"/>
  <c r="N2" i="29"/>
  <c r="N2" i="43"/>
  <c r="N2" i="30"/>
  <c r="L16" i="37"/>
  <c r="R16" i="37" s="1"/>
  <c r="B17" i="39"/>
  <c r="B12" i="39" s="1"/>
  <c r="B18" i="39" s="1"/>
  <c r="B16" i="36"/>
  <c r="F3" i="29"/>
  <c r="F17" i="33"/>
  <c r="F12" i="33" s="1"/>
  <c r="F17" i="42"/>
  <c r="F12" i="42" s="1"/>
  <c r="F17" i="38"/>
  <c r="F12" i="38" s="1"/>
  <c r="F17" i="26"/>
  <c r="F12" i="26" s="1"/>
  <c r="F17" i="30"/>
  <c r="F12" i="30" s="1"/>
  <c r="F17" i="36"/>
  <c r="F12" i="36" s="1"/>
  <c r="F17" i="32"/>
  <c r="F12" i="32" s="1"/>
  <c r="F17" i="43"/>
  <c r="F12" i="43" s="1"/>
  <c r="F17" i="23"/>
  <c r="F12" i="23" s="1"/>
  <c r="F17" i="27"/>
  <c r="F12" i="27" s="1"/>
  <c r="F17" i="31"/>
  <c r="F12" i="31" s="1"/>
  <c r="F17" i="41"/>
  <c r="F12" i="41" s="1"/>
  <c r="F17" i="24"/>
  <c r="F12" i="24" s="1"/>
  <c r="F3" i="37"/>
  <c r="H6" i="37"/>
  <c r="F17" i="28"/>
  <c r="F12" i="28" s="1"/>
  <c r="F17" i="40"/>
  <c r="F12" i="40" s="1"/>
  <c r="L9" i="3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K17" i="40"/>
  <c r="L7" i="33"/>
  <c r="N7" i="33" s="1"/>
  <c r="R7" i="33" s="1"/>
  <c r="K17" i="27"/>
  <c r="L9" i="27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K17" i="23"/>
  <c r="L9" i="23"/>
  <c r="L7" i="30"/>
  <c r="N7" i="30" s="1"/>
  <c r="R7" i="30" s="1"/>
  <c r="K17" i="30"/>
  <c r="L9" i="30"/>
  <c r="L9" i="32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B17" i="42"/>
  <c r="B12" i="42" s="1"/>
  <c r="B18" i="42" s="1"/>
  <c r="L16" i="42"/>
  <c r="L7" i="34"/>
  <c r="L9" i="29"/>
  <c r="K17" i="29"/>
  <c r="L7" i="41"/>
  <c r="N7" i="41" s="1"/>
  <c r="R7" i="41" s="1"/>
  <c r="K17" i="24"/>
  <c r="L9" i="24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K17" i="41"/>
  <c r="L9" i="41"/>
  <c r="B17" i="38"/>
  <c r="B12" i="38" s="1"/>
  <c r="B18" i="38" s="1"/>
  <c r="L16" i="38"/>
  <c r="K17" i="36"/>
  <c r="L9" i="36"/>
  <c r="B17" i="28"/>
  <c r="B12" i="28" s="1"/>
  <c r="B18" i="28" s="1"/>
  <c r="L16" i="28"/>
  <c r="B17" i="30"/>
  <c r="B12" i="30" s="1"/>
  <c r="B18" i="30" s="1"/>
  <c r="L16" i="30"/>
  <c r="K17" i="38"/>
  <c r="L9" i="38"/>
  <c r="L9" i="42"/>
  <c r="K17" i="42"/>
  <c r="L9" i="33"/>
  <c r="K17" i="33"/>
  <c r="B17" i="41"/>
  <c r="B12" i="41" s="1"/>
  <c r="B18" i="41" s="1"/>
  <c r="L16" i="41"/>
  <c r="L7" i="28"/>
  <c r="H7" i="37"/>
  <c r="L9" i="37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B16" i="15"/>
  <c r="K17" i="19"/>
  <c r="K17" i="14"/>
  <c r="K17" i="21"/>
  <c r="K17" i="17"/>
  <c r="L9" i="16"/>
  <c r="K17" i="16"/>
  <c r="L9" i="15"/>
  <c r="K17" i="15"/>
  <c r="L9" i="1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N2" i="16"/>
  <c r="N2" i="11"/>
  <c r="N2" i="17"/>
  <c r="N2" i="21"/>
  <c r="N2" i="19"/>
  <c r="L6" i="15"/>
  <c r="N6" i="15" s="1"/>
  <c r="R6" i="15" s="1"/>
  <c r="L9" i="22"/>
  <c r="F3" i="21"/>
  <c r="L9" i="21"/>
  <c r="L6" i="21"/>
  <c r="N6" i="21" s="1"/>
  <c r="R6" i="21" s="1"/>
  <c r="L6" i="22"/>
  <c r="N6" i="22" s="1"/>
  <c r="R6" i="22" s="1"/>
  <c r="L9" i="19"/>
  <c r="L6" i="19"/>
  <c r="N6" i="19" s="1"/>
  <c r="R6" i="19" s="1"/>
  <c r="L9" i="17"/>
  <c r="L7" i="17"/>
  <c r="L7" i="16"/>
  <c r="N7" i="16" s="1"/>
  <c r="R7" i="16" s="1"/>
  <c r="L6" i="14"/>
  <c r="F3" i="14"/>
  <c r="L9" i="14"/>
  <c r="R16" i="39" l="1"/>
  <c r="L6" i="37"/>
  <c r="N6" i="37" s="1"/>
  <c r="R6" i="37" s="1"/>
  <c r="L16" i="36"/>
  <c r="R16" i="36" s="1"/>
  <c r="L7" i="29"/>
  <c r="N7" i="29" s="1"/>
  <c r="R7" i="29" s="1"/>
  <c r="L6" i="29"/>
  <c r="N6" i="29" s="1"/>
  <c r="R6" i="29" s="1"/>
  <c r="G3" i="37"/>
  <c r="G3" i="29"/>
  <c r="G3" i="21"/>
  <c r="G3" i="14"/>
  <c r="N10" i="21"/>
  <c r="R10" i="21" s="1"/>
  <c r="N10" i="17"/>
  <c r="R10" i="17" s="1"/>
  <c r="N10" i="16"/>
  <c r="R10" i="16" s="1"/>
  <c r="N10" i="22"/>
  <c r="R10" i="22" s="1"/>
  <c r="N10" i="14"/>
  <c r="R10" i="14" s="1"/>
  <c r="N10" i="11"/>
  <c r="R10" i="11" s="1"/>
  <c r="N10" i="37"/>
  <c r="R10" i="37" s="1"/>
  <c r="N10" i="15"/>
  <c r="R10" i="15" s="1"/>
  <c r="N10" i="19"/>
  <c r="R10" i="19" s="1"/>
  <c r="N9" i="23"/>
  <c r="R9" i="23" s="1"/>
  <c r="N9" i="34"/>
  <c r="R9" i="34" s="1"/>
  <c r="N9" i="11"/>
  <c r="R9" i="11" s="1"/>
  <c r="N9" i="38"/>
  <c r="R9" i="38" s="1"/>
  <c r="N9" i="28"/>
  <c r="R9" i="28" s="1"/>
  <c r="N9" i="15"/>
  <c r="R9" i="15" s="1"/>
  <c r="N9" i="37"/>
  <c r="R9" i="37" s="1"/>
  <c r="N9" i="27"/>
  <c r="R9" i="27" s="1"/>
  <c r="N9" i="41"/>
  <c r="R9" i="41" s="1"/>
  <c r="N9" i="39"/>
  <c r="R9" i="39" s="1"/>
  <c r="N9" i="16"/>
  <c r="R9" i="16" s="1"/>
  <c r="N9" i="21"/>
  <c r="R9" i="21" s="1"/>
  <c r="N9" i="32"/>
  <c r="R9" i="32" s="1"/>
  <c r="N9" i="26"/>
  <c r="R9" i="26" s="1"/>
  <c r="N9" i="24"/>
  <c r="R9" i="24" s="1"/>
  <c r="N9" i="30"/>
  <c r="R9" i="30" s="1"/>
  <c r="N9" i="31"/>
  <c r="R9" i="31" s="1"/>
  <c r="N9" i="33"/>
  <c r="R9" i="33" s="1"/>
  <c r="N9" i="40"/>
  <c r="R9" i="40" s="1"/>
  <c r="N9" i="17"/>
  <c r="R9" i="17" s="1"/>
  <c r="N9" i="22"/>
  <c r="R9" i="22" s="1"/>
  <c r="N9" i="42"/>
  <c r="R9" i="42" s="1"/>
  <c r="N9" i="36"/>
  <c r="R9" i="36" s="1"/>
  <c r="N9" i="29"/>
  <c r="R9" i="29" s="1"/>
  <c r="N9" i="19"/>
  <c r="R9" i="19" s="1"/>
  <c r="F12" i="39"/>
  <c r="N4" i="29"/>
  <c r="N4" i="14"/>
  <c r="F17" i="34"/>
  <c r="F12" i="34" s="1"/>
  <c r="M11" i="34"/>
  <c r="M11" i="20"/>
  <c r="K13" i="34"/>
  <c r="F18" i="43"/>
  <c r="F17" i="29"/>
  <c r="F12" i="29" s="1"/>
  <c r="F17" i="21"/>
  <c r="F12" i="21" s="1"/>
  <c r="F18" i="11"/>
  <c r="F18" i="40"/>
  <c r="F18" i="32"/>
  <c r="F18" i="17"/>
  <c r="F18" i="36"/>
  <c r="F18" i="30"/>
  <c r="F18" i="28"/>
  <c r="J17" i="20"/>
  <c r="J13" i="20" s="1"/>
  <c r="F18" i="26"/>
  <c r="F18" i="22"/>
  <c r="F18" i="38"/>
  <c r="F18" i="24"/>
  <c r="F18" i="41"/>
  <c r="F18" i="42"/>
  <c r="F18" i="31"/>
  <c r="F18" i="33"/>
  <c r="F17" i="14"/>
  <c r="F12" i="14" s="1"/>
  <c r="F18" i="16"/>
  <c r="F18" i="27"/>
  <c r="F18" i="15"/>
  <c r="F18" i="23"/>
  <c r="R2" i="40"/>
  <c r="R2" i="41"/>
  <c r="R2" i="39"/>
  <c r="R2" i="38"/>
  <c r="R2" i="34"/>
  <c r="R2" i="33"/>
  <c r="R2" i="31"/>
  <c r="R2" i="32"/>
  <c r="R2" i="30"/>
  <c r="R2" i="29"/>
  <c r="R2" i="28"/>
  <c r="R2" i="26"/>
  <c r="R2" i="27"/>
  <c r="R2" i="24"/>
  <c r="R2" i="21"/>
  <c r="R2" i="17"/>
  <c r="R2" i="11"/>
  <c r="R2" i="19"/>
  <c r="D18" i="37"/>
  <c r="D18" i="14"/>
  <c r="K13" i="20"/>
  <c r="N9" i="20"/>
  <c r="N7" i="20"/>
  <c r="R7" i="20" s="1"/>
  <c r="I17" i="20"/>
  <c r="I13" i="20" s="1"/>
  <c r="L8" i="20"/>
  <c r="Q16" i="20"/>
  <c r="R16" i="20"/>
  <c r="B12" i="20"/>
  <c r="B18" i="20" s="1"/>
  <c r="J8" i="15"/>
  <c r="I18" i="11"/>
  <c r="J18" i="11" s="1"/>
  <c r="J8" i="11" s="1"/>
  <c r="I18" i="31"/>
  <c r="J18" i="31" s="1"/>
  <c r="J8" i="31" s="1"/>
  <c r="R2" i="42"/>
  <c r="I18" i="17"/>
  <c r="I8" i="17" s="1"/>
  <c r="I18" i="19"/>
  <c r="I8" i="19" s="1"/>
  <c r="I18" i="21"/>
  <c r="J18" i="21" s="1"/>
  <c r="J8" i="21" s="1"/>
  <c r="I18" i="33"/>
  <c r="I8" i="33" s="1"/>
  <c r="I18" i="16"/>
  <c r="I8" i="16" s="1"/>
  <c r="I18" i="22"/>
  <c r="J18" i="22" s="1"/>
  <c r="J8" i="22" s="1"/>
  <c r="I18" i="26"/>
  <c r="I8" i="26" s="1"/>
  <c r="R2" i="43"/>
  <c r="H17" i="14"/>
  <c r="H12" i="14" s="1"/>
  <c r="H18" i="14" s="1"/>
  <c r="N4" i="37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H17" i="17"/>
  <c r="H12" i="17" s="1"/>
  <c r="H18" i="17" s="1"/>
  <c r="I18" i="29"/>
  <c r="J18" i="29" s="1"/>
  <c r="J8" i="29" s="1"/>
  <c r="I18" i="39"/>
  <c r="I18" i="30"/>
  <c r="I18" i="38"/>
  <c r="I18" i="27"/>
  <c r="I18" i="36"/>
  <c r="I18" i="28"/>
  <c r="I18" i="32"/>
  <c r="I18" i="24"/>
  <c r="I18" i="42"/>
  <c r="I18" i="23"/>
  <c r="Q16" i="37"/>
  <c r="N2" i="36"/>
  <c r="B17" i="36"/>
  <c r="B12" i="36" s="1"/>
  <c r="B18" i="36" s="1"/>
  <c r="H17" i="11"/>
  <c r="H17" i="23"/>
  <c r="H12" i="23" s="1"/>
  <c r="H18" i="23" s="1"/>
  <c r="H17" i="21"/>
  <c r="H12" i="21" s="1"/>
  <c r="H18" i="21" s="1"/>
  <c r="H17" i="15"/>
  <c r="H12" i="15" s="1"/>
  <c r="H18" i="15" s="1"/>
  <c r="H17" i="34"/>
  <c r="H12" i="34" s="1"/>
  <c r="H18" i="34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32"/>
  <c r="H12" i="32" s="1"/>
  <c r="H18" i="32" s="1"/>
  <c r="H17" i="27"/>
  <c r="H12" i="27" s="1"/>
  <c r="H18" i="27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H17" i="38"/>
  <c r="H12" i="38" s="1"/>
  <c r="H18" i="38" s="1"/>
  <c r="K13" i="30"/>
  <c r="H17" i="41"/>
  <c r="H12" i="41" s="1"/>
  <c r="H18" i="41" s="1"/>
  <c r="H17" i="43"/>
  <c r="H12" i="43" s="1"/>
  <c r="H18" i="43" s="1"/>
  <c r="H17" i="30"/>
  <c r="H12" i="30" s="1"/>
  <c r="H18" i="30" s="1"/>
  <c r="I8" i="34"/>
  <c r="H17" i="29"/>
  <c r="H12" i="29" s="1"/>
  <c r="H18" i="29" s="1"/>
  <c r="K13" i="29"/>
  <c r="H17" i="26"/>
  <c r="H12" i="26" s="1"/>
  <c r="H18" i="26" s="1"/>
  <c r="H17" i="42"/>
  <c r="H12" i="42" s="1"/>
  <c r="H18" i="42" s="1"/>
  <c r="K13" i="38"/>
  <c r="K13" i="36"/>
  <c r="K13" i="26"/>
  <c r="K13" i="24"/>
  <c r="L3" i="39"/>
  <c r="K13" i="39"/>
  <c r="K13" i="32"/>
  <c r="K13" i="28"/>
  <c r="K13" i="33"/>
  <c r="K13" i="42"/>
  <c r="F17" i="37"/>
  <c r="F12" i="37" s="1"/>
  <c r="N7" i="34"/>
  <c r="R7" i="34" s="1"/>
  <c r="R16" i="29"/>
  <c r="Q16" i="29"/>
  <c r="R16" i="42"/>
  <c r="Q16" i="42"/>
  <c r="K13" i="3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R16" i="41"/>
  <c r="Q16" i="41"/>
  <c r="R16" i="27"/>
  <c r="Q16" i="27"/>
  <c r="Q16" i="43"/>
  <c r="R16" i="43"/>
  <c r="K13" i="27"/>
  <c r="K13" i="41"/>
  <c r="N7" i="23"/>
  <c r="R7" i="23" s="1"/>
  <c r="K9" i="43"/>
  <c r="I18" i="43"/>
  <c r="J18" i="43" s="1"/>
  <c r="J8" i="43" s="1"/>
  <c r="R16" i="30"/>
  <c r="Q16" i="30"/>
  <c r="R16" i="24"/>
  <c r="Q16" i="24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R16" i="34"/>
  <c r="Q16" i="34"/>
  <c r="K13" i="37"/>
  <c r="B16" i="23"/>
  <c r="J8" i="41"/>
  <c r="I8" i="41"/>
  <c r="R16" i="21"/>
  <c r="Q16" i="21"/>
  <c r="R16" i="17"/>
  <c r="Q16" i="17"/>
  <c r="R16" i="19"/>
  <c r="Q16" i="19"/>
  <c r="R16" i="14"/>
  <c r="Q16" i="14"/>
  <c r="R16" i="11"/>
  <c r="Q16" i="11"/>
  <c r="R16" i="16"/>
  <c r="Q16" i="16"/>
  <c r="R16" i="22"/>
  <c r="Q16" i="22"/>
  <c r="B17" i="15"/>
  <c r="B12" i="15" s="1"/>
  <c r="B18" i="15" s="1"/>
  <c r="L16" i="15"/>
  <c r="C12" i="14"/>
  <c r="R2" i="16"/>
  <c r="K13" i="15"/>
  <c r="K13" i="11"/>
  <c r="K13" i="16"/>
  <c r="M11" i="17"/>
  <c r="M11" i="16"/>
  <c r="M11" i="22"/>
  <c r="M11" i="15"/>
  <c r="M11" i="21"/>
  <c r="M11" i="14"/>
  <c r="M11" i="19"/>
  <c r="N2" i="15"/>
  <c r="N2" i="22"/>
  <c r="K13" i="19"/>
  <c r="K13" i="21"/>
  <c r="K13" i="22"/>
  <c r="K13" i="17"/>
  <c r="N7" i="17"/>
  <c r="R7" i="17" s="1"/>
  <c r="K13" i="14"/>
  <c r="N9" i="14"/>
  <c r="N6" i="14"/>
  <c r="R6" i="14" s="1"/>
  <c r="F18" i="39" l="1"/>
  <c r="Q16" i="36"/>
  <c r="F18" i="34"/>
  <c r="N8" i="20"/>
  <c r="R8" i="20" s="1"/>
  <c r="R4" i="29"/>
  <c r="R4" i="14"/>
  <c r="R11" i="20"/>
  <c r="R11" i="34"/>
  <c r="K18" i="34"/>
  <c r="R11" i="41"/>
  <c r="R11" i="29"/>
  <c r="I17" i="16"/>
  <c r="I13" i="16" s="1"/>
  <c r="J17" i="15"/>
  <c r="J13" i="15" s="1"/>
  <c r="R11" i="28"/>
  <c r="F18" i="14"/>
  <c r="K18" i="16"/>
  <c r="K18" i="41"/>
  <c r="K18" i="39"/>
  <c r="K18" i="14"/>
  <c r="K18" i="11"/>
  <c r="K18" i="27"/>
  <c r="L3" i="43"/>
  <c r="L3" i="42"/>
  <c r="G5" i="31"/>
  <c r="G5" i="40"/>
  <c r="R11" i="42"/>
  <c r="R11" i="38"/>
  <c r="L3" i="15"/>
  <c r="K18" i="38"/>
  <c r="L3" i="32"/>
  <c r="G5" i="16"/>
  <c r="L3" i="36"/>
  <c r="L3" i="34"/>
  <c r="K18" i="30"/>
  <c r="G5" i="24"/>
  <c r="R11" i="31"/>
  <c r="R11" i="24"/>
  <c r="J17" i="21"/>
  <c r="J13" i="21" s="1"/>
  <c r="K18" i="24"/>
  <c r="J17" i="29"/>
  <c r="J13" i="29" s="1"/>
  <c r="R11" i="23"/>
  <c r="R11" i="36"/>
  <c r="I17" i="19"/>
  <c r="I13" i="19" s="1"/>
  <c r="F18" i="29"/>
  <c r="R11" i="22"/>
  <c r="R11" i="19"/>
  <c r="K18" i="15"/>
  <c r="K18" i="17"/>
  <c r="F18" i="37"/>
  <c r="K18" i="26"/>
  <c r="G5" i="28"/>
  <c r="G5" i="30"/>
  <c r="R11" i="33"/>
  <c r="I17" i="17"/>
  <c r="I13" i="17" s="1"/>
  <c r="R11" i="14"/>
  <c r="F18" i="21"/>
  <c r="R11" i="21"/>
  <c r="C18" i="14"/>
  <c r="J17" i="41"/>
  <c r="J13" i="41" s="1"/>
  <c r="R11" i="15"/>
  <c r="K18" i="42"/>
  <c r="K18" i="36"/>
  <c r="L3" i="29"/>
  <c r="G5" i="11"/>
  <c r="R11" i="37"/>
  <c r="K18" i="22"/>
  <c r="K18" i="37"/>
  <c r="K18" i="33"/>
  <c r="R11" i="16"/>
  <c r="J17" i="43"/>
  <c r="J13" i="43" s="1"/>
  <c r="L3" i="38"/>
  <c r="L3" i="26"/>
  <c r="R11" i="32"/>
  <c r="R11" i="30"/>
  <c r="K18" i="31"/>
  <c r="R11" i="27"/>
  <c r="J17" i="31"/>
  <c r="J13" i="31" s="1"/>
  <c r="K18" i="21"/>
  <c r="Q11" i="43"/>
  <c r="K18" i="40"/>
  <c r="K18" i="28"/>
  <c r="K18" i="29"/>
  <c r="R11" i="40"/>
  <c r="R11" i="26"/>
  <c r="J17" i="11"/>
  <c r="J13" i="11" s="1"/>
  <c r="K18" i="20"/>
  <c r="K18" i="19"/>
  <c r="R11" i="17"/>
  <c r="K18" i="23"/>
  <c r="K18" i="32"/>
  <c r="L3" i="33"/>
  <c r="R11" i="39"/>
  <c r="R11" i="11"/>
  <c r="G5" i="23"/>
  <c r="G5" i="22"/>
  <c r="L3" i="17"/>
  <c r="R9" i="20"/>
  <c r="R9" i="14"/>
  <c r="R4" i="37"/>
  <c r="R2" i="36"/>
  <c r="R2" i="22"/>
  <c r="E14" i="20"/>
  <c r="L13" i="20"/>
  <c r="I8" i="15"/>
  <c r="J18" i="17"/>
  <c r="J8" i="17" s="1"/>
  <c r="J8" i="34"/>
  <c r="I8" i="11"/>
  <c r="J18" i="33"/>
  <c r="J8" i="33" s="1"/>
  <c r="L3" i="23"/>
  <c r="J18" i="16"/>
  <c r="J8" i="16" s="1"/>
  <c r="I8" i="22"/>
  <c r="J18" i="19"/>
  <c r="J8" i="19" s="1"/>
  <c r="I8" i="21"/>
  <c r="J18" i="26"/>
  <c r="J8" i="26" s="1"/>
  <c r="I8" i="31"/>
  <c r="N3" i="39"/>
  <c r="I8" i="29"/>
  <c r="I18" i="37"/>
  <c r="J18" i="39"/>
  <c r="J8" i="39" s="1"/>
  <c r="I8" i="39"/>
  <c r="J18" i="42"/>
  <c r="J8" i="42" s="1"/>
  <c r="I8" i="42"/>
  <c r="J18" i="24"/>
  <c r="J8" i="24" s="1"/>
  <c r="I8" i="24"/>
  <c r="J18" i="32"/>
  <c r="J8" i="32" s="1"/>
  <c r="I8" i="32"/>
  <c r="J18" i="28"/>
  <c r="J8" i="28" s="1"/>
  <c r="I8" i="28"/>
  <c r="J18" i="36"/>
  <c r="J8" i="36" s="1"/>
  <c r="I8" i="36"/>
  <c r="I8" i="27"/>
  <c r="J18" i="27"/>
  <c r="J8" i="27" s="1"/>
  <c r="J18" i="23"/>
  <c r="J8" i="23" s="1"/>
  <c r="I8" i="23"/>
  <c r="J18" i="38"/>
  <c r="J8" i="38" s="1"/>
  <c r="I8" i="38"/>
  <c r="J18" i="40"/>
  <c r="J8" i="40" s="1"/>
  <c r="I8" i="40"/>
  <c r="J18" i="30"/>
  <c r="J8" i="30" s="1"/>
  <c r="I8" i="30"/>
  <c r="G5" i="17"/>
  <c r="N2" i="37"/>
  <c r="R2" i="23"/>
  <c r="L3" i="22"/>
  <c r="L3" i="16"/>
  <c r="H17" i="37"/>
  <c r="H12" i="37" s="1"/>
  <c r="H18" i="37" s="1"/>
  <c r="L3" i="24"/>
  <c r="L3" i="40"/>
  <c r="L3" i="30"/>
  <c r="L3" i="31"/>
  <c r="L3" i="28"/>
  <c r="G5" i="26"/>
  <c r="G5" i="33"/>
  <c r="G5" i="41"/>
  <c r="G5" i="42"/>
  <c r="L3" i="41"/>
  <c r="G5" i="32"/>
  <c r="G5" i="27"/>
  <c r="L3" i="27"/>
  <c r="G5" i="29"/>
  <c r="G5" i="38"/>
  <c r="G5" i="36"/>
  <c r="L5" i="39"/>
  <c r="I8" i="43"/>
  <c r="G5" i="43"/>
  <c r="I17" i="26"/>
  <c r="I13" i="26" s="1"/>
  <c r="K17" i="43"/>
  <c r="L9" i="43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L3" i="21"/>
  <c r="R2" i="15"/>
  <c r="G5" i="21"/>
  <c r="G5" i="14"/>
  <c r="L3" i="14"/>
  <c r="N9" i="43" l="1"/>
  <c r="R9" i="43" s="1"/>
  <c r="N3" i="34"/>
  <c r="N3" i="36"/>
  <c r="N3" i="42"/>
  <c r="N3" i="32"/>
  <c r="N3" i="43"/>
  <c r="N3" i="26"/>
  <c r="N3" i="38"/>
  <c r="N3" i="15"/>
  <c r="N3" i="33"/>
  <c r="N3" i="29"/>
  <c r="G17" i="31"/>
  <c r="L5" i="16"/>
  <c r="G17" i="30"/>
  <c r="G17" i="23"/>
  <c r="G17" i="24"/>
  <c r="G17" i="40"/>
  <c r="L5" i="21"/>
  <c r="L5" i="43"/>
  <c r="L5" i="32"/>
  <c r="J17" i="23"/>
  <c r="J13" i="23" s="1"/>
  <c r="J17" i="27"/>
  <c r="J13" i="27" s="1"/>
  <c r="I17" i="21"/>
  <c r="I13" i="21" s="1"/>
  <c r="L8" i="17"/>
  <c r="L5" i="30"/>
  <c r="J17" i="26"/>
  <c r="J13" i="26" s="1"/>
  <c r="J17" i="34"/>
  <c r="J13" i="34" s="1"/>
  <c r="L5" i="36"/>
  <c r="L5" i="38"/>
  <c r="L5" i="41"/>
  <c r="L5" i="17"/>
  <c r="J17" i="42"/>
  <c r="J13" i="42" s="1"/>
  <c r="L5" i="28"/>
  <c r="L5" i="29"/>
  <c r="L5" i="33"/>
  <c r="L5" i="14"/>
  <c r="L3" i="37"/>
  <c r="L5" i="26"/>
  <c r="J17" i="30"/>
  <c r="J13" i="30" s="1"/>
  <c r="J17" i="36"/>
  <c r="J13" i="36" s="1"/>
  <c r="J17" i="39"/>
  <c r="J13" i="39" s="1"/>
  <c r="I17" i="22"/>
  <c r="I13" i="22" s="1"/>
  <c r="L5" i="23"/>
  <c r="J17" i="24"/>
  <c r="J13" i="24" s="1"/>
  <c r="L5" i="42"/>
  <c r="J17" i="19"/>
  <c r="J13" i="19" s="1"/>
  <c r="L8" i="15"/>
  <c r="J17" i="16"/>
  <c r="J13" i="16" s="1"/>
  <c r="L5" i="27"/>
  <c r="J17" i="40"/>
  <c r="J13" i="40" s="1"/>
  <c r="J17" i="28"/>
  <c r="J13" i="28" s="1"/>
  <c r="I17" i="29"/>
  <c r="I13" i="29" s="1"/>
  <c r="L5" i="22"/>
  <c r="G17" i="11"/>
  <c r="L5" i="24"/>
  <c r="I17" i="43"/>
  <c r="I13" i="43" s="1"/>
  <c r="G17" i="28"/>
  <c r="J17" i="38"/>
  <c r="J13" i="38" s="1"/>
  <c r="J17" i="32"/>
  <c r="J13" i="32" s="1"/>
  <c r="J17" i="33"/>
  <c r="J13" i="33" s="1"/>
  <c r="L5" i="40"/>
  <c r="I17" i="31"/>
  <c r="I13" i="31" s="1"/>
  <c r="I17" i="11"/>
  <c r="I13" i="11" s="1"/>
  <c r="L5" i="31"/>
  <c r="G17" i="16"/>
  <c r="G17" i="22"/>
  <c r="N3" i="17"/>
  <c r="Q5" i="39"/>
  <c r="N3" i="23"/>
  <c r="R3" i="39"/>
  <c r="R2" i="37"/>
  <c r="L4" i="20"/>
  <c r="L14" i="20"/>
  <c r="I17" i="15"/>
  <c r="I13" i="15" s="1"/>
  <c r="J17" i="17"/>
  <c r="J13" i="17" s="1"/>
  <c r="L8" i="11"/>
  <c r="L8" i="34"/>
  <c r="L8" i="33"/>
  <c r="L8" i="22"/>
  <c r="L8" i="16"/>
  <c r="L8" i="19"/>
  <c r="L8" i="21"/>
  <c r="L8" i="26"/>
  <c r="L8" i="31"/>
  <c r="N3" i="27"/>
  <c r="N3" i="28"/>
  <c r="N3" i="31"/>
  <c r="N3" i="24"/>
  <c r="N3" i="16"/>
  <c r="N3" i="41"/>
  <c r="N3" i="30"/>
  <c r="N3" i="22"/>
  <c r="N3" i="21"/>
  <c r="N3" i="40"/>
  <c r="M11" i="43"/>
  <c r="L8" i="29"/>
  <c r="G17" i="17"/>
  <c r="L8" i="40"/>
  <c r="I17" i="40"/>
  <c r="I13" i="40" s="1"/>
  <c r="I17" i="28"/>
  <c r="I13" i="28" s="1"/>
  <c r="L8" i="28"/>
  <c r="I17" i="39"/>
  <c r="I13" i="39" s="1"/>
  <c r="L8" i="39"/>
  <c r="L8" i="38"/>
  <c r="I17" i="38"/>
  <c r="I13" i="38" s="1"/>
  <c r="I17" i="32"/>
  <c r="I13" i="32" s="1"/>
  <c r="L8" i="32"/>
  <c r="J18" i="37"/>
  <c r="J8" i="37" s="1"/>
  <c r="I8" i="37"/>
  <c r="L8" i="23"/>
  <c r="I17" i="23"/>
  <c r="I13" i="23" s="1"/>
  <c r="I17" i="24"/>
  <c r="I13" i="24" s="1"/>
  <c r="L8" i="24"/>
  <c r="I17" i="27"/>
  <c r="I13" i="27" s="1"/>
  <c r="L8" i="27"/>
  <c r="L8" i="30"/>
  <c r="I17" i="30"/>
  <c r="I13" i="30" s="1"/>
  <c r="I17" i="36"/>
  <c r="I13" i="36" s="1"/>
  <c r="L8" i="36"/>
  <c r="I17" i="42"/>
  <c r="I13" i="42" s="1"/>
  <c r="L8" i="42"/>
  <c r="G17" i="41"/>
  <c r="G17" i="32"/>
  <c r="G17" i="26"/>
  <c r="G17" i="27"/>
  <c r="G17" i="38"/>
  <c r="G17" i="33"/>
  <c r="G17" i="42"/>
  <c r="G17" i="43"/>
  <c r="G17" i="29"/>
  <c r="G17" i="36"/>
  <c r="L8" i="43"/>
  <c r="G17" i="39"/>
  <c r="G5" i="37"/>
  <c r="R5" i="39"/>
  <c r="K13" i="43"/>
  <c r="R16" i="23"/>
  <c r="Q16" i="23"/>
  <c r="B12" i="23"/>
  <c r="B18" i="23" s="1"/>
  <c r="N8" i="41"/>
  <c r="I13" i="41"/>
  <c r="G17" i="21"/>
  <c r="G17" i="14"/>
  <c r="N3" i="14"/>
  <c r="E14" i="32" l="1"/>
  <c r="N8" i="15"/>
  <c r="R8" i="15" s="1"/>
  <c r="N8" i="26"/>
  <c r="R8" i="26" s="1"/>
  <c r="N8" i="43"/>
  <c r="R8" i="43" s="1"/>
  <c r="N8" i="38"/>
  <c r="R8" i="38" s="1"/>
  <c r="N8" i="31"/>
  <c r="R8" i="31" s="1"/>
  <c r="N8" i="21"/>
  <c r="R8" i="21" s="1"/>
  <c r="N8" i="11"/>
  <c r="R8" i="11" s="1"/>
  <c r="N8" i="24"/>
  <c r="R8" i="24" s="1"/>
  <c r="N8" i="42"/>
  <c r="R8" i="42" s="1"/>
  <c r="N8" i="36"/>
  <c r="R8" i="36" s="1"/>
  <c r="N8" i="23"/>
  <c r="R8" i="23" s="1"/>
  <c r="N8" i="39"/>
  <c r="R8" i="39" s="1"/>
  <c r="N8" i="28"/>
  <c r="R8" i="28" s="1"/>
  <c r="N8" i="27"/>
  <c r="R8" i="27" s="1"/>
  <c r="N8" i="16"/>
  <c r="R8" i="16" s="1"/>
  <c r="N8" i="40"/>
  <c r="R8" i="40" s="1"/>
  <c r="N8" i="22"/>
  <c r="R8" i="22" s="1"/>
  <c r="N8" i="17"/>
  <c r="R8" i="17" s="1"/>
  <c r="N8" i="32"/>
  <c r="R8" i="32" s="1"/>
  <c r="N8" i="33"/>
  <c r="R8" i="33" s="1"/>
  <c r="N8" i="30"/>
  <c r="R8" i="30" s="1"/>
  <c r="N8" i="29"/>
  <c r="R8" i="29" s="1"/>
  <c r="N8" i="34"/>
  <c r="N8" i="19"/>
  <c r="R8" i="19" s="1"/>
  <c r="G12" i="21"/>
  <c r="G12" i="14"/>
  <c r="G12" i="39"/>
  <c r="G12" i="32"/>
  <c r="G12" i="28"/>
  <c r="G12" i="36"/>
  <c r="G12" i="41"/>
  <c r="G12" i="22"/>
  <c r="G12" i="16"/>
  <c r="G12" i="29"/>
  <c r="G12" i="43"/>
  <c r="G12" i="42"/>
  <c r="G12" i="11"/>
  <c r="G12" i="40"/>
  <c r="G12" i="33"/>
  <c r="G12" i="24"/>
  <c r="G12" i="23"/>
  <c r="G12" i="27"/>
  <c r="G12" i="30"/>
  <c r="G12" i="38"/>
  <c r="G12" i="26"/>
  <c r="G12" i="31"/>
  <c r="R3" i="32"/>
  <c r="R3" i="42"/>
  <c r="R3" i="36"/>
  <c r="R3" i="34"/>
  <c r="R3" i="29"/>
  <c r="R3" i="33"/>
  <c r="R3" i="15"/>
  <c r="R3" i="38"/>
  <c r="R3" i="26"/>
  <c r="R3" i="43"/>
  <c r="R5" i="22"/>
  <c r="Q5" i="33"/>
  <c r="R5" i="29"/>
  <c r="Q5" i="16"/>
  <c r="Q5" i="17"/>
  <c r="R5" i="27"/>
  <c r="Q5" i="26"/>
  <c r="Q5" i="41"/>
  <c r="Q5" i="32"/>
  <c r="N3" i="37"/>
  <c r="Q5" i="38"/>
  <c r="R5" i="43"/>
  <c r="R5" i="42"/>
  <c r="Q5" i="14"/>
  <c r="Q5" i="36"/>
  <c r="Q5" i="21"/>
  <c r="R5" i="16"/>
  <c r="E14" i="31"/>
  <c r="L13" i="29"/>
  <c r="E14" i="22"/>
  <c r="E14" i="21"/>
  <c r="E14" i="11"/>
  <c r="L13" i="34"/>
  <c r="E14" i="26"/>
  <c r="L13" i="16"/>
  <c r="L13" i="19"/>
  <c r="E14" i="33"/>
  <c r="E14" i="34"/>
  <c r="G5" i="34" s="1"/>
  <c r="R5" i="36"/>
  <c r="R5" i="21"/>
  <c r="R5" i="41"/>
  <c r="R5" i="14"/>
  <c r="L13" i="21"/>
  <c r="E14" i="16"/>
  <c r="L13" i="22"/>
  <c r="R5" i="33"/>
  <c r="R5" i="32"/>
  <c r="L13" i="33"/>
  <c r="R5" i="26"/>
  <c r="R5" i="38"/>
  <c r="Q5" i="43"/>
  <c r="Q5" i="22"/>
  <c r="R5" i="17"/>
  <c r="Q5" i="27"/>
  <c r="Q5" i="42"/>
  <c r="E14" i="19"/>
  <c r="L13" i="31"/>
  <c r="R5" i="24"/>
  <c r="Q5" i="24"/>
  <c r="R11" i="43"/>
  <c r="Q5" i="40"/>
  <c r="R5" i="40"/>
  <c r="R3" i="23"/>
  <c r="Q5" i="29"/>
  <c r="E14" i="29"/>
  <c r="R3" i="17"/>
  <c r="R5" i="23"/>
  <c r="Q5" i="23"/>
  <c r="Q5" i="30"/>
  <c r="R5" i="30"/>
  <c r="E14" i="17"/>
  <c r="L5" i="37"/>
  <c r="J17" i="37"/>
  <c r="J13" i="37" s="1"/>
  <c r="L13" i="26"/>
  <c r="E14" i="15"/>
  <c r="Q5" i="31"/>
  <c r="R5" i="31"/>
  <c r="R5" i="28"/>
  <c r="Q5" i="28"/>
  <c r="K18" i="43"/>
  <c r="L13" i="11"/>
  <c r="N4" i="20"/>
  <c r="G12" i="17"/>
  <c r="R3" i="21"/>
  <c r="R3" i="22"/>
  <c r="R3" i="40"/>
  <c r="R3" i="27"/>
  <c r="R3" i="30"/>
  <c r="R3" i="41"/>
  <c r="R3" i="14"/>
  <c r="R3" i="16"/>
  <c r="R3" i="24"/>
  <c r="R3" i="31"/>
  <c r="R3" i="28"/>
  <c r="L5" i="20"/>
  <c r="Q14" i="20"/>
  <c r="R14" i="20"/>
  <c r="L13" i="15"/>
  <c r="L13" i="17"/>
  <c r="R8" i="41"/>
  <c r="E17" i="39"/>
  <c r="L17" i="39" s="1"/>
  <c r="E14" i="42"/>
  <c r="L13" i="42"/>
  <c r="E14" i="23"/>
  <c r="L13" i="23"/>
  <c r="E14" i="39"/>
  <c r="L13" i="39"/>
  <c r="E14" i="36"/>
  <c r="L13" i="36"/>
  <c r="E14" i="28"/>
  <c r="L13" i="28"/>
  <c r="L13" i="30"/>
  <c r="E14" i="30"/>
  <c r="L8" i="37"/>
  <c r="I17" i="37"/>
  <c r="I13" i="37" s="1"/>
  <c r="L13" i="40"/>
  <c r="E14" i="40"/>
  <c r="L13" i="27"/>
  <c r="E14" i="27"/>
  <c r="L13" i="32"/>
  <c r="L13" i="38"/>
  <c r="E14" i="38"/>
  <c r="L13" i="24"/>
  <c r="E14" i="24"/>
  <c r="G17" i="37"/>
  <c r="E14" i="43"/>
  <c r="L13" i="43"/>
  <c r="E14" i="41"/>
  <c r="L13" i="41"/>
  <c r="G4" i="34" l="1"/>
  <c r="L5" i="34"/>
  <c r="G18" i="43"/>
  <c r="G18" i="42"/>
  <c r="G18" i="41"/>
  <c r="G18" i="40"/>
  <c r="G18" i="16"/>
  <c r="G18" i="39"/>
  <c r="G18" i="38"/>
  <c r="G18" i="36"/>
  <c r="G18" i="33"/>
  <c r="G18" i="32"/>
  <c r="G18" i="31"/>
  <c r="G18" i="30"/>
  <c r="G18" i="29"/>
  <c r="G18" i="28"/>
  <c r="G18" i="27"/>
  <c r="G18" i="26"/>
  <c r="G18" i="14"/>
  <c r="G18" i="24"/>
  <c r="G18" i="23"/>
  <c r="G18" i="22"/>
  <c r="G18" i="21"/>
  <c r="G18" i="11"/>
  <c r="R8" i="34"/>
  <c r="E17" i="43"/>
  <c r="E12" i="43" s="1"/>
  <c r="E17" i="14"/>
  <c r="E12" i="14" s="1"/>
  <c r="E17" i="16"/>
  <c r="L17" i="16" s="1"/>
  <c r="Q17" i="16" s="1"/>
  <c r="E17" i="28"/>
  <c r="E12" i="28" s="1"/>
  <c r="E17" i="30"/>
  <c r="E12" i="30" s="1"/>
  <c r="E17" i="23"/>
  <c r="E12" i="23" s="1"/>
  <c r="E17" i="24"/>
  <c r="E12" i="24" s="1"/>
  <c r="E17" i="33"/>
  <c r="E12" i="33" s="1"/>
  <c r="E17" i="38"/>
  <c r="E12" i="38" s="1"/>
  <c r="E17" i="31"/>
  <c r="E12" i="31" s="1"/>
  <c r="E17" i="32"/>
  <c r="E12" i="32" s="1"/>
  <c r="E17" i="29"/>
  <c r="E15" i="29" s="1"/>
  <c r="E17" i="42"/>
  <c r="E12" i="42" s="1"/>
  <c r="E17" i="41"/>
  <c r="E12" i="41" s="1"/>
  <c r="E17" i="27"/>
  <c r="E15" i="27" s="1"/>
  <c r="E17" i="26"/>
  <c r="E12" i="26" s="1"/>
  <c r="E17" i="21"/>
  <c r="L17" i="21" s="1"/>
  <c r="Q17" i="21" s="1"/>
  <c r="E17" i="40"/>
  <c r="E12" i="40" s="1"/>
  <c r="E17" i="22"/>
  <c r="L17" i="22" s="1"/>
  <c r="R17" i="22" s="1"/>
  <c r="E17" i="36"/>
  <c r="E12" i="36" s="1"/>
  <c r="E17" i="17"/>
  <c r="E12" i="17" s="1"/>
  <c r="N8" i="37"/>
  <c r="R8" i="37" s="1"/>
  <c r="G12" i="37"/>
  <c r="R3" i="37"/>
  <c r="Q5" i="37"/>
  <c r="L14" i="33"/>
  <c r="L14" i="22"/>
  <c r="L14" i="34"/>
  <c r="L14" i="26"/>
  <c r="L14" i="11"/>
  <c r="L14" i="21"/>
  <c r="L14" i="31"/>
  <c r="L14" i="16"/>
  <c r="L14" i="19"/>
  <c r="L14" i="15"/>
  <c r="L14" i="17"/>
  <c r="G18" i="17"/>
  <c r="R5" i="37"/>
  <c r="L14" i="29"/>
  <c r="R4" i="20"/>
  <c r="Q5" i="20"/>
  <c r="L3" i="20"/>
  <c r="G17" i="20"/>
  <c r="R5" i="20"/>
  <c r="L14" i="39"/>
  <c r="L14" i="32"/>
  <c r="L14" i="27"/>
  <c r="L14" i="42"/>
  <c r="L14" i="38"/>
  <c r="L14" i="40"/>
  <c r="L14" i="36"/>
  <c r="E15" i="39"/>
  <c r="E12" i="39"/>
  <c r="L14" i="28"/>
  <c r="L13" i="37"/>
  <c r="E14" i="37"/>
  <c r="L14" i="30"/>
  <c r="L14" i="24"/>
  <c r="L14" i="23"/>
  <c r="L14" i="43"/>
  <c r="R17" i="39"/>
  <c r="Q17" i="39"/>
  <c r="L14" i="41"/>
  <c r="R5" i="34" l="1"/>
  <c r="Q5" i="34"/>
  <c r="E17" i="34" s="1"/>
  <c r="E12" i="34" s="1"/>
  <c r="E18" i="34" s="1"/>
  <c r="L4" i="34"/>
  <c r="G17" i="34"/>
  <c r="G12" i="34" s="1"/>
  <c r="G18" i="34" s="1"/>
  <c r="L12" i="43"/>
  <c r="R12" i="43" s="1"/>
  <c r="L12" i="42"/>
  <c r="R12" i="42" s="1"/>
  <c r="L12" i="41"/>
  <c r="R12" i="41" s="1"/>
  <c r="L12" i="40"/>
  <c r="Q12" i="40" s="1"/>
  <c r="E18" i="38"/>
  <c r="G18" i="37"/>
  <c r="L12" i="36"/>
  <c r="R12" i="36" s="1"/>
  <c r="E18" i="33"/>
  <c r="E18" i="32"/>
  <c r="E18" i="31"/>
  <c r="E18" i="30"/>
  <c r="E18" i="28"/>
  <c r="L12" i="26"/>
  <c r="Q12" i="26" s="1"/>
  <c r="E18" i="24"/>
  <c r="L12" i="23"/>
  <c r="R12" i="23" s="1"/>
  <c r="E18" i="17"/>
  <c r="Q14" i="40"/>
  <c r="R14" i="38"/>
  <c r="R14" i="21"/>
  <c r="Q14" i="27"/>
  <c r="R14" i="26"/>
  <c r="R14" i="32"/>
  <c r="R14" i="17"/>
  <c r="Q14" i="34"/>
  <c r="R14" i="31"/>
  <c r="Q14" i="39"/>
  <c r="R14" i="15"/>
  <c r="R14" i="22"/>
  <c r="R14" i="33"/>
  <c r="R14" i="19"/>
  <c r="R14" i="36"/>
  <c r="Q14" i="16"/>
  <c r="Q14" i="43"/>
  <c r="Q14" i="42"/>
  <c r="Q14" i="11"/>
  <c r="E12" i="27"/>
  <c r="E15" i="23"/>
  <c r="L17" i="27"/>
  <c r="R17" i="27" s="1"/>
  <c r="E15" i="28"/>
  <c r="E18" i="42"/>
  <c r="L17" i="42"/>
  <c r="Q17" i="42" s="1"/>
  <c r="E18" i="26"/>
  <c r="L12" i="38"/>
  <c r="R12" i="38" s="1"/>
  <c r="L17" i="30"/>
  <c r="Q17" i="30" s="1"/>
  <c r="E15" i="38"/>
  <c r="E15" i="41"/>
  <c r="E15" i="30"/>
  <c r="L17" i="41"/>
  <c r="R17" i="41" s="1"/>
  <c r="R17" i="21"/>
  <c r="L12" i="33"/>
  <c r="Q12" i="33" s="1"/>
  <c r="E15" i="36"/>
  <c r="E15" i="33"/>
  <c r="E15" i="40"/>
  <c r="E18" i="41"/>
  <c r="L12" i="30"/>
  <c r="R12" i="30" s="1"/>
  <c r="E18" i="40"/>
  <c r="L17" i="38"/>
  <c r="R17" i="38" s="1"/>
  <c r="L17" i="40"/>
  <c r="R17" i="40" s="1"/>
  <c r="L17" i="33"/>
  <c r="Q17" i="33" s="1"/>
  <c r="L12" i="24"/>
  <c r="R12" i="24" s="1"/>
  <c r="E15" i="32"/>
  <c r="L12" i="32"/>
  <c r="R12" i="32" s="1"/>
  <c r="E18" i="43"/>
  <c r="L12" i="28"/>
  <c r="R12" i="28" s="1"/>
  <c r="E15" i="42"/>
  <c r="E18" i="23"/>
  <c r="E12" i="22"/>
  <c r="E15" i="21"/>
  <c r="E18" i="36"/>
  <c r="L17" i="23"/>
  <c r="R17" i="23" s="1"/>
  <c r="E15" i="17"/>
  <c r="E15" i="43"/>
  <c r="E12" i="21"/>
  <c r="E15" i="31"/>
  <c r="E15" i="26"/>
  <c r="Q17" i="22"/>
  <c r="L17" i="26"/>
  <c r="Q17" i="26" s="1"/>
  <c r="L17" i="36"/>
  <c r="Q17" i="36" s="1"/>
  <c r="E12" i="29"/>
  <c r="L12" i="31"/>
  <c r="Q12" i="31" s="1"/>
  <c r="L17" i="31"/>
  <c r="R17" i="31" s="1"/>
  <c r="R17" i="16"/>
  <c r="L17" i="29"/>
  <c r="R17" i="29" s="1"/>
  <c r="E15" i="22"/>
  <c r="E17" i="37"/>
  <c r="E12" i="37" s="1"/>
  <c r="L17" i="17"/>
  <c r="R17" i="17" s="1"/>
  <c r="E15" i="16"/>
  <c r="E12" i="16"/>
  <c r="E15" i="24"/>
  <c r="L17" i="43"/>
  <c r="R17" i="43" s="1"/>
  <c r="E17" i="20"/>
  <c r="L17" i="20" s="1"/>
  <c r="L17" i="24"/>
  <c r="R17" i="24" s="1"/>
  <c r="L17" i="32"/>
  <c r="R17" i="32" s="1"/>
  <c r="L12" i="17"/>
  <c r="Q12" i="17" s="1"/>
  <c r="L17" i="28"/>
  <c r="Q17" i="28" s="1"/>
  <c r="Q14" i="33"/>
  <c r="Q14" i="22"/>
  <c r="R14" i="34"/>
  <c r="Q14" i="31"/>
  <c r="Q14" i="21"/>
  <c r="R14" i="11"/>
  <c r="Q14" i="26"/>
  <c r="Q14" i="19"/>
  <c r="R14" i="16"/>
  <c r="M13" i="29"/>
  <c r="Q14" i="15"/>
  <c r="Q14" i="17"/>
  <c r="L15" i="29"/>
  <c r="Q15" i="29" s="1"/>
  <c r="R14" i="29"/>
  <c r="Q14" i="29"/>
  <c r="N3" i="20"/>
  <c r="G12" i="20"/>
  <c r="L12" i="39"/>
  <c r="R12" i="39" s="1"/>
  <c r="E18" i="39"/>
  <c r="L12" i="14"/>
  <c r="R12" i="14" s="1"/>
  <c r="E18" i="14"/>
  <c r="R14" i="39"/>
  <c r="R14" i="40"/>
  <c r="Q14" i="32"/>
  <c r="R14" i="27"/>
  <c r="R14" i="42"/>
  <c r="Q14" i="38"/>
  <c r="M13" i="27"/>
  <c r="Q14" i="36"/>
  <c r="L14" i="37"/>
  <c r="L15" i="27"/>
  <c r="Q15" i="27" s="1"/>
  <c r="M13" i="39"/>
  <c r="L15" i="39"/>
  <c r="Q14" i="28"/>
  <c r="R14" i="28"/>
  <c r="R14" i="23"/>
  <c r="Q14" i="23"/>
  <c r="Q14" i="30"/>
  <c r="R14" i="30"/>
  <c r="R14" i="24"/>
  <c r="Q14" i="24"/>
  <c r="R14" i="43"/>
  <c r="Q14" i="41"/>
  <c r="R14" i="41"/>
  <c r="E15" i="34" l="1"/>
  <c r="M13" i="34" s="1"/>
  <c r="L17" i="34"/>
  <c r="Q17" i="34" s="1"/>
  <c r="N4" i="34"/>
  <c r="R4" i="34" s="1"/>
  <c r="L12" i="34"/>
  <c r="Q12" i="34" s="1"/>
  <c r="Q12" i="42"/>
  <c r="Q12" i="43"/>
  <c r="Q12" i="41"/>
  <c r="R12" i="40"/>
  <c r="L12" i="16"/>
  <c r="R12" i="16" s="1"/>
  <c r="Q12" i="36"/>
  <c r="E18" i="37"/>
  <c r="L12" i="29"/>
  <c r="R12" i="29" s="1"/>
  <c r="R12" i="26"/>
  <c r="E18" i="27"/>
  <c r="Q12" i="23"/>
  <c r="E18" i="22"/>
  <c r="L12" i="21"/>
  <c r="R12" i="21" s="1"/>
  <c r="M13" i="24"/>
  <c r="M13" i="22"/>
  <c r="M13" i="31"/>
  <c r="M13" i="21"/>
  <c r="L15" i="28"/>
  <c r="R15" i="28" s="1"/>
  <c r="L15" i="30"/>
  <c r="R15" i="30" s="1"/>
  <c r="L15" i="23"/>
  <c r="Q15" i="23" s="1"/>
  <c r="Q14" i="37"/>
  <c r="M13" i="42"/>
  <c r="L15" i="41"/>
  <c r="R15" i="41" s="1"/>
  <c r="L15" i="38"/>
  <c r="R15" i="38" s="1"/>
  <c r="M13" i="40"/>
  <c r="M13" i="16"/>
  <c r="L15" i="43"/>
  <c r="Q15" i="43" s="1"/>
  <c r="M13" i="33"/>
  <c r="M13" i="17"/>
  <c r="M13" i="32"/>
  <c r="L15" i="36"/>
  <c r="R15" i="36" s="1"/>
  <c r="L15" i="26"/>
  <c r="R15" i="26" s="1"/>
  <c r="L12" i="27"/>
  <c r="Q12" i="27" s="1"/>
  <c r="M13" i="38"/>
  <c r="L15" i="42"/>
  <c r="R15" i="42" s="1"/>
  <c r="M13" i="41"/>
  <c r="Q17" i="41"/>
  <c r="M13" i="23"/>
  <c r="Q12" i="32"/>
  <c r="M13" i="28"/>
  <c r="R17" i="30"/>
  <c r="L15" i="40"/>
  <c r="Q15" i="40" s="1"/>
  <c r="L15" i="24"/>
  <c r="R15" i="24" s="1"/>
  <c r="R17" i="42"/>
  <c r="Q12" i="38"/>
  <c r="Q17" i="27"/>
  <c r="E18" i="29"/>
  <c r="Q17" i="38"/>
  <c r="L15" i="21"/>
  <c r="Q15" i="21" s="1"/>
  <c r="R17" i="33"/>
  <c r="M13" i="36"/>
  <c r="E18" i="21"/>
  <c r="E12" i="20"/>
  <c r="M13" i="43"/>
  <c r="L15" i="32"/>
  <c r="Q15" i="32" s="1"/>
  <c r="L15" i="17"/>
  <c r="R15" i="17" s="1"/>
  <c r="Q12" i="28"/>
  <c r="M13" i="26"/>
  <c r="Q17" i="40"/>
  <c r="L12" i="37"/>
  <c r="Q12" i="37" s="1"/>
  <c r="Q12" i="30"/>
  <c r="E15" i="37"/>
  <c r="M13" i="30"/>
  <c r="L17" i="37"/>
  <c r="Q17" i="37" s="1"/>
  <c r="L15" i="16"/>
  <c r="R15" i="16" s="1"/>
  <c r="R17" i="36"/>
  <c r="R12" i="33"/>
  <c r="L15" i="33"/>
  <c r="Q15" i="33" s="1"/>
  <c r="R12" i="17"/>
  <c r="Q17" i="32"/>
  <c r="L15" i="22"/>
  <c r="R15" i="22" s="1"/>
  <c r="Q12" i="24"/>
  <c r="L15" i="31"/>
  <c r="R15" i="31" s="1"/>
  <c r="Q17" i="23"/>
  <c r="E18" i="16"/>
  <c r="Q17" i="24"/>
  <c r="Q17" i="29"/>
  <c r="L12" i="22"/>
  <c r="Q12" i="22" s="1"/>
  <c r="Q17" i="17"/>
  <c r="E15" i="20"/>
  <c r="R17" i="28"/>
  <c r="R17" i="26"/>
  <c r="Q17" i="43"/>
  <c r="Q17" i="31"/>
  <c r="R12" i="31"/>
  <c r="Q13" i="29"/>
  <c r="R13" i="29"/>
  <c r="R15" i="29"/>
  <c r="Q13" i="27"/>
  <c r="G18" i="20"/>
  <c r="R3" i="20"/>
  <c r="Q12" i="14"/>
  <c r="Q12" i="39"/>
  <c r="R17" i="20"/>
  <c r="Q17" i="20"/>
  <c r="R14" i="37"/>
  <c r="R13" i="27"/>
  <c r="R15" i="27"/>
  <c r="Q15" i="39"/>
  <c r="R15" i="39"/>
  <c r="R13" i="39"/>
  <c r="Q13" i="39"/>
  <c r="L15" i="34" l="1"/>
  <c r="Q15" i="34" s="1"/>
  <c r="R17" i="34"/>
  <c r="R12" i="34"/>
  <c r="R13" i="43"/>
  <c r="Q13" i="42"/>
  <c r="R13" i="41"/>
  <c r="R13" i="40"/>
  <c r="Q12" i="16"/>
  <c r="R13" i="16"/>
  <c r="Q13" i="38"/>
  <c r="R13" i="36"/>
  <c r="R13" i="34"/>
  <c r="R13" i="33"/>
  <c r="R13" i="31"/>
  <c r="Q13" i="30"/>
  <c r="Q12" i="29"/>
  <c r="R13" i="28"/>
  <c r="Q13" i="26"/>
  <c r="Q13" i="24"/>
  <c r="R13" i="23"/>
  <c r="R13" i="22"/>
  <c r="Q12" i="21"/>
  <c r="R13" i="21"/>
  <c r="R13" i="17"/>
  <c r="L12" i="20"/>
  <c r="R12" i="20" s="1"/>
  <c r="Q13" i="22"/>
  <c r="Q15" i="38"/>
  <c r="Q13" i="16"/>
  <c r="Q13" i="31"/>
  <c r="Q15" i="28"/>
  <c r="Q13" i="40"/>
  <c r="R15" i="23"/>
  <c r="Q15" i="30"/>
  <c r="Q13" i="33"/>
  <c r="Q13" i="34"/>
  <c r="R15" i="43"/>
  <c r="Q15" i="26"/>
  <c r="R13" i="42"/>
  <c r="R13" i="24"/>
  <c r="Q15" i="41"/>
  <c r="R12" i="27"/>
  <c r="M13" i="20"/>
  <c r="M13" i="37"/>
  <c r="Q15" i="36"/>
  <c r="Q13" i="17"/>
  <c r="Q13" i="32"/>
  <c r="R13" i="32"/>
  <c r="Q13" i="21"/>
  <c r="R13" i="38"/>
  <c r="Q15" i="42"/>
  <c r="Q13" i="28"/>
  <c r="R15" i="21"/>
  <c r="R15" i="40"/>
  <c r="Q13" i="41"/>
  <c r="Q13" i="23"/>
  <c r="Q13" i="36"/>
  <c r="E18" i="20"/>
  <c r="Q13" i="43"/>
  <c r="R12" i="37"/>
  <c r="Q15" i="24"/>
  <c r="R15" i="32"/>
  <c r="R13" i="26"/>
  <c r="L15" i="37"/>
  <c r="R15" i="37" s="1"/>
  <c r="R17" i="37"/>
  <c r="R13" i="30"/>
  <c r="R15" i="33"/>
  <c r="Q15" i="17"/>
  <c r="Q15" i="31"/>
  <c r="Q15" i="16"/>
  <c r="Q15" i="22"/>
  <c r="R12" i="22"/>
  <c r="L15" i="20"/>
  <c r="R15" i="20" s="1"/>
  <c r="L2" i="14"/>
  <c r="P2" i="14" s="1"/>
  <c r="R15" i="34" l="1"/>
  <c r="Q13" i="37"/>
  <c r="Q12" i="20"/>
  <c r="R13" i="20"/>
  <c r="R13" i="37"/>
  <c r="Q13" i="20"/>
  <c r="Q15" i="37"/>
  <c r="Q15" i="20"/>
  <c r="N2" i="14"/>
  <c r="L3" i="11"/>
  <c r="C12" i="11"/>
  <c r="C18" i="11" l="1"/>
  <c r="R2" i="14"/>
  <c r="N3" i="11"/>
  <c r="R3" i="11" l="1"/>
  <c r="L5" i="15"/>
  <c r="L4" i="15" l="1"/>
  <c r="G17" i="15"/>
  <c r="N4" i="15" l="1"/>
  <c r="G12" i="15"/>
  <c r="G18" i="15" l="1"/>
  <c r="R4" i="15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l="1"/>
  <c r="M13" i="11"/>
  <c r="L12" i="11"/>
  <c r="L15" i="11"/>
  <c r="J8" i="14"/>
  <c r="I8" i="14"/>
  <c r="I17" i="14" l="1"/>
  <c r="J17" i="14"/>
  <c r="J13" i="14" s="1"/>
  <c r="Q13" i="11"/>
  <c r="R13" i="11"/>
  <c r="R15" i="11"/>
  <c r="Q15" i="11"/>
  <c r="R12" i="11"/>
  <c r="Q12" i="11"/>
  <c r="L8" i="14"/>
  <c r="N8" i="14" l="1"/>
  <c r="L17" i="14"/>
  <c r="R17" i="14" s="1"/>
  <c r="I13" i="14"/>
  <c r="R8" i="14" l="1"/>
  <c r="E14" i="14"/>
  <c r="Q17" i="14"/>
  <c r="L13" i="14"/>
  <c r="L14" i="14" l="1"/>
  <c r="E15" i="14"/>
  <c r="R14" i="14" l="1"/>
  <c r="Q14" i="14"/>
  <c r="L15" i="14"/>
  <c r="Q15" i="14" s="1"/>
  <c r="M13" i="14"/>
  <c r="R15" i="14" l="1"/>
  <c r="Q13" i="14"/>
  <c r="R13" i="14"/>
  <c r="F3" i="19"/>
  <c r="G3" i="19" l="1"/>
  <c r="F17" i="19"/>
  <c r="F12" i="19" s="1"/>
  <c r="F18" i="19" l="1"/>
  <c r="G5" i="19"/>
  <c r="L3" i="19"/>
  <c r="G17" i="19" l="1"/>
  <c r="L5" i="19"/>
  <c r="N3" i="19"/>
  <c r="G12" i="19" l="1"/>
  <c r="Q5" i="19"/>
  <c r="R5" i="19"/>
  <c r="R3" i="19"/>
  <c r="G18" i="19" l="1"/>
  <c r="E17" i="19"/>
  <c r="E12" i="19" s="1"/>
  <c r="L12" i="19" l="1"/>
  <c r="Q12" i="19" s="1"/>
  <c r="L17" i="19"/>
  <c r="Q17" i="19" s="1"/>
  <c r="E15" i="19"/>
  <c r="E18" i="19"/>
  <c r="R12" i="19" l="1"/>
  <c r="L15" i="19"/>
  <c r="R15" i="19" s="1"/>
  <c r="M13" i="19"/>
  <c r="R17" i="19"/>
  <c r="R13" i="19" l="1"/>
  <c r="Q15" i="19"/>
  <c r="Q13" i="19"/>
  <c r="R5" i="15" l="1"/>
  <c r="Q5" i="15"/>
  <c r="E17" i="15" l="1"/>
  <c r="E12" i="15" l="1"/>
  <c r="E15" i="15"/>
  <c r="L17" i="15"/>
  <c r="R17" i="15" l="1"/>
  <c r="Q17" i="15"/>
  <c r="L15" i="15"/>
  <c r="M13" i="15"/>
  <c r="L12" i="15"/>
  <c r="E18" i="15"/>
  <c r="Q12" i="15" l="1"/>
  <c r="R12" i="15"/>
  <c r="R13" i="15"/>
  <c r="Q13" i="15"/>
  <c r="Q15" i="15"/>
  <c r="R15" i="15"/>
  <c r="D33" i="49" l="1"/>
  <c r="G33" i="49"/>
  <c r="C33" i="49"/>
  <c r="J33" i="49"/>
  <c r="E32" i="4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<sst xmlns="http://schemas.openxmlformats.org/spreadsheetml/2006/main" count="1165" uniqueCount="110">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</sst>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data_2019.xlsx" TargetMode="External"/><Relationship Id="rId1" Type="http://schemas.openxmlformats.org/officeDocument/2006/relationships/externalLinkPath" Target="data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  <row r="32">
          <cell r="B32" t="str">
            <v>World</v>
          </cell>
          <cell r="V32">
            <v>2450000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  <row r="32">
          <cell r="B32" t="str">
            <v>World</v>
          </cell>
          <cell r="V32">
            <v>1520000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  <row r="32">
          <cell r="B32" t="str">
            <v>World</v>
          </cell>
          <cell r="V32">
            <v>0.62040816326530612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  <row r="32">
          <cell r="B32" t="str">
            <v>World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  <row r="32">
          <cell r="B32" t="str">
            <v>World</v>
          </cell>
          <cell r="V32">
            <v>1281155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  <row r="32">
          <cell r="B32" t="str">
            <v>World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  <row r="32">
          <cell r="B32" t="str">
            <v>World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  <row r="32">
          <cell r="B32" t="str">
            <v>World</v>
          </cell>
          <cell r="V32">
            <v>111768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  <row r="32">
          <cell r="B32" t="str">
            <v>World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  <row r="32">
          <cell r="B32" t="str">
            <v>World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  <row r="32">
          <cell r="B32" t="str">
            <v>World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  <row r="32">
          <cell r="B32" t="str">
            <v>World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 t="str">
            <v>World</v>
          </cell>
          <cell r="V32">
            <v>1.4090121422742102E-2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  <row r="32">
          <cell r="B32" t="str">
            <v>World</v>
          </cell>
          <cell r="V32">
            <v>1347839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 t="str">
            <v>World</v>
          </cell>
          <cell r="V32">
            <v>9606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  <row r="32">
          <cell r="B32" t="str">
            <v>World</v>
          </cell>
          <cell r="V32">
            <v>521050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  <row r="32">
          <cell r="B32" t="str">
            <v>World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  <row r="32">
          <cell r="B32" t="str">
            <v>World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  <row r="32">
          <cell r="B32" t="str">
            <v>World</v>
          </cell>
          <cell r="V32">
            <v>888081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  <row r="32">
          <cell r="B32" t="str">
            <v>World</v>
          </cell>
          <cell r="V32">
            <v>808293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  <row r="32">
          <cell r="B32" t="str">
            <v>World</v>
          </cell>
          <cell r="V32">
            <v>42903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  <row r="32">
          <cell r="B32" t="str">
            <v>World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  <row r="32">
          <cell r="B32" t="str">
            <v>World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  <row r="32">
          <cell r="B32" t="str">
            <v>World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  <row r="32">
          <cell r="B32" t="str">
            <v>World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  <row r="32">
          <cell r="B32" t="str">
            <v>World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  <row r="32">
          <cell r="B32" t="str">
            <v>World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parameters"/>
      <sheetName val="data"/>
      <sheetName val="World"/>
      <sheetName val="China"/>
      <sheetName val="India"/>
      <sheetName val="Japan"/>
      <sheetName val="United States"/>
      <sheetName val="Russia"/>
      <sheetName val="South Korea"/>
      <sheetName val="Germany"/>
      <sheetName val="Türkiye"/>
      <sheetName val="Brazil"/>
      <sheetName val="Iran"/>
      <sheetName val="Italy"/>
      <sheetName val="Ukraine"/>
      <sheetName val="Mexico"/>
      <sheetName val="Vietnam"/>
      <sheetName val="France"/>
      <sheetName val="Spain"/>
      <sheetName val="Canada"/>
      <sheetName val="Indonesia"/>
      <sheetName val="Poland"/>
      <sheetName val="Egypt"/>
      <sheetName val="Saudi Arabia"/>
      <sheetName val="Austria"/>
      <sheetName val="Belgium"/>
      <sheetName val="United Kingdom"/>
      <sheetName val="Netherlands"/>
      <sheetName val="Australia"/>
      <sheetName val="South Africa"/>
      <sheetName val="Malaysia"/>
      <sheetName val="Thailand"/>
      <sheetName val="Sweden"/>
    </sheetNames>
    <sheetDataSet>
      <sheetData sheetId="0"/>
      <sheetData sheetId="1">
        <row r="9">
          <cell r="B9">
            <v>0.98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19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341251.31300520728</v>
      </c>
      <c r="D3" s="1">
        <f>VLOOKUP($B3, '[1]Pro of iron ore'!$B$2:$X$31, $A$1, FALSE)*(1-VLOOKUP($B3, '[1]Foundry share'!$B$2:$X$31, $A$1, FALSE))</f>
        <v>213350.22764415556</v>
      </c>
      <c r="E3" s="47">
        <f>VLOOKUP($B3, '[1]Iron content'!$B$2:$X$31, $A$1, FALSE)</f>
        <v>0.62519972675064839</v>
      </c>
      <c r="F3" s="1">
        <f>VLOOKUP($B3, '[1]Exp of usable iron ore'!$B$2:$X$31, $A$1, FALSE)*parameters!$B$12</f>
        <v>3543.15</v>
      </c>
      <c r="G3" s="1">
        <f>VLOOKUP($B3, '[1]Pro of pig iron'!$B$2:$X$31, $A$1, FALSE)*(1-VLOOKUP($B3, '[1]Foundry share'!$B$2:$X$31, $A$1, FALSE))</f>
        <v>704900.60188803438</v>
      </c>
      <c r="H3" s="1">
        <f>VLOOKUP($B3, '[1]Exp of pig iron'!$B$2:$X$31, $A$1, FALSE)</f>
        <v>86</v>
      </c>
      <c r="I3" s="1">
        <f>VLOOKUP($B3, '[1]Imp of pig iron'!$B$2:$X$31, $A$1, FALSE)</f>
        <v>166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15</v>
      </c>
      <c r="L3" s="1">
        <f>VLOOKUP($B3, '[1]Imp of DRI'!$B$2:$X$31, $A$1, FALSE)</f>
        <v>20</v>
      </c>
      <c r="M3" s="1">
        <f>VLOOKUP($B3, '[1]Exp of scrap'!$B$2:$X$31, $A$1, FALSE)</f>
        <v>2230</v>
      </c>
      <c r="N3" s="1">
        <f>VLOOKUP($B3, '[1]Imp of scrap'!$B$2:$X$31, $A$1, FALSE)</f>
        <v>2326</v>
      </c>
      <c r="O3" s="1">
        <f>VLOOKUP($B3, '[1]Pro of BOF steel'!$B$2:$X$31, $A$1, FALSE)</f>
        <v>790000</v>
      </c>
      <c r="P3" s="1">
        <f>VLOOKUP($B3, '[1]Pro of OHF steel'!$B$2:$X$31, $A$1, FALSE)</f>
        <v>0</v>
      </c>
      <c r="Q3" s="1">
        <f>VLOOKUP($B3, '[1]Pro of EAF steel'!$B$2:$X$31, $A$1, FALSE)</f>
        <v>81000</v>
      </c>
      <c r="R3" s="1">
        <f>VLOOKUP($B3, '[1]Exp of ingots and semis'!$B$2:$X$31, $A$1, FALSE)</f>
        <v>12</v>
      </c>
      <c r="S3" s="1">
        <f>VLOOKUP($B3, '[1]Imp of ingots and semis'!$B$2:$X$31, $A$1, FALSE)</f>
        <v>522</v>
      </c>
      <c r="T3" s="1">
        <f>VLOOKUP($B3, '[1]Pro of hr long'!$B$2:$X$31, $A$1, FALSE)+VLOOKUP($B3, '[1]Pro of seamless tubes'!$B$2:$X$31, $A$1, FALSE)</f>
        <v>486991</v>
      </c>
      <c r="U3" s="1">
        <f>VLOOKUP($B3, '[1]Exp of long'!$B$2:$X$31, $A$1, FALSE)</f>
        <v>21956</v>
      </c>
      <c r="V3" s="1">
        <f>VLOOKUP($B3, '[1]Imp of long'!$B$2:$X$31, $A$1, FALSE)</f>
        <v>1789</v>
      </c>
      <c r="W3" s="1">
        <f>VLOOKUP($B3, '[1]Pro of hr flat'!$B$2:$X$31, $A$1, FALSE)*parameters!$B$8</f>
        <v>316697.28733997158</v>
      </c>
      <c r="X3" s="1">
        <f>VLOOKUP($B3, '[1]Exp of flat'!$B$2:$X$31, $A$1, FALSE)</f>
        <v>43239</v>
      </c>
      <c r="Y3" s="1">
        <f>VLOOKUP($B3, '[1]Imp of flat'!$B$2:$X$31, $A$1, FALSE)</f>
        <v>11062</v>
      </c>
      <c r="Z3" s="1">
        <f>VLOOKUP($B3, '[1]Indirect exp'!$B$2:$X$31, $A$1, FALSE)</f>
        <v>79446</v>
      </c>
      <c r="AA3" s="1">
        <f>VLOOKUP($B3, '[1]Indirect imp'!$B$2:$X$31, $A$1, FALSE)</f>
        <v>11800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175122.08464764609</v>
      </c>
      <c r="D4" s="1">
        <f>VLOOKUP($B4, '[1]Pro of iron ore'!$B$2:$X$31, $A$1, FALSE)*(1-VLOOKUP($B4, '[1]Foundry share'!$B$2:$X$31, $A$1, FALSE))</f>
        <v>108466.96519562847</v>
      </c>
      <c r="E4" s="47">
        <f>VLOOKUP($B4, '[1]Iron content'!$B$2:$X$31, $A$1, FALSE)</f>
        <v>0.61937913435572178</v>
      </c>
      <c r="F4" s="1">
        <f>VLOOKUP($B4, '[1]Exp of usable iron ore'!$B$2:$X$31, $A$1, FALSE)*parameters!$B$12</f>
        <v>18237.05</v>
      </c>
      <c r="G4" s="1">
        <f>VLOOKUP($B4, '[1]Pro of pig iron'!$B$2:$X$31, $A$1, FALSE)*(1-VLOOKUP($B4, '[1]Foundry share'!$B$2:$X$31, $A$1, FALSE))</f>
        <v>57971.688086316375</v>
      </c>
      <c r="H4" s="1">
        <f>VLOOKUP($B4, '[1]Exp of pig iron'!$B$2:$X$31, $A$1, FALSE)</f>
        <v>655</v>
      </c>
      <c r="I4" s="1">
        <f>VLOOKUP($B4, '[1]Imp of pig iron'!$B$2:$X$31, $A$1, FALSE)</f>
        <v>27</v>
      </c>
      <c r="J4" s="1">
        <f>VLOOKUP($B4, '[1]Pro of DRI'!$B$2:$X$31, $A$1, FALSE)*(1-VLOOKUP($B4, '[1]Foundry share'!$B$2:$X$31, $A$1, FALSE))</f>
        <v>25602.542464776143</v>
      </c>
      <c r="K4" s="1">
        <f>VLOOKUP($B4, '[1]Exp of DRI'!$B$2:$X$31, $A$1, FALSE)</f>
        <v>500</v>
      </c>
      <c r="L4" s="1">
        <f>VLOOKUP($B4, '[1]Imp of DRI'!$B$2:$X$31, $A$1, FALSE)</f>
        <v>90</v>
      </c>
      <c r="M4" s="1">
        <f>VLOOKUP($B4, '[1]Exp of scrap'!$B$2:$X$31, $A$1, FALSE)</f>
        <v>0</v>
      </c>
      <c r="N4" s="1">
        <f>VLOOKUP($B4, '[1]Imp of scrap'!$B$2:$X$31, $A$1, FALSE)</f>
        <v>5365</v>
      </c>
      <c r="O4" s="1">
        <f>VLOOKUP($B4, '[1]Pro of BOF steel'!$B$2:$X$31, $A$1, FALSE)</f>
        <v>46202</v>
      </c>
      <c r="P4" s="1">
        <f>VLOOKUP($B4, '[1]Pro of OHF steel'!$B$2:$X$31, $A$1, FALSE)</f>
        <v>0</v>
      </c>
      <c r="Q4" s="1">
        <f>VLOOKUP($B4, '[1]Pro of EAF steel'!$B$2:$X$31, $A$1, FALSE)</f>
        <v>55253</v>
      </c>
      <c r="R4" s="1">
        <f>VLOOKUP($B4, '[1]Exp of ingots and semis'!$B$2:$X$31, $A$1, FALSE)</f>
        <v>2786</v>
      </c>
      <c r="S4" s="1">
        <f>VLOOKUP($B4, '[1]Imp of ingots and semis'!$B$2:$X$31, $A$1, FALSE)</f>
        <v>555</v>
      </c>
      <c r="T4" s="1">
        <f>VLOOKUP($B4, '[1]Pro of hr long'!$B$2:$X$31, $A$1, FALSE)+VLOOKUP($B4, '[1]Pro of seamless tubes'!$B$2:$X$31, $A$1, FALSE)</f>
        <v>47298</v>
      </c>
      <c r="U4" s="1">
        <f>VLOOKUP($B4, '[1]Exp of long'!$B$2:$X$31, $A$1, FALSE)</f>
        <v>1848</v>
      </c>
      <c r="V4" s="1">
        <f>VLOOKUP($B4, '[1]Imp of long'!$B$2:$X$31, $A$1, FALSE)</f>
        <v>1062</v>
      </c>
      <c r="W4" s="1">
        <f>VLOOKUP($B4, '[1]Pro of hr flat'!$B$2:$X$31, $A$1, FALSE)*parameters!$B$8</f>
        <v>70528.736842105267</v>
      </c>
      <c r="X4" s="1">
        <f>VLOOKUP($B4, '[1]Exp of flat'!$B$2:$X$31, $A$1, FALSE)</f>
        <v>9749</v>
      </c>
      <c r="Y4" s="1">
        <f>VLOOKUP($B4, '[1]Imp of flat'!$B$2:$X$31, $A$1, FALSE)</f>
        <v>6573</v>
      </c>
      <c r="Z4" s="1">
        <f>VLOOKUP($B4, '[1]Indirect exp'!$B$2:$X$31, $A$1, FALSE)</f>
        <v>3531</v>
      </c>
      <c r="AA4" s="1">
        <f>VLOOKUP($B4, '[1]Indirect imp'!$B$2:$X$31, $A$1, FALSE)</f>
        <v>4265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78330</v>
      </c>
      <c r="H5" s="1">
        <f>VLOOKUP($B5, '[1]Exp of pig iron'!$B$2:$X$31, $A$1, FALSE)</f>
        <v>25</v>
      </c>
      <c r="I5" s="1">
        <f>VLOOKUP($B5, '[1]Imp of pig iron'!$B$2:$X$31, $A$1, FALSE)</f>
        <v>94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9</v>
      </c>
      <c r="M5" s="1">
        <f>VLOOKUP($B5, '[1]Exp of scrap'!$B$2:$X$31, $A$1, FALSE)</f>
        <v>8208</v>
      </c>
      <c r="N5" s="1">
        <f>VLOOKUP($B5, '[1]Imp of scrap'!$B$2:$X$31, $A$1, FALSE)</f>
        <v>232</v>
      </c>
      <c r="O5" s="1">
        <f>VLOOKUP($B5, '[1]Pro of BOF steel'!$B$2:$X$31, $A$1, FALSE)</f>
        <v>79343</v>
      </c>
      <c r="P5" s="1">
        <f>VLOOKUP($B5, '[1]Pro of OHF steel'!$B$2:$X$31, $A$1, FALSE)</f>
        <v>0</v>
      </c>
      <c r="Q5" s="1">
        <f>VLOOKUP($B5, '[1]Pro of EAF steel'!$B$2:$X$31, $A$1, FALSE)</f>
        <v>25318</v>
      </c>
      <c r="R5" s="1">
        <f>VLOOKUP($B5, '[1]Exp of ingots and semis'!$B$2:$X$31, $A$1, FALSE)</f>
        <v>4326</v>
      </c>
      <c r="S5" s="1">
        <f>VLOOKUP($B5, '[1]Imp of ingots and semis'!$B$2:$X$31, $A$1, FALSE)</f>
        <v>234</v>
      </c>
      <c r="T5" s="1">
        <f>VLOOKUP($B5, '[1]Pro of hr long'!$B$2:$X$31, $A$1, FALSE)+VLOOKUP($B5, '[1]Pro of seamless tubes'!$B$2:$X$31, $A$1, FALSE)</f>
        <v>30742</v>
      </c>
      <c r="U5" s="1">
        <f>VLOOKUP($B5, '[1]Exp of long'!$B$2:$X$31, $A$1, FALSE)</f>
        <v>5063</v>
      </c>
      <c r="V5" s="1">
        <f>VLOOKUP($B5, '[1]Imp of long'!$B$2:$X$31, $A$1, FALSE)</f>
        <v>1002</v>
      </c>
      <c r="W5" s="1">
        <f>VLOOKUP($B5, '[1]Pro of hr flat'!$B$2:$X$31, $A$1, FALSE)*parameters!$B$8</f>
        <v>60098.1706970128</v>
      </c>
      <c r="X5" s="1">
        <f>VLOOKUP($B5, '[1]Exp of flat'!$B$2:$X$31, $A$1, FALSE)</f>
        <v>26119</v>
      </c>
      <c r="Y5" s="1">
        <f>VLOOKUP($B5, '[1]Imp of flat'!$B$2:$X$31, $A$1, FALSE)</f>
        <v>4653</v>
      </c>
      <c r="Z5" s="1">
        <f>VLOOKUP($B5, '[1]Indirect exp'!$B$2:$X$31, $A$1, FALSE)</f>
        <v>21813</v>
      </c>
      <c r="AA5" s="1">
        <f>VLOOKUP($B5, '[1]Indirect imp'!$B$2:$X$31, $A$1, FALSE)</f>
        <v>7731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47900</v>
      </c>
      <c r="D6" s="1">
        <f>VLOOKUP($B6, '[1]Pro of iron ore'!$B$2:$X$31, $A$1, FALSE)*(1-VLOOKUP($B6, '[1]Foundry share'!$B$2:$X$31, $A$1, FALSE))</f>
        <v>30300</v>
      </c>
      <c r="E6" s="47">
        <f>VLOOKUP($B6, '[1]Iron content'!$B$2:$X$31, $A$1, FALSE)</f>
        <v>0.63256784968684765</v>
      </c>
      <c r="F6" s="1">
        <f>VLOOKUP($B6, '[1]Exp of usable iron ore'!$B$2:$X$31, $A$1, FALSE)*parameters!$B$12</f>
        <v>6895.85</v>
      </c>
      <c r="G6" s="1">
        <f>VLOOKUP($B6, '[1]Pro of pig iron'!$B$2:$X$31, $A$1, FALSE)*(1-VLOOKUP($B6, '[1]Foundry share'!$B$2:$X$31, $A$1, FALSE))</f>
        <v>22395</v>
      </c>
      <c r="H6" s="1">
        <f>VLOOKUP($B6, '[1]Exp of pig iron'!$B$2:$X$31, $A$1, FALSE)</f>
        <v>66</v>
      </c>
      <c r="I6" s="1">
        <f>VLOOKUP($B6, '[1]Imp of pig iron'!$B$2:$X$31, $A$1, FALSE)</f>
        <v>5127</v>
      </c>
      <c r="J6" s="1">
        <f>VLOOKUP($B6, '[1]Pro of DRI'!$B$2:$X$31, $A$1, FALSE)*(1-VLOOKUP($B6, '[1]Foundry share'!$B$2:$X$31, $A$1, FALSE))</f>
        <v>2000</v>
      </c>
      <c r="K6" s="1">
        <f>VLOOKUP($B6, '[1]Exp of DRI'!$B$2:$X$31, $A$1, FALSE)</f>
        <v>640</v>
      </c>
      <c r="L6" s="1">
        <f>VLOOKUP($B6, '[1]Imp of DRI'!$B$2:$X$31, $A$1, FALSE)</f>
        <v>1789</v>
      </c>
      <c r="M6" s="1">
        <f>VLOOKUP($B6, '[1]Exp of scrap'!$B$2:$X$31, $A$1, FALSE)</f>
        <v>15016</v>
      </c>
      <c r="N6" s="1">
        <f>VLOOKUP($B6, '[1]Imp of scrap'!$B$2:$X$31, $A$1, FALSE)</f>
        <v>4636</v>
      </c>
      <c r="O6" s="1">
        <f>VLOOKUP($B6, '[1]Pro of BOF steel'!$B$2:$X$31, $A$1, FALSE)</f>
        <v>25788</v>
      </c>
      <c r="P6" s="1">
        <f>VLOOKUP($B6, '[1]Pro of OHF steel'!$B$2:$X$31, $A$1, FALSE)</f>
        <v>0</v>
      </c>
      <c r="Q6" s="1">
        <f>VLOOKUP($B6, '[1]Pro of EAF steel'!$B$2:$X$31, $A$1, FALSE)</f>
        <v>55824</v>
      </c>
      <c r="R6" s="1">
        <f>VLOOKUP($B6, '[1]Exp of ingots and semis'!$B$2:$X$31, $A$1, FALSE)</f>
        <v>146</v>
      </c>
      <c r="S6" s="1">
        <f>VLOOKUP($B6, '[1]Imp of ingots and semis'!$B$2:$X$31, $A$1, FALSE)</f>
        <v>7669</v>
      </c>
      <c r="T6" s="1">
        <f>VLOOKUP($B6, '[1]Pro of hr long'!$B$2:$X$31, $A$1, FALSE)+VLOOKUP($B6, '[1]Pro of seamless tubes'!$B$2:$X$31, $A$1, FALSE)</f>
        <v>23420</v>
      </c>
      <c r="U6" s="1">
        <f>VLOOKUP($B6, '[1]Exp of long'!$B$2:$X$31, $A$1, FALSE)</f>
        <v>2109</v>
      </c>
      <c r="V6" s="1">
        <f>VLOOKUP($B6, '[1]Imp of long'!$B$2:$X$31, $A$1, FALSE)</f>
        <v>6864</v>
      </c>
      <c r="W6" s="1">
        <f>VLOOKUP($B6, '[1]Pro of hr flat'!$B$2:$X$31, $A$1, FALSE)*parameters!$B$8</f>
        <v>58683.593172119487</v>
      </c>
      <c r="X6" s="1">
        <f>VLOOKUP($B6, '[1]Exp of flat'!$B$2:$X$31, $A$1, FALSE)</f>
        <v>6588</v>
      </c>
      <c r="Y6" s="1">
        <f>VLOOKUP($B6, '[1]Imp of flat'!$B$2:$X$31, $A$1, FALSE)</f>
        <v>12545</v>
      </c>
      <c r="Z6" s="1">
        <f>VLOOKUP($B6, '[1]Indirect exp'!$B$2:$X$31, $A$1, FALSE)</f>
        <v>19818</v>
      </c>
      <c r="AA6" s="1">
        <f>VLOOKUP($B6, '[1]Indirect imp'!$B$2:$X$31, $A$1, FALSE)</f>
        <v>44246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95042</v>
      </c>
      <c r="D7" s="1">
        <f>VLOOKUP($B7, '[1]Pro of iron ore'!$B$2:$X$31, $A$1, FALSE)*(1-VLOOKUP($B7, '[1]Foundry share'!$B$2:$X$31, $A$1, FALSE))</f>
        <v>56074</v>
      </c>
      <c r="E7" s="47">
        <f>VLOOKUP($B7, '[1]Iron content'!$B$2:$X$31, $A$1, FALSE)</f>
        <v>0.58999179310199701</v>
      </c>
      <c r="F7" s="1">
        <f>VLOOKUP($B7, '[1]Exp of usable iron ore'!$B$2:$X$31, $A$1, FALSE)*parameters!$B$12</f>
        <v>13676</v>
      </c>
      <c r="G7" s="1">
        <f>VLOOKUP($B7, '[1]Pro of pig iron'!$B$2:$X$31, $A$1, FALSE)*(1-VLOOKUP($B7, '[1]Foundry share'!$B$2:$X$31, $A$1, FALSE))</f>
        <v>52036</v>
      </c>
      <c r="H7" s="1">
        <f>VLOOKUP($B7, '[1]Exp of pig iron'!$B$2:$X$31, $A$1, FALSE)</f>
        <v>4819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7242</v>
      </c>
      <c r="K7" s="1">
        <f>VLOOKUP($B7, '[1]Exp of DRI'!$B$2:$X$31, $A$1, FALSE)</f>
        <v>2848</v>
      </c>
      <c r="L7" s="1">
        <f>VLOOKUP($B7, '[1]Imp of DRI'!$B$2:$X$31, $A$1, FALSE)</f>
        <v>0</v>
      </c>
      <c r="M7" s="1">
        <f>VLOOKUP($B7, '[1]Exp of scrap'!$B$2:$X$31, $A$1, FALSE)</f>
        <v>5247</v>
      </c>
      <c r="N7" s="1">
        <f>VLOOKUP($B7, '[1]Imp of scrap'!$B$2:$X$31, $A$1, FALSE)</f>
        <v>755</v>
      </c>
      <c r="O7" s="1">
        <f>VLOOKUP($B7, '[1]Pro of BOF steel'!$B$2:$X$31, $A$1, FALSE)</f>
        <v>47800</v>
      </c>
      <c r="P7" s="1">
        <f>VLOOKUP($B7, '[1]Pro of OHF steel'!$B$2:$X$31, $A$1, FALSE)</f>
        <v>1690</v>
      </c>
      <c r="Q7" s="1">
        <f>VLOOKUP($B7, '[1]Pro of EAF steel'!$B$2:$X$31, $A$1, FALSE)</f>
        <v>22000</v>
      </c>
      <c r="R7" s="1">
        <f>VLOOKUP($B7, '[1]Exp of ingots and semis'!$B$2:$X$31, $A$1, FALSE)</f>
        <v>15141</v>
      </c>
      <c r="S7" s="1">
        <f>VLOOKUP($B7, '[1]Imp of ingots and semis'!$B$2:$X$31, $A$1, FALSE)</f>
        <v>72</v>
      </c>
      <c r="T7" s="1">
        <f>VLOOKUP($B7, '[1]Pro of hr long'!$B$2:$X$31, $A$1, FALSE)+VLOOKUP($B7, '[1]Pro of seamless tubes'!$B$2:$X$31, $A$1, FALSE)</f>
        <v>20877</v>
      </c>
      <c r="U7" s="1">
        <f>VLOOKUP($B7, '[1]Exp of long'!$B$2:$X$31, $A$1, FALSE)</f>
        <v>4467</v>
      </c>
      <c r="V7" s="1">
        <f>VLOOKUP($B7, '[1]Imp of long'!$B$2:$X$31, $A$1, FALSE)</f>
        <v>1700</v>
      </c>
      <c r="W7" s="1">
        <f>VLOOKUP($B7, '[1]Pro of hr flat'!$B$2:$X$31, $A$1, FALSE)*parameters!$B$8</f>
        <v>26973.156472261737</v>
      </c>
      <c r="X7" s="1">
        <f>VLOOKUP($B7, '[1]Exp of flat'!$B$2:$X$31, $A$1, FALSE)</f>
        <v>9378</v>
      </c>
      <c r="Y7" s="1">
        <f>VLOOKUP($B7, '[1]Imp of flat'!$B$2:$X$31, $A$1, FALSE)</f>
        <v>3913</v>
      </c>
      <c r="Z7" s="1">
        <f>VLOOKUP($B7, '[1]Indirect exp'!$B$2:$X$31, $A$1, FALSE)</f>
        <v>2043</v>
      </c>
      <c r="AA7" s="1">
        <f>VLOOKUP($B7, '[1]Indirect imp'!$B$2:$X$31, $A$1, FALSE)</f>
        <v>8203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47071</v>
      </c>
      <c r="H8" s="1">
        <f>VLOOKUP($B8, '[1]Exp of pig iron'!$B$2:$X$31, $A$1, FALSE)</f>
        <v>0</v>
      </c>
      <c r="I8" s="1">
        <f>VLOOKUP($B8, '[1]Imp of pig iron'!$B$2:$X$31, $A$1, FALSE)</f>
        <v>245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417</v>
      </c>
      <c r="M8" s="1">
        <f>VLOOKUP($B8, '[1]Exp of scrap'!$B$2:$X$31, $A$1, FALSE)</f>
        <v>621</v>
      </c>
      <c r="N8" s="1">
        <f>VLOOKUP($B8, '[1]Imp of scrap'!$B$2:$X$31, $A$1, FALSE)</f>
        <v>6175</v>
      </c>
      <c r="O8" s="1">
        <f>VLOOKUP($B8, '[1]Pro of BOF steel'!$B$2:$X$31, $A$1, FALSE)</f>
        <v>47676</v>
      </c>
      <c r="P8" s="1">
        <f>VLOOKUP($B8, '[1]Pro of OHF steel'!$B$2:$X$31, $A$1, FALSE)</f>
        <v>0</v>
      </c>
      <c r="Q8" s="1">
        <f>VLOOKUP($B8, '[1]Pro of EAF steel'!$B$2:$X$31, $A$1, FALSE)</f>
        <v>23354</v>
      </c>
      <c r="R8" s="1">
        <f>VLOOKUP($B8, '[1]Exp of ingots and semis'!$B$2:$X$31, $A$1, FALSE)</f>
        <v>912</v>
      </c>
      <c r="S8" s="1">
        <f>VLOOKUP($B8, '[1]Imp of ingots and semis'!$B$2:$X$31, $A$1, FALSE)</f>
        <v>2350</v>
      </c>
      <c r="T8" s="1">
        <f>VLOOKUP($B8, '[1]Pro of hr long'!$B$2:$X$31, $A$1, FALSE)+VLOOKUP($B8, '[1]Pro of seamless tubes'!$B$2:$X$31, $A$1, FALSE)</f>
        <v>21667</v>
      </c>
      <c r="U8" s="1">
        <f>VLOOKUP($B8, '[1]Exp of long'!$B$2:$X$31, $A$1, FALSE)</f>
        <v>3488</v>
      </c>
      <c r="V8" s="1">
        <f>VLOOKUP($B8, '[1]Imp of long'!$B$2:$X$31, $A$1, FALSE)</f>
        <v>5230</v>
      </c>
      <c r="W8" s="1">
        <f>VLOOKUP($B8, '[1]Pro of hr flat'!$B$2:$X$31, $A$1, FALSE)*parameters!$B$8</f>
        <v>46550.870554765293</v>
      </c>
      <c r="X8" s="1">
        <f>VLOOKUP($B8, '[1]Exp of flat'!$B$2:$X$31, $A$1, FALSE)</f>
        <v>23611</v>
      </c>
      <c r="Y8" s="1">
        <f>VLOOKUP($B8, '[1]Imp of flat'!$B$2:$X$31, $A$1, FALSE)</f>
        <v>10962</v>
      </c>
      <c r="Z8" s="1">
        <f>VLOOKUP($B8, '[1]Indirect exp'!$B$2:$X$31, $A$1, FALSE)</f>
        <v>21448</v>
      </c>
      <c r="AA8" s="1">
        <f>VLOOKUP($B8, '[1]Indirect imp'!$B$2:$X$31, $A$1, FALSE)</f>
        <v>6847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0</v>
      </c>
      <c r="D9" s="1">
        <f>VLOOKUP($B9, '[1]Pro of iron ore'!$B$2:$X$31, $A$1, FALSE)*(1-VLOOKUP($B9, '[1]Foundry share'!$B$2:$X$31, $A$1, FALSE))</f>
        <v>0</v>
      </c>
      <c r="E9" s="47">
        <f>VLOOKUP($B9, '[1]Iron content'!$B$2:$X$31, $A$1, FALSE)</f>
        <v>0</v>
      </c>
      <c r="F9" s="1">
        <f>VLOOKUP($B9, '[1]Exp of usable iron ore'!$B$2:$X$31, $A$1, FALSE)*parameters!$B$12</f>
        <v>45.5</v>
      </c>
      <c r="G9" s="1">
        <f>VLOOKUP($B9, '[1]Pro of pig iron'!$B$2:$X$31, $A$1, FALSE)*(1-VLOOKUP($B9, '[1]Foundry share'!$B$2:$X$31, $A$1, FALSE))</f>
        <v>27816</v>
      </c>
      <c r="H9" s="1">
        <f>VLOOKUP($B9, '[1]Exp of pig iron'!$B$2:$X$31, $A$1, FALSE)</f>
        <v>237</v>
      </c>
      <c r="I9" s="1">
        <f>VLOOKUP($B9, '[1]Imp of pig iron'!$B$2:$X$31, $A$1, FALSE)</f>
        <v>438</v>
      </c>
      <c r="J9" s="1">
        <f>VLOOKUP($B9, '[1]Pro of DRI'!$B$2:$X$31, $A$1, FALSE)*(1-VLOOKUP($B9, '[1]Foundry share'!$B$2:$X$31, $A$1, FALSE))</f>
        <v>600</v>
      </c>
      <c r="K9" s="1">
        <f>VLOOKUP($B9, '[1]Exp of DRI'!$B$2:$X$31, $A$1, FALSE)</f>
        <v>0</v>
      </c>
      <c r="L9" s="1">
        <f>VLOOKUP($B9, '[1]Imp of DRI'!$B$2:$X$31, $A$1, FALSE)</f>
        <v>951</v>
      </c>
      <c r="M9" s="1">
        <f>VLOOKUP($B9, '[1]Exp of scrap'!$B$2:$X$31, $A$1, FALSE)</f>
        <v>8174</v>
      </c>
      <c r="N9" s="1">
        <f>VLOOKUP($B9, '[1]Imp of scrap'!$B$2:$X$31, $A$1, FALSE)</f>
        <v>4463</v>
      </c>
      <c r="O9" s="1">
        <f>VLOOKUP($B9, '[1]Pro of BOF steel'!$B$2:$X$31, $A$1, FALSE)</f>
        <v>30290</v>
      </c>
      <c r="P9" s="1">
        <f>VLOOKUP($B9, '[1]Pro of OHF steel'!$B$2:$X$31, $A$1, FALSE)</f>
        <v>0</v>
      </c>
      <c r="Q9" s="1">
        <f>VLOOKUP($B9, '[1]Pro of EAF steel'!$B$2:$X$31, $A$1, FALSE)</f>
        <v>13007</v>
      </c>
      <c r="R9" s="1">
        <f>VLOOKUP($B9, '[1]Exp of ingots and semis'!$B$2:$X$31, $A$1, FALSE)</f>
        <v>1891</v>
      </c>
      <c r="S9" s="1">
        <f>VLOOKUP($B9, '[1]Imp of ingots and semis'!$B$2:$X$31, $A$1, FALSE)</f>
        <v>2252</v>
      </c>
      <c r="T9" s="1">
        <f>VLOOKUP($B9, '[1]Pro of hr long'!$B$2:$X$31, $A$1, FALSE)+VLOOKUP($B9, '[1]Pro of seamless tubes'!$B$2:$X$31, $A$1, FALSE)</f>
        <v>14085</v>
      </c>
      <c r="U9" s="1">
        <f>VLOOKUP($B9, '[1]Exp of long'!$B$2:$X$31, $A$1, FALSE)</f>
        <v>7071</v>
      </c>
      <c r="V9" s="1">
        <f>VLOOKUP($B9, '[1]Imp of long'!$B$2:$X$31, $A$1, FALSE)</f>
        <v>7454</v>
      </c>
      <c r="W9" s="1">
        <f>VLOOKUP($B9, '[1]Pro of hr flat'!$B$2:$X$31, $A$1, FALSE)*parameters!$B$8</f>
        <v>23953.577524893313</v>
      </c>
      <c r="X9" s="1">
        <f>VLOOKUP($B9, '[1]Exp of flat'!$B$2:$X$31, $A$1, FALSE)</f>
        <v>14695</v>
      </c>
      <c r="Y9" s="1">
        <f>VLOOKUP($B9, '[1]Imp of flat'!$B$2:$X$31, $A$1, FALSE)</f>
        <v>14955</v>
      </c>
      <c r="Z9" s="1">
        <f>VLOOKUP($B9, '[1]Indirect exp'!$B$2:$X$31, $A$1, FALSE)</f>
        <v>35750</v>
      </c>
      <c r="AA9" s="1">
        <f>VLOOKUP($B9, '[1]Indirect imp'!$B$2:$X$31, $A$1, FALSE)</f>
        <v>25032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9992</v>
      </c>
      <c r="D10" s="1">
        <f>VLOOKUP($B10, '[1]Pro of iron ore'!$B$2:$X$31, $A$1, FALSE)*(1-VLOOKUP($B10, '[1]Foundry share'!$B$2:$X$31, $A$1, FALSE))</f>
        <v>6050</v>
      </c>
      <c r="E10" s="47">
        <f>VLOOKUP($B10, '[1]Iron content'!$B$2:$X$31, $A$1, FALSE)</f>
        <v>0.60548438751000799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10589</v>
      </c>
      <c r="H10" s="1">
        <f>VLOOKUP($B10, '[1]Exp of pig iron'!$B$2:$X$31, $A$1, FALSE)</f>
        <v>5</v>
      </c>
      <c r="I10" s="1">
        <f>VLOOKUP($B10, '[1]Imp of pig iron'!$B$2:$X$31, $A$1, FALSE)</f>
        <v>1012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250</v>
      </c>
      <c r="M10" s="1">
        <f>VLOOKUP($B10, '[1]Exp of scrap'!$B$2:$X$31, $A$1, FALSE)</f>
        <v>172</v>
      </c>
      <c r="N10" s="1">
        <f>VLOOKUP($B10, '[1]Imp of scrap'!$B$2:$X$31, $A$1, FALSE)</f>
        <v>20980</v>
      </c>
      <c r="O10" s="1">
        <f>VLOOKUP($B10, '[1]Pro of BOF steel'!$B$2:$X$31, $A$1, FALSE)</f>
        <v>11561</v>
      </c>
      <c r="P10" s="1">
        <f>VLOOKUP($B10, '[1]Pro of OHF steel'!$B$2:$X$31, $A$1, FALSE)</f>
        <v>0</v>
      </c>
      <c r="Q10" s="1">
        <f>VLOOKUP($B10, '[1]Pro of EAF steel'!$B$2:$X$31, $A$1, FALSE)</f>
        <v>25963</v>
      </c>
      <c r="R10" s="1">
        <f>VLOOKUP($B10, '[1]Exp of ingots and semis'!$B$2:$X$31, $A$1, FALSE)</f>
        <v>891</v>
      </c>
      <c r="S10" s="1">
        <f>VLOOKUP($B10, '[1]Imp of ingots and semis'!$B$2:$X$31, $A$1, FALSE)</f>
        <v>4835</v>
      </c>
      <c r="T10" s="1">
        <f>VLOOKUP($B10, '[1]Pro of hr long'!$B$2:$X$31, $A$1, FALSE)+VLOOKUP($B10, '[1]Pro of seamless tubes'!$B$2:$X$31, $A$1, FALSE)</f>
        <v>26193</v>
      </c>
      <c r="U10" s="1">
        <f>VLOOKUP($B10, '[1]Exp of long'!$B$2:$X$31, $A$1, FALSE)</f>
        <v>9257</v>
      </c>
      <c r="V10" s="1">
        <f>VLOOKUP($B10, '[1]Imp of long'!$B$2:$X$31, $A$1, FALSE)</f>
        <v>1440</v>
      </c>
      <c r="W10" s="1">
        <f>VLOOKUP($B10, '[1]Pro of hr flat'!$B$2:$X$31, $A$1, FALSE)*parameters!$B$8</f>
        <v>12592.26600284495</v>
      </c>
      <c r="X10" s="1">
        <f>VLOOKUP($B10, '[1]Exp of flat'!$B$2:$X$31, $A$1, FALSE)</f>
        <v>4293</v>
      </c>
      <c r="Y10" s="1">
        <f>VLOOKUP($B10, '[1]Imp of flat'!$B$2:$X$31, $A$1, FALSE)</f>
        <v>9017</v>
      </c>
      <c r="Z10" s="1">
        <f>VLOOKUP($B10, '[1]Indirect exp'!$B$2:$X$31, $A$1, FALSE)</f>
        <v>7292</v>
      </c>
      <c r="AA10" s="1">
        <f>VLOOKUP($B10, '[1]Indirect imp'!$B$2:$X$31, $A$1, FALSE)</f>
        <v>4681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453704</v>
      </c>
      <c r="D11" s="1">
        <f>VLOOKUP($B11, '[1]Pro of iron ore'!$B$2:$X$31, $A$1, FALSE)*(1-VLOOKUP($B11, '[1]Foundry share'!$B$2:$X$31, $A$1, FALSE))</f>
        <v>289000</v>
      </c>
      <c r="E11" s="47">
        <f>VLOOKUP($B11, '[1]Iron content'!$B$2:$X$31, $A$1, FALSE)</f>
        <v>0.63697917585033415</v>
      </c>
      <c r="F11" s="1">
        <f>VLOOKUP($B11, '[1]Exp of usable iron ore'!$B$2:$X$31, $A$1, FALSE)*parameters!$B$12</f>
        <v>249299.05000000002</v>
      </c>
      <c r="G11" s="1">
        <f>VLOOKUP($B11, '[1]Pro of pig iron'!$B$2:$X$31, $A$1, FALSE)*(1-VLOOKUP($B11, '[1]Foundry share'!$B$2:$X$31, $A$1, FALSE))</f>
        <v>28572</v>
      </c>
      <c r="H11" s="1">
        <f>VLOOKUP($B11, '[1]Exp of pig iron'!$B$2:$X$31, $A$1, FALSE)</f>
        <v>2282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589</v>
      </c>
      <c r="N11" s="1">
        <f>VLOOKUP($B11, '[1]Imp of scrap'!$B$2:$X$31, $A$1, FALSE)</f>
        <v>20</v>
      </c>
      <c r="O11" s="1">
        <f>VLOOKUP($B11, '[1]Pro of BOF steel'!$B$2:$X$31, $A$1, FALSE)</f>
        <v>26794</v>
      </c>
      <c r="P11" s="1">
        <f>VLOOKUP($B11, '[1]Pro of OHF steel'!$B$2:$X$31, $A$1, FALSE)</f>
        <v>488</v>
      </c>
      <c r="Q11" s="1">
        <f>VLOOKUP($B11, '[1]Pro of EAF steel'!$B$2:$X$31, $A$1, FALSE)</f>
        <v>7495</v>
      </c>
      <c r="R11" s="1">
        <f>VLOOKUP($B11, '[1]Exp of ingots and semis'!$B$2:$X$31, $A$1, FALSE)</f>
        <v>9758</v>
      </c>
      <c r="S11" s="1">
        <f>VLOOKUP($B11, '[1]Imp of ingots and semis'!$B$2:$X$31, $A$1, FALSE)</f>
        <v>86</v>
      </c>
      <c r="T11" s="1">
        <f>VLOOKUP($B11, '[1]Pro of hr long'!$B$2:$X$31, $A$1, FALSE)+VLOOKUP($B11, '[1]Pro of seamless tubes'!$B$2:$X$31, $A$1, FALSE)</f>
        <v>9559</v>
      </c>
      <c r="U11" s="1">
        <f>VLOOKUP($B11, '[1]Exp of long'!$B$2:$X$31, $A$1, FALSE)</f>
        <v>1863</v>
      </c>
      <c r="V11" s="1">
        <f>VLOOKUP($B11, '[1]Imp of long'!$B$2:$X$31, $A$1, FALSE)</f>
        <v>550</v>
      </c>
      <c r="W11" s="1">
        <f>VLOOKUP($B11, '[1]Pro of hr flat'!$B$2:$X$31, $A$1, FALSE)*parameters!$B$8</f>
        <v>13297.611664295875</v>
      </c>
      <c r="X11" s="1">
        <f>VLOOKUP($B11, '[1]Exp of flat'!$B$2:$X$31, $A$1, FALSE)</f>
        <v>3592</v>
      </c>
      <c r="Y11" s="1">
        <f>VLOOKUP($B11, '[1]Imp of flat'!$B$2:$X$31, $A$1, FALSE)</f>
        <v>1529</v>
      </c>
      <c r="Z11" s="1">
        <f>VLOOKUP($B11, '[1]Indirect exp'!$B$2:$X$31, $A$1, FALSE)</f>
        <v>2846</v>
      </c>
      <c r="AA11" s="1">
        <f>VLOOKUP($B11, '[1]Indirect imp'!$B$2:$X$31, $A$1, FALSE)</f>
        <v>2694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29970.004744796195</v>
      </c>
      <c r="D12" s="1">
        <f>VLOOKUP($B12, '[1]Pro of iron ore'!$B$2:$X$31, $A$1, FALSE)*(1-VLOOKUP($B12, '[1]Foundry share'!$B$2:$X$31, $A$1, FALSE))</f>
        <v>19587.66171090987</v>
      </c>
      <c r="E12" s="47">
        <f>VLOOKUP($B12, '[1]Iron content'!$B$2:$X$31, $A$1, FALSE)</f>
        <v>0.65357552919009632</v>
      </c>
      <c r="F12" s="1">
        <f>VLOOKUP($B12, '[1]Exp of usable iron ore'!$B$2:$X$31, $A$1, FALSE)*parameters!$B$12</f>
        <v>14158.95</v>
      </c>
      <c r="G12" s="1">
        <f>VLOOKUP($B12, '[1]Pro of pig iron'!$B$2:$X$31, $A$1, FALSE)*(1-VLOOKUP($B12, '[1]Foundry share'!$B$2:$X$31, $A$1, FALSE))</f>
        <v>2023.1760496899246</v>
      </c>
      <c r="H12" s="1">
        <f>VLOOKUP($B12, '[1]Exp of pig iron'!$B$2:$X$31, $A$1, FALSE)</f>
        <v>1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17118.028146547855</v>
      </c>
      <c r="K12" s="1">
        <f>VLOOKUP($B12, '[1]Exp of DRI'!$B$2:$X$31, $A$1, FALSE)</f>
        <v>6</v>
      </c>
      <c r="L12" s="1">
        <f>VLOOKUP($B12, '[1]Imp of DRI'!$B$2:$X$31, $A$1, FALSE)</f>
        <v>0</v>
      </c>
      <c r="M12" s="1">
        <f>VLOOKUP($B12, '[1]Exp of scrap'!$B$2:$X$31, $A$1, FALSE)</f>
        <v>1</v>
      </c>
      <c r="N12" s="1">
        <f>VLOOKUP($B12, '[1]Imp of scrap'!$B$2:$X$31, $A$1, FALSE)</f>
        <v>13</v>
      </c>
      <c r="O12" s="1">
        <f>VLOOKUP($B12, '[1]Pro of BOF steel'!$B$2:$X$31, $A$1, FALSE)</f>
        <v>2235</v>
      </c>
      <c r="P12" s="1">
        <f>VLOOKUP($B12, '[1]Pro of OHF steel'!$B$2:$X$31, $A$1, FALSE)</f>
        <v>0</v>
      </c>
      <c r="Q12" s="1">
        <f>VLOOKUP($B12, '[1]Pro of EAF steel'!$B$2:$X$31, $A$1, FALSE)</f>
        <v>19000</v>
      </c>
      <c r="R12" s="1">
        <f>VLOOKUP($B12, '[1]Exp of ingots and semis'!$B$2:$X$31, $A$1, FALSE)</f>
        <v>5940</v>
      </c>
      <c r="S12" s="1">
        <f>VLOOKUP($B12, '[1]Imp of ingots and semis'!$B$2:$X$31, $A$1, FALSE)</f>
        <v>48</v>
      </c>
      <c r="T12" s="1">
        <f>VLOOKUP($B12, '[1]Pro of hr long'!$B$2:$X$31, $A$1, FALSE)+VLOOKUP($B12, '[1]Pro of seamless tubes'!$B$2:$X$31, $A$1, FALSE)</f>
        <v>8104</v>
      </c>
      <c r="U12" s="1">
        <f>VLOOKUP($B12, '[1]Exp of long'!$B$2:$X$31, $A$1, FALSE)</f>
        <v>750</v>
      </c>
      <c r="V12" s="1">
        <f>VLOOKUP($B12, '[1]Imp of long'!$B$2:$X$31, $A$1, FALSE)</f>
        <v>452</v>
      </c>
      <c r="W12" s="1">
        <f>VLOOKUP($B12, '[1]Pro of hr flat'!$B$2:$X$31, $A$1, FALSE)*parameters!$B$8</f>
        <v>7592.6671408250359</v>
      </c>
      <c r="X12" s="1">
        <f>VLOOKUP($B12, '[1]Exp of flat'!$B$2:$X$31, $A$1, FALSE)</f>
        <v>627</v>
      </c>
      <c r="Y12" s="1">
        <f>VLOOKUP($B12, '[1]Imp of flat'!$B$2:$X$31, $A$1, FALSE)</f>
        <v>2280</v>
      </c>
      <c r="Z12" s="1">
        <f>VLOOKUP($B12, '[1]Indirect exp'!$B$2:$X$31, $A$1, FALSE)</f>
        <v>59</v>
      </c>
      <c r="AA12" s="1">
        <f>VLOOKUP($B12, '[1]Indirect imp'!$B$2:$X$31, $A$1, FALSE)</f>
        <v>2166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5052</v>
      </c>
      <c r="H13" s="1">
        <f>VLOOKUP($B13, '[1]Exp of pig iron'!$B$2:$X$31, $A$1, FALSE)</f>
        <v>48</v>
      </c>
      <c r="I13" s="1">
        <f>VLOOKUP($B13, '[1]Imp of pig iron'!$B$2:$X$31, $A$1, FALSE)</f>
        <v>1656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1123</v>
      </c>
      <c r="M13" s="1">
        <f>VLOOKUP($B13, '[1]Exp of scrap'!$B$2:$X$31, $A$1, FALSE)</f>
        <v>426</v>
      </c>
      <c r="N13" s="1">
        <f>VLOOKUP($B13, '[1]Imp of scrap'!$B$2:$X$31, $A$1, FALSE)</f>
        <v>5209</v>
      </c>
      <c r="O13" s="1">
        <f>VLOOKUP($B13, '[1]Pro of BOF steel'!$B$2:$X$31, $A$1, FALSE)</f>
        <v>4732</v>
      </c>
      <c r="P13" s="1">
        <f>VLOOKUP($B13, '[1]Pro of OHF steel'!$B$2:$X$31, $A$1, FALSE)</f>
        <v>0</v>
      </c>
      <c r="Q13" s="1">
        <f>VLOOKUP($B13, '[1]Pro of EAF steel'!$B$2:$X$31, $A$1, FALSE)</f>
        <v>19336</v>
      </c>
      <c r="R13" s="1">
        <f>VLOOKUP($B13, '[1]Exp of ingots and semis'!$B$2:$X$31, $A$1, FALSE)</f>
        <v>754</v>
      </c>
      <c r="S13" s="1">
        <f>VLOOKUP($B13, '[1]Imp of ingots and semis'!$B$2:$X$31, $A$1, FALSE)</f>
        <v>3900</v>
      </c>
      <c r="T13" s="1">
        <f>VLOOKUP($B13, '[1]Pro of hr long'!$B$2:$X$31, $A$1, FALSE)+VLOOKUP($B13, '[1]Pro of seamless tubes'!$B$2:$X$31, $A$1, FALSE)</f>
        <v>12427</v>
      </c>
      <c r="U13" s="1">
        <f>VLOOKUP($B13, '[1]Exp of long'!$B$2:$X$31, $A$1, FALSE)</f>
        <v>6270</v>
      </c>
      <c r="V13" s="1">
        <f>VLOOKUP($B13, '[1]Imp of long'!$B$2:$X$31, $A$1, FALSE)</f>
        <v>2898</v>
      </c>
      <c r="W13" s="1">
        <f>VLOOKUP($B13, '[1]Pro of hr flat'!$B$2:$X$31, $A$1, FALSE)*parameters!$B$8</f>
        <v>10988.23613086771</v>
      </c>
      <c r="X13" s="1">
        <f>VLOOKUP($B13, '[1]Exp of flat'!$B$2:$X$31, $A$1, FALSE)</f>
        <v>7238</v>
      </c>
      <c r="Y13" s="1">
        <f>VLOOKUP($B13, '[1]Imp of flat'!$B$2:$X$31, $A$1, FALSE)</f>
        <v>12147</v>
      </c>
      <c r="Z13" s="1">
        <f>VLOOKUP($B13, '[1]Indirect exp'!$B$2:$X$31, $A$1, FALSE)</f>
        <v>14297</v>
      </c>
      <c r="AA13" s="1">
        <f>VLOOKUP($B13, '[1]Indirect imp'!$B$2:$X$31, $A$1, FALSE)</f>
        <v>8916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60574</v>
      </c>
      <c r="D14" s="1">
        <f>VLOOKUP($B14, '[1]Pro of iron ore'!$B$2:$X$31, $A$1, FALSE)*(1-VLOOKUP($B14, '[1]Foundry share'!$B$2:$X$31, $A$1, FALSE))</f>
        <v>37900</v>
      </c>
      <c r="E14" s="47">
        <f>VLOOKUP($B14, '[1]Iron content'!$B$2:$X$31, $A$1, FALSE)</f>
        <v>0.62568098524119264</v>
      </c>
      <c r="F14" s="1">
        <f>VLOOKUP($B14, '[1]Exp of usable iron ore'!$B$2:$X$31, $A$1, FALSE)*parameters!$B$12</f>
        <v>24315.850000000002</v>
      </c>
      <c r="G14" s="1">
        <f>VLOOKUP($B14, '[1]Pro of pig iron'!$B$2:$X$31, $A$1, FALSE)*(1-VLOOKUP($B14, '[1]Foundry share'!$B$2:$X$31, $A$1, FALSE))</f>
        <v>20147</v>
      </c>
      <c r="H14" s="1">
        <f>VLOOKUP($B14, '[1]Exp of pig iron'!$B$2:$X$31, $A$1, FALSE)</f>
        <v>2343</v>
      </c>
      <c r="I14" s="1">
        <f>VLOOKUP($B14, '[1]Imp of pig iron'!$B$2:$X$31, $A$1, FALSE)</f>
        <v>2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2</v>
      </c>
      <c r="M14" s="1">
        <f>VLOOKUP($B14, '[1]Exp of scrap'!$B$2:$X$31, $A$1, FALSE)</f>
        <v>487</v>
      </c>
      <c r="N14" s="1">
        <f>VLOOKUP($B14, '[1]Imp of scrap'!$B$2:$X$31, $A$1, FALSE)</f>
        <v>25</v>
      </c>
      <c r="O14" s="1">
        <f>VLOOKUP($B14, '[1]Pro of BOF steel'!$B$2:$X$31, $A$1, FALSE)</f>
        <v>15305</v>
      </c>
      <c r="P14" s="1">
        <f>VLOOKUP($B14, '[1]Pro of OHF steel'!$B$2:$X$31, $A$1, FALSE)</f>
        <v>4575</v>
      </c>
      <c r="Q14" s="1">
        <f>VLOOKUP($B14, '[1]Pro of EAF steel'!$B$2:$X$31, $A$1, FALSE)</f>
        <v>1445</v>
      </c>
      <c r="R14" s="1">
        <f>VLOOKUP($B14, '[1]Exp of ingots and semis'!$B$2:$X$31, $A$1, FALSE)</f>
        <v>6372</v>
      </c>
      <c r="S14" s="1">
        <f>VLOOKUP($B14, '[1]Imp of ingots and semis'!$B$2:$X$31, $A$1, FALSE)</f>
        <v>28</v>
      </c>
      <c r="T14" s="1">
        <f>VLOOKUP($B14, '[1]Pro of hr long'!$B$2:$X$31, $A$1, FALSE)+VLOOKUP($B14, '[1]Pro of seamless tubes'!$B$2:$X$31, $A$1, FALSE)</f>
        <v>6065</v>
      </c>
      <c r="U14" s="1">
        <f>VLOOKUP($B14, '[1]Exp of long'!$B$2:$X$31, $A$1, FALSE)</f>
        <v>3249</v>
      </c>
      <c r="V14" s="1">
        <f>VLOOKUP($B14, '[1]Imp of long'!$B$2:$X$31, $A$1, FALSE)</f>
        <v>480</v>
      </c>
      <c r="W14" s="1">
        <f>VLOOKUP($B14, '[1]Pro of hr flat'!$B$2:$X$31, $A$1, FALSE)*parameters!$B$8</f>
        <v>6524.9331436699858</v>
      </c>
      <c r="X14" s="1">
        <f>VLOOKUP($B14, '[1]Exp of flat'!$B$2:$X$31, $A$1, FALSE)</f>
        <v>4968</v>
      </c>
      <c r="Y14" s="1">
        <f>VLOOKUP($B14, '[1]Imp of flat'!$B$2:$X$31, $A$1, FALSE)</f>
        <v>796</v>
      </c>
      <c r="Z14" s="1">
        <f>VLOOKUP($B14, '[1]Indirect exp'!$B$2:$X$31, $A$1, FALSE)</f>
        <v>908</v>
      </c>
      <c r="AA14" s="1">
        <f>VLOOKUP($B14, '[1]Indirect imp'!$B$2:$X$31, $A$1, FALSE)</f>
        <v>1591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18600</v>
      </c>
      <c r="D15" s="1">
        <f>VLOOKUP($B15, '[1]Pro of iron ore'!$B$2:$X$31, $A$1, FALSE)*(1-VLOOKUP($B15, '[1]Foundry share'!$B$2:$X$31, $A$1, FALSE))</f>
        <v>11713</v>
      </c>
      <c r="E15" s="47">
        <f>VLOOKUP($B15, '[1]Iron content'!$B$2:$X$31, $A$1, FALSE)</f>
        <v>0.62973118279569895</v>
      </c>
      <c r="F15" s="1">
        <f>VLOOKUP($B15, '[1]Exp of usable iron ore'!$B$2:$X$31, $A$1, FALSE)*parameters!$B$12</f>
        <v>74.100000000000009</v>
      </c>
      <c r="G15" s="1">
        <f>VLOOKUP($B15, '[1]Pro of pig iron'!$B$2:$X$31, $A$1, FALSE)*(1-VLOOKUP($B15, '[1]Foundry share'!$B$2:$X$31, $A$1, FALSE))</f>
        <v>4245</v>
      </c>
      <c r="H15" s="1">
        <f>VLOOKUP($B15, '[1]Exp of pig iron'!$B$2:$X$31, $A$1, FALSE)</f>
        <v>0</v>
      </c>
      <c r="I15" s="1">
        <f>VLOOKUP($B15, '[1]Imp of pig iron'!$B$2:$X$31, $A$1, FALSE)</f>
        <v>236</v>
      </c>
      <c r="J15" s="1">
        <f>VLOOKUP($B15, '[1]Pro of DRI'!$B$2:$X$31, $A$1, FALSE)*(1-VLOOKUP($B15, '[1]Foundry share'!$B$2:$X$31, $A$1, FALSE))</f>
        <v>6011</v>
      </c>
      <c r="K15" s="1">
        <f>VLOOKUP($B15, '[1]Exp of DRI'!$B$2:$X$31, $A$1, FALSE)</f>
        <v>0</v>
      </c>
      <c r="L15" s="1">
        <f>VLOOKUP($B15, '[1]Imp of DRI'!$B$2:$X$31, $A$1, FALSE)</f>
        <v>577</v>
      </c>
      <c r="M15" s="1">
        <f>VLOOKUP($B15, '[1]Exp of scrap'!$B$2:$X$31, $A$1, FALSE)</f>
        <v>626</v>
      </c>
      <c r="N15" s="1">
        <f>VLOOKUP($B15, '[1]Imp of scrap'!$B$2:$X$31, $A$1, FALSE)</f>
        <v>1782</v>
      </c>
      <c r="O15" s="1">
        <f>VLOOKUP($B15, '[1]Pro of BOF steel'!$B$2:$X$31, $A$1, FALSE)</f>
        <v>4721</v>
      </c>
      <c r="P15" s="1">
        <f>VLOOKUP($B15, '[1]Pro of OHF steel'!$B$2:$X$31, $A$1, FALSE)</f>
        <v>0</v>
      </c>
      <c r="Q15" s="1">
        <f>VLOOKUP($B15, '[1]Pro of EAF steel'!$B$2:$X$31, $A$1, FALSE)</f>
        <v>15234</v>
      </c>
      <c r="R15" s="1">
        <f>VLOOKUP($B15, '[1]Exp of ingots and semis'!$B$2:$X$31, $A$1, FALSE)</f>
        <v>1037</v>
      </c>
      <c r="S15" s="1">
        <f>VLOOKUP($B15, '[1]Imp of ingots and semis'!$B$2:$X$31, $A$1, FALSE)</f>
        <v>556</v>
      </c>
      <c r="T15" s="1">
        <f>VLOOKUP($B15, '[1]Pro of hr long'!$B$2:$X$31, $A$1, FALSE)+VLOOKUP($B15, '[1]Pro of seamless tubes'!$B$2:$X$31, $A$1, FALSE)</f>
        <v>9670</v>
      </c>
      <c r="U15" s="1">
        <f>VLOOKUP($B15, '[1]Exp of long'!$B$2:$X$31, $A$1, FALSE)</f>
        <v>1302</v>
      </c>
      <c r="V15" s="1">
        <f>VLOOKUP($B15, '[1]Imp of long'!$B$2:$X$31, $A$1, FALSE)</f>
        <v>1803</v>
      </c>
      <c r="W15" s="1">
        <f>VLOOKUP($B15, '[1]Pro of hr flat'!$B$2:$X$31, $A$1, FALSE)*parameters!$B$8</f>
        <v>8766.3001422475099</v>
      </c>
      <c r="X15" s="1">
        <f>VLOOKUP($B15, '[1]Exp of flat'!$B$2:$X$31, $A$1, FALSE)</f>
        <v>1130</v>
      </c>
      <c r="Y15" s="1">
        <f>VLOOKUP($B15, '[1]Imp of flat'!$B$2:$X$31, $A$1, FALSE)</f>
        <v>8131</v>
      </c>
      <c r="Z15" s="1">
        <f>VLOOKUP($B15, '[1]Indirect exp'!$B$2:$X$31, $A$1, FALSE)</f>
        <v>14572</v>
      </c>
      <c r="AA15" s="1">
        <f>VLOOKUP($B15, '[1]Indirect imp'!$B$2:$X$31, $A$1, FALSE)</f>
        <v>11513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5515</v>
      </c>
      <c r="D16" s="1">
        <f>VLOOKUP($B16, '[1]Pro of iron ore'!$B$2:$X$31, $A$1, FALSE)*(1-VLOOKUP($B16, '[1]Foundry share'!$B$2:$X$31, $A$1, FALSE))</f>
        <v>2920</v>
      </c>
      <c r="E16" s="47">
        <f>VLOOKUP($B16, '[1]Iron content'!$B$2:$X$31, $A$1, FALSE)</f>
        <v>0.52946509519492291</v>
      </c>
      <c r="F16" s="1">
        <f>VLOOKUP($B16, '[1]Exp of usable iron ore'!$B$2:$X$31, $A$1, FALSE)*parameters!$B$12</f>
        <v>2283.4500000000003</v>
      </c>
      <c r="G16" s="1">
        <f>VLOOKUP($B16, '[1]Pro of pig iron'!$B$2:$X$31, $A$1, FALSE)*(1-VLOOKUP($B16, '[1]Foundry share'!$B$2:$X$31, $A$1, FALSE))</f>
        <v>4250</v>
      </c>
      <c r="H16" s="1">
        <f>VLOOKUP($B16, '[1]Exp of pig iron'!$B$2:$X$31, $A$1, FALSE)</f>
        <v>36</v>
      </c>
      <c r="I16" s="1">
        <f>VLOOKUP($B16, '[1]Imp of pig iron'!$B$2:$X$31, $A$1, FALSE)</f>
        <v>60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4550</v>
      </c>
      <c r="O16" s="1">
        <f>VLOOKUP($B16, '[1]Pro of BOF steel'!$B$2:$X$31, $A$1, FALSE)</f>
        <v>4016</v>
      </c>
      <c r="P16" s="1">
        <f>VLOOKUP($B16, '[1]Pro of OHF steel'!$B$2:$X$31, $A$1, FALSE)</f>
        <v>0</v>
      </c>
      <c r="Q16" s="1">
        <f>VLOOKUP($B16, '[1]Pro of EAF steel'!$B$2:$X$31, $A$1, FALSE)</f>
        <v>7457</v>
      </c>
      <c r="R16" s="1">
        <f>VLOOKUP($B16, '[1]Exp of ingots and semis'!$B$2:$X$31, $A$1, FALSE)</f>
        <v>654</v>
      </c>
      <c r="S16" s="1">
        <f>VLOOKUP($B16, '[1]Imp of ingots and semis'!$B$2:$X$31, $A$1, FALSE)</f>
        <v>409</v>
      </c>
      <c r="T16" s="1">
        <f>VLOOKUP($B16, '[1]Pro of hr long'!$B$2:$X$31, $A$1, FALSE)+VLOOKUP($B16, '[1]Pro of seamless tubes'!$B$2:$X$31, $A$1, FALSE)</f>
        <v>9924</v>
      </c>
      <c r="U16" s="1">
        <f>VLOOKUP($B16, '[1]Exp of long'!$B$2:$X$31, $A$1, FALSE)</f>
        <v>544</v>
      </c>
      <c r="V16" s="1">
        <f>VLOOKUP($B16, '[1]Imp of long'!$B$2:$X$31, $A$1, FALSE)</f>
        <v>1858</v>
      </c>
      <c r="W16" s="1">
        <f>VLOOKUP($B16, '[1]Pro of hr flat'!$B$2:$X$31, $A$1, FALSE)*parameters!$B$8</f>
        <v>1338.796586059744</v>
      </c>
      <c r="X16" s="1">
        <f>VLOOKUP($B16, '[1]Exp of flat'!$B$2:$X$31, $A$1, FALSE)</f>
        <v>2326</v>
      </c>
      <c r="Y16" s="1">
        <f>VLOOKUP($B16, '[1]Imp of flat'!$B$2:$X$31, $A$1, FALSE)</f>
        <v>13588</v>
      </c>
      <c r="Z16" s="1">
        <f>VLOOKUP($B16, '[1]Indirect exp'!$B$2:$X$31, $A$1, FALSE)</f>
        <v>1111</v>
      </c>
      <c r="AA16" s="1">
        <f>VLOOKUP($B16, '[1]Indirect imp'!$B$2:$X$31, $A$1, FALSE)</f>
        <v>2166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11.700000000000001</v>
      </c>
      <c r="G17" s="1">
        <f>VLOOKUP($B17, '[1]Pro of pig iron'!$B$2:$X$31, $A$1, FALSE)*(1-VLOOKUP($B17, '[1]Foundry share'!$B$2:$X$31, $A$1, FALSE))</f>
        <v>10678</v>
      </c>
      <c r="H17" s="1">
        <f>VLOOKUP($B17, '[1]Exp of pig iron'!$B$2:$X$31, $A$1, FALSE)</f>
        <v>49</v>
      </c>
      <c r="I17" s="1">
        <f>VLOOKUP($B17, '[1]Imp of pig iron'!$B$2:$X$31, $A$1, FALSE)</f>
        <v>135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198</v>
      </c>
      <c r="M17" s="1">
        <f>VLOOKUP($B17, '[1]Exp of scrap'!$B$2:$X$31, $A$1, FALSE)</f>
        <v>6176</v>
      </c>
      <c r="N17" s="1">
        <f>VLOOKUP($B17, '[1]Imp of scrap'!$B$2:$X$31, $A$1, FALSE)</f>
        <v>1909</v>
      </c>
      <c r="O17" s="1">
        <f>VLOOKUP($B17, '[1]Pro of BOF steel'!$B$2:$X$31, $A$1, FALSE)</f>
        <v>10664</v>
      </c>
      <c r="P17" s="1">
        <f>VLOOKUP($B17, '[1]Pro of OHF steel'!$B$2:$X$31, $A$1, FALSE)</f>
        <v>0</v>
      </c>
      <c r="Q17" s="1">
        <f>VLOOKUP($B17, '[1]Pro of EAF steel'!$B$2:$X$31, $A$1, FALSE)</f>
        <v>4840</v>
      </c>
      <c r="R17" s="1">
        <f>VLOOKUP($B17, '[1]Exp of ingots and semis'!$B$2:$X$31, $A$1, FALSE)</f>
        <v>1177</v>
      </c>
      <c r="S17" s="1">
        <f>VLOOKUP($B17, '[1]Imp of ingots and semis'!$B$2:$X$31, $A$1, FALSE)</f>
        <v>1829</v>
      </c>
      <c r="T17" s="1">
        <f>VLOOKUP($B17, '[1]Pro of hr long'!$B$2:$X$31, $A$1, FALSE)+VLOOKUP($B17, '[1]Pro of seamless tubes'!$B$2:$X$31, $A$1, FALSE)</f>
        <v>4367</v>
      </c>
      <c r="U17" s="1">
        <f>VLOOKUP($B17, '[1]Exp of long'!$B$2:$X$31, $A$1, FALSE)</f>
        <v>2493</v>
      </c>
      <c r="V17" s="1">
        <f>VLOOKUP($B17, '[1]Imp of long'!$B$2:$X$31, $A$1, FALSE)</f>
        <v>3344</v>
      </c>
      <c r="W17" s="1">
        <f>VLOOKUP($B17, '[1]Pro of hr flat'!$B$2:$X$31, $A$1, FALSE)*parameters!$B$8</f>
        <v>10688.027027027027</v>
      </c>
      <c r="X17" s="1">
        <f>VLOOKUP($B17, '[1]Exp of flat'!$B$2:$X$31, $A$1, FALSE)</f>
        <v>10568</v>
      </c>
      <c r="Y17" s="1">
        <f>VLOOKUP($B17, '[1]Imp of flat'!$B$2:$X$31, $A$1, FALSE)</f>
        <v>8436</v>
      </c>
      <c r="Z17" s="1">
        <f>VLOOKUP($B17, '[1]Indirect exp'!$B$2:$X$31, $A$1, FALSE)</f>
        <v>8436</v>
      </c>
      <c r="AA17" s="1">
        <f>VLOOKUP($B17, '[1]Indirect imp'!$B$2:$X$31, $A$1, FALSE)</f>
        <v>12725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4462</v>
      </c>
      <c r="H18" s="1">
        <f>VLOOKUP($B18, '[1]Exp of pig iron'!$B$2:$X$31, $A$1, FALSE)</f>
        <v>13</v>
      </c>
      <c r="I18" s="1">
        <f>VLOOKUP($B18, '[1]Imp of pig iron'!$B$2:$X$31, $A$1, FALSE)</f>
        <v>197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426</v>
      </c>
      <c r="M18" s="1">
        <f>VLOOKUP($B18, '[1]Exp of scrap'!$B$2:$X$31, $A$1, FALSE)</f>
        <v>398</v>
      </c>
      <c r="N18" s="1">
        <f>VLOOKUP($B18, '[1]Imp of scrap'!$B$2:$X$31, $A$1, FALSE)</f>
        <v>4101</v>
      </c>
      <c r="O18" s="1">
        <f>VLOOKUP($B18, '[1]Pro of BOF steel'!$B$2:$X$31, $A$1, FALSE)</f>
        <v>4821</v>
      </c>
      <c r="P18" s="1">
        <f>VLOOKUP($B18, '[1]Pro of OHF steel'!$B$2:$X$31, $A$1, FALSE)</f>
        <v>0</v>
      </c>
      <c r="Q18" s="1">
        <f>VLOOKUP($B18, '[1]Pro of EAF steel'!$B$2:$X$31, $A$1, FALSE)</f>
        <v>9620</v>
      </c>
      <c r="R18" s="1">
        <f>VLOOKUP($B18, '[1]Exp of ingots and semis'!$B$2:$X$31, $A$1, FALSE)</f>
        <v>294</v>
      </c>
      <c r="S18" s="1">
        <f>VLOOKUP($B18, '[1]Imp of ingots and semis'!$B$2:$X$31, $A$1, FALSE)</f>
        <v>965</v>
      </c>
      <c r="T18" s="1">
        <f>VLOOKUP($B18, '[1]Pro of hr long'!$B$2:$X$31, $A$1, FALSE)+VLOOKUP($B18, '[1]Pro of seamless tubes'!$B$2:$X$31, $A$1, FALSE)</f>
        <v>9148</v>
      </c>
      <c r="U18" s="1">
        <f>VLOOKUP($B18, '[1]Exp of long'!$B$2:$X$31, $A$1, FALSE)</f>
        <v>5634</v>
      </c>
      <c r="V18" s="1">
        <f>VLOOKUP($B18, '[1]Imp of long'!$B$2:$X$31, $A$1, FALSE)</f>
        <v>1308</v>
      </c>
      <c r="W18" s="1">
        <f>VLOOKUP($B18, '[1]Pro of hr flat'!$B$2:$X$31, $A$1, FALSE)*parameters!$B$8</f>
        <v>4663.4423897581792</v>
      </c>
      <c r="X18" s="1">
        <f>VLOOKUP($B18, '[1]Exp of flat'!$B$2:$X$31, $A$1, FALSE)</f>
        <v>2033</v>
      </c>
      <c r="Y18" s="1">
        <f>VLOOKUP($B18, '[1]Imp of flat'!$B$2:$X$31, $A$1, FALSE)</f>
        <v>7028</v>
      </c>
      <c r="Z18" s="1">
        <f>VLOOKUP($B18, '[1]Indirect exp'!$B$2:$X$31, $A$1, FALSE)</f>
        <v>9925</v>
      </c>
      <c r="AA18" s="1">
        <f>VLOOKUP($B18, '[1]Indirect imp'!$B$2:$X$31, $A$1, FALSE)</f>
        <v>7679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50300</v>
      </c>
      <c r="D19" s="1">
        <f>VLOOKUP($B19, '[1]Pro of iron ore'!$B$2:$X$31, $A$1, FALSE)*(1-VLOOKUP($B19, '[1]Foundry share'!$B$2:$X$31, $A$1, FALSE))</f>
        <v>30200</v>
      </c>
      <c r="E19" s="47">
        <f>VLOOKUP($B19, '[1]Iron content'!$B$2:$X$31, $A$1, FALSE)</f>
        <v>0.60039761431411531</v>
      </c>
      <c r="F19" s="1">
        <f>VLOOKUP($B19, '[1]Exp of usable iron ore'!$B$2:$X$31, $A$1, FALSE)*parameters!$B$12</f>
        <v>26763.100000000002</v>
      </c>
      <c r="G19" s="1">
        <f>VLOOKUP($B19, '[1]Pro of pig iron'!$B$2:$X$31, $A$1, FALSE)*(1-VLOOKUP($B19, '[1]Foundry share'!$B$2:$X$31, $A$1, FALSE))</f>
        <v>6306</v>
      </c>
      <c r="H19" s="1">
        <f>VLOOKUP($B19, '[1]Exp of pig iron'!$B$2:$X$31, $A$1, FALSE)</f>
        <v>40</v>
      </c>
      <c r="I19" s="1">
        <f>VLOOKUP($B19, '[1]Imp of pig iron'!$B$2:$X$31, $A$1, FALSE)</f>
        <v>61</v>
      </c>
      <c r="J19" s="1">
        <f>VLOOKUP($B19, '[1]Pro of DRI'!$B$2:$X$31, $A$1, FALSE)*(1-VLOOKUP($B19, '[1]Foundry share'!$B$2:$X$31, $A$1, FALSE))</f>
        <v>1608</v>
      </c>
      <c r="K19" s="1">
        <f>VLOOKUP($B19, '[1]Exp of DRI'!$B$2:$X$31, $A$1, FALSE)</f>
        <v>0</v>
      </c>
      <c r="L19" s="1">
        <f>VLOOKUP($B19, '[1]Imp of DRI'!$B$2:$X$31, $A$1, FALSE)</f>
        <v>0</v>
      </c>
      <c r="M19" s="1">
        <f>VLOOKUP($B19, '[1]Exp of scrap'!$B$2:$X$31, $A$1, FALSE)</f>
        <v>4409</v>
      </c>
      <c r="N19" s="1">
        <f>VLOOKUP($B19, '[1]Imp of scrap'!$B$2:$X$31, $A$1, FALSE)</f>
        <v>2115</v>
      </c>
      <c r="O19" s="1">
        <f>VLOOKUP($B19, '[1]Pro of BOF steel'!$B$2:$X$31, $A$1, FALSE)</f>
        <v>7271</v>
      </c>
      <c r="P19" s="1">
        <f>VLOOKUP($B19, '[1]Pro of OHF steel'!$B$2:$X$31, $A$1, FALSE)</f>
        <v>0</v>
      </c>
      <c r="Q19" s="1">
        <f>VLOOKUP($B19, '[1]Pro of EAF steel'!$B$2:$X$31, $A$1, FALSE)</f>
        <v>5937</v>
      </c>
      <c r="R19" s="1">
        <f>VLOOKUP($B19, '[1]Exp of ingots and semis'!$B$2:$X$31, $A$1, FALSE)</f>
        <v>256</v>
      </c>
      <c r="S19" s="1">
        <f>VLOOKUP($B19, '[1]Imp of ingots and semis'!$B$2:$X$31, $A$1, FALSE)</f>
        <v>576</v>
      </c>
      <c r="T19" s="1">
        <f>VLOOKUP($B19, '[1]Pro of hr long'!$B$2:$X$31, $A$1, FALSE)+VLOOKUP($B19, '[1]Pro of seamless tubes'!$B$2:$X$31, $A$1, FALSE)</f>
        <v>2874</v>
      </c>
      <c r="U19" s="1">
        <f>VLOOKUP($B19, '[1]Exp of long'!$B$2:$X$31, $A$1, FALSE)</f>
        <v>1649</v>
      </c>
      <c r="V19" s="1">
        <f>VLOOKUP($B19, '[1]Imp of long'!$B$2:$X$31, $A$1, FALSE)</f>
        <v>2758</v>
      </c>
      <c r="W19" s="1">
        <f>VLOOKUP($B19, '[1]Pro of hr flat'!$B$2:$X$31, $A$1, FALSE)*parameters!$B$8</f>
        <v>8740.0682788051217</v>
      </c>
      <c r="X19" s="1">
        <f>VLOOKUP($B19, '[1]Exp of flat'!$B$2:$X$31, $A$1, FALSE)</f>
        <v>3581</v>
      </c>
      <c r="Y19" s="1">
        <f>VLOOKUP($B19, '[1]Imp of flat'!$B$2:$X$31, $A$1, FALSE)</f>
        <v>3802</v>
      </c>
      <c r="Z19" s="1">
        <f>VLOOKUP($B19, '[1]Indirect exp'!$B$2:$X$31, $A$1, FALSE)</f>
        <v>5974</v>
      </c>
      <c r="AA19" s="1">
        <f>VLOOKUP($B19, '[1]Indirect imp'!$B$2:$X$31, $A$1, FALSE)</f>
        <v>11060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1967</v>
      </c>
      <c r="D20" s="1">
        <f>VLOOKUP($B20, '[1]Pro of iron ore'!$B$2:$X$31, $A$1, FALSE)*(1-VLOOKUP($B20, '[1]Foundry share'!$B$2:$X$31, $A$1, FALSE))</f>
        <v>1100</v>
      </c>
      <c r="E20" s="47">
        <f>VLOOKUP($B20, '[1]Iron content'!$B$2:$X$31, $A$1, FALSE)</f>
        <v>0.55922724961870873</v>
      </c>
      <c r="F20" s="1">
        <f>VLOOKUP($B20, '[1]Exp of usable iron ore'!$B$2:$X$31, $A$1, FALSE)*parameters!$B$12</f>
        <v>1299.3500000000001</v>
      </c>
      <c r="G20" s="1">
        <f>VLOOKUP($B20, '[1]Pro of pig iron'!$B$2:$X$31, $A$1, FALSE)*(1-VLOOKUP($B20, '[1]Foundry share'!$B$2:$X$31, $A$1, FALSE))</f>
        <v>2650</v>
      </c>
      <c r="H20" s="1">
        <f>VLOOKUP($B20, '[1]Exp of pig iron'!$B$2:$X$31, $A$1, FALSE)</f>
        <v>140</v>
      </c>
      <c r="I20" s="1">
        <f>VLOOKUP($B20, '[1]Imp of pig iron'!$B$2:$X$31, $A$1, FALSE)</f>
        <v>79</v>
      </c>
      <c r="J20" s="1">
        <f>VLOOKUP($B20, '[1]Pro of DRI'!$B$2:$X$31, $A$1, FALSE)*(1-VLOOKUP($B20, '[1]Foundry share'!$B$2:$X$31, $A$1, FALSE))</f>
        <v>22</v>
      </c>
      <c r="K20" s="1">
        <f>VLOOKUP($B20, '[1]Exp of DRI'!$B$2:$X$31, $A$1, FALSE)</f>
        <v>1</v>
      </c>
      <c r="L20" s="1">
        <f>VLOOKUP($B20, '[1]Imp of DRI'!$B$2:$X$31, $A$1, FALSE)</f>
        <v>59</v>
      </c>
      <c r="M20" s="1">
        <f>VLOOKUP($B20, '[1]Exp of scrap'!$B$2:$X$31, $A$1, FALSE)</f>
        <v>70</v>
      </c>
      <c r="N20" s="1">
        <f>VLOOKUP($B20, '[1]Imp of scrap'!$B$2:$X$31, $A$1, FALSE)</f>
        <v>1857</v>
      </c>
      <c r="O20" s="1">
        <f>VLOOKUP($B20, '[1]Pro of BOF steel'!$B$2:$X$31, $A$1, FALSE)</f>
        <v>2922</v>
      </c>
      <c r="P20" s="1">
        <f>VLOOKUP($B20, '[1]Pro of OHF steel'!$B$2:$X$31, $A$1, FALSE)</f>
        <v>0</v>
      </c>
      <c r="Q20" s="1">
        <f>VLOOKUP($B20, '[1]Pro of EAF steel'!$B$2:$X$31, $A$1, FALSE)</f>
        <v>2274</v>
      </c>
      <c r="R20" s="1">
        <f>VLOOKUP($B20, '[1]Exp of ingots and semis'!$B$2:$X$31, $A$1, FALSE)</f>
        <v>1027</v>
      </c>
      <c r="S20" s="1">
        <f>VLOOKUP($B20, '[1]Imp of ingots and semis'!$B$2:$X$31, $A$1, FALSE)</f>
        <v>4158</v>
      </c>
      <c r="T20" s="1">
        <f>VLOOKUP($B20, '[1]Pro of hr long'!$B$2:$X$31, $A$1, FALSE)+VLOOKUP($B20, '[1]Pro of seamless tubes'!$B$2:$X$31, $A$1, FALSE)</f>
        <v>3592</v>
      </c>
      <c r="U20" s="1">
        <f>VLOOKUP($B20, '[1]Exp of long'!$B$2:$X$31, $A$1, FALSE)</f>
        <v>179</v>
      </c>
      <c r="V20" s="1">
        <f>VLOOKUP($B20, '[1]Imp of long'!$B$2:$X$31, $A$1, FALSE)</f>
        <v>1564</v>
      </c>
      <c r="W20" s="1">
        <f>VLOOKUP($B20, '[1]Pro of hr flat'!$B$2:$X$31, $A$1, FALSE)*parameters!$B$8</f>
        <v>4152.4068278805116</v>
      </c>
      <c r="X20" s="1">
        <f>VLOOKUP($B20, '[1]Exp of flat'!$B$2:$X$31, $A$1, FALSE)</f>
        <v>927</v>
      </c>
      <c r="Y20" s="1">
        <f>VLOOKUP($B20, '[1]Imp of flat'!$B$2:$X$31, $A$1, FALSE)</f>
        <v>5136</v>
      </c>
      <c r="Z20" s="1">
        <f>VLOOKUP($B20, '[1]Indirect exp'!$B$2:$X$31, $A$1, FALSE)</f>
        <v>1306</v>
      </c>
      <c r="AA20" s="1">
        <f>VLOOKUP($B20, '[1]Indirect imp'!$B$2:$X$31, $A$1, FALSE)</f>
        <v>6071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5151</v>
      </c>
      <c r="H21" s="1">
        <f>VLOOKUP($B21, '[1]Exp of pig iron'!$B$2:$X$31, $A$1, FALSE)</f>
        <v>0</v>
      </c>
      <c r="I21" s="1">
        <f>VLOOKUP($B21, '[1]Imp of pig iron'!$B$2:$X$31, $A$1, FALSE)</f>
        <v>239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1397</v>
      </c>
      <c r="N21" s="1">
        <f>VLOOKUP($B21, '[1]Imp of scrap'!$B$2:$X$31, $A$1, FALSE)</f>
        <v>806</v>
      </c>
      <c r="O21" s="1">
        <f>VLOOKUP($B21, '[1]Pro of BOF steel'!$B$2:$X$31, $A$1, FALSE)</f>
        <v>5706</v>
      </c>
      <c r="P21" s="1">
        <f>VLOOKUP($B21, '[1]Pro of OHF steel'!$B$2:$X$31, $A$1, FALSE)</f>
        <v>0</v>
      </c>
      <c r="Q21" s="1">
        <f>VLOOKUP($B21, '[1]Pro of EAF steel'!$B$2:$X$31, $A$1, FALSE)</f>
        <v>4626</v>
      </c>
      <c r="R21" s="1">
        <f>VLOOKUP($B21, '[1]Exp of ingots and semis'!$B$2:$X$31, $A$1, FALSE)</f>
        <v>561</v>
      </c>
      <c r="S21" s="1">
        <f>VLOOKUP($B21, '[1]Imp of ingots and semis'!$B$2:$X$31, $A$1, FALSE)</f>
        <v>340</v>
      </c>
      <c r="T21" s="1">
        <f>VLOOKUP($B21, '[1]Pro of hr long'!$B$2:$X$31, $A$1, FALSE)+VLOOKUP($B21, '[1]Pro of seamless tubes'!$B$2:$X$31, $A$1, FALSE)</f>
        <v>5591</v>
      </c>
      <c r="U21" s="1">
        <f>VLOOKUP($B21, '[1]Exp of long'!$B$2:$X$31, $A$1, FALSE)</f>
        <v>2790</v>
      </c>
      <c r="V21" s="1">
        <f>VLOOKUP($B21, '[1]Imp of long'!$B$2:$X$31, $A$1, FALSE)</f>
        <v>2384</v>
      </c>
      <c r="W21" s="1">
        <f>VLOOKUP($B21, '[1]Pro of hr flat'!$B$2:$X$31, $A$1, FALSE)*parameters!$B$8</f>
        <v>3349.9061166429588</v>
      </c>
      <c r="X21" s="1">
        <f>VLOOKUP($B21, '[1]Exp of flat'!$B$2:$X$31, $A$1, FALSE)</f>
        <v>2253</v>
      </c>
      <c r="Y21" s="1">
        <f>VLOOKUP($B21, '[1]Imp of flat'!$B$2:$X$31, $A$1, FALSE)</f>
        <v>6977</v>
      </c>
      <c r="Z21" s="1">
        <f>VLOOKUP($B21, '[1]Indirect exp'!$B$2:$X$31, $A$1, FALSE)</f>
        <v>9017</v>
      </c>
      <c r="AA21" s="1">
        <f>VLOOKUP($B21, '[1]Indirect imp'!$B$2:$X$31, $A$1, FALSE)</f>
        <v>6133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565</v>
      </c>
      <c r="D22" s="1">
        <f>VLOOKUP($B22, '[1]Pro of iron ore'!$B$2:$X$31, $A$1, FALSE)*(1-VLOOKUP($B22, '[1]Foundry share'!$B$2:$X$31, $A$1, FALSE))</f>
        <v>353</v>
      </c>
      <c r="E22" s="47">
        <f>VLOOKUP($B22, '[1]Iron content'!$B$2:$X$31, $A$1, FALSE)</f>
        <v>0.62477876106194685</v>
      </c>
      <c r="F22" s="1">
        <f>VLOOKUP($B22, '[1]Exp of usable iron ore'!$B$2:$X$31, $A$1, FALSE)*parameters!$B$12</f>
        <v>16.25</v>
      </c>
      <c r="G22" s="1">
        <f>VLOOKUP($B22, '[1]Pro of pig iron'!$B$2:$X$31, $A$1, FALSE)*(1-VLOOKUP($B22, '[1]Foundry share'!$B$2:$X$31, $A$1, FALSE))</f>
        <v>500</v>
      </c>
      <c r="H22" s="1">
        <f>VLOOKUP($B22, '[1]Exp of pig iron'!$B$2:$X$31, $A$1, FALSE)</f>
        <v>0</v>
      </c>
      <c r="I22" s="1">
        <f>VLOOKUP($B22, '[1]Imp of pig iron'!$B$2:$X$31, $A$1, FALSE)</f>
        <v>10</v>
      </c>
      <c r="J22" s="1">
        <f>VLOOKUP($B22, '[1]Pro of DRI'!$B$2:$X$31, $A$1, FALSE)*(1-VLOOKUP($B22, '[1]Foundry share'!$B$2:$X$31, $A$1, FALSE))</f>
        <v>4667</v>
      </c>
      <c r="K22" s="1">
        <f>VLOOKUP($B22, '[1]Exp of DRI'!$B$2:$X$31, $A$1, FALSE)</f>
        <v>0</v>
      </c>
      <c r="L22" s="1">
        <f>VLOOKUP($B22, '[1]Imp of DRI'!$B$2:$X$31, $A$1, FALSE)</f>
        <v>55</v>
      </c>
      <c r="M22" s="1">
        <f>VLOOKUP($B22, '[1]Exp of scrap'!$B$2:$X$31, $A$1, FALSE)</f>
        <v>13</v>
      </c>
      <c r="N22" s="1">
        <f>VLOOKUP($B22, '[1]Imp of scrap'!$B$2:$X$31, $A$1, FALSE)</f>
        <v>2035</v>
      </c>
      <c r="O22" s="1">
        <f>VLOOKUP($B22, '[1]Pro of BOF steel'!$B$2:$X$31, $A$1, FALSE)</f>
        <v>570</v>
      </c>
      <c r="P22" s="1">
        <f>VLOOKUP($B22, '[1]Pro of OHF steel'!$B$2:$X$31, $A$1, FALSE)</f>
        <v>0</v>
      </c>
      <c r="Q22" s="1">
        <f>VLOOKUP($B22, '[1]Pro of EAF steel'!$B$2:$X$31, $A$1, FALSE)</f>
        <v>6300</v>
      </c>
      <c r="R22" s="1">
        <f>VLOOKUP($B22, '[1]Exp of ingots and semis'!$B$2:$X$31, $A$1, FALSE)</f>
        <v>122</v>
      </c>
      <c r="S22" s="1">
        <f>VLOOKUP($B22, '[1]Imp of ingots and semis'!$B$2:$X$31, $A$1, FALSE)</f>
        <v>2782</v>
      </c>
      <c r="T22" s="1">
        <f>VLOOKUP($B22, '[1]Pro of hr long'!$B$2:$X$31, $A$1, FALSE)+VLOOKUP($B22, '[1]Pro of seamless tubes'!$B$2:$X$31, $A$1, FALSE)</f>
        <v>6882</v>
      </c>
      <c r="U22" s="1">
        <f>VLOOKUP($B22, '[1]Exp of long'!$B$2:$X$31, $A$1, FALSE)</f>
        <v>363</v>
      </c>
      <c r="V22" s="1">
        <f>VLOOKUP($B22, '[1]Imp of long'!$B$2:$X$31, $A$1, FALSE)</f>
        <v>552</v>
      </c>
      <c r="W22" s="1">
        <f>VLOOKUP($B22, '[1]Pro of hr flat'!$B$2:$X$31, $A$1, FALSE)*parameters!$B$8</f>
        <v>1143.5149359886202</v>
      </c>
      <c r="X22" s="1">
        <f>VLOOKUP($B22, '[1]Exp of flat'!$B$2:$X$31, $A$1, FALSE)</f>
        <v>987</v>
      </c>
      <c r="Y22" s="1">
        <f>VLOOKUP($B22, '[1]Imp of flat'!$B$2:$X$31, $A$1, FALSE)</f>
        <v>1808</v>
      </c>
      <c r="Z22" s="1">
        <f>VLOOKUP($B22, '[1]Indirect exp'!$B$2:$X$31, $A$1, FALSE)</f>
        <v>91</v>
      </c>
      <c r="AA22" s="1">
        <f>VLOOKUP($B22, '[1]Indirect imp'!$B$2:$X$31, $A$1, FALSE)</f>
        <v>945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83</v>
      </c>
      <c r="J23" s="1">
        <f>VLOOKUP($B23, '[1]Pro of DRI'!$B$2:$X$31, $A$1, FALSE)*(1-VLOOKUP($B23, '[1]Foundry share'!$B$2:$X$31, $A$1, FALSE))</f>
        <v>3786.7049059274805</v>
      </c>
      <c r="K23" s="1">
        <f>VLOOKUP($B23, '[1]Exp of DRI'!$B$2:$X$31, $A$1, FALSE)</f>
        <v>3</v>
      </c>
      <c r="L23" s="1">
        <f>VLOOKUP($B23, '[1]Imp of DRI'!$B$2:$X$31, $A$1, FALSE)</f>
        <v>1713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4831</v>
      </c>
      <c r="R23" s="1">
        <f>VLOOKUP($B23, '[1]Exp of ingots and semis'!$B$2:$X$31, $A$1, FALSE)</f>
        <v>16</v>
      </c>
      <c r="S23" s="1">
        <f>VLOOKUP($B23, '[1]Imp of ingots and semis'!$B$2:$X$31, $A$1, FALSE)</f>
        <v>257</v>
      </c>
      <c r="T23" s="1">
        <f>VLOOKUP($B23, '[1]Pro of hr long'!$B$2:$X$31, $A$1, FALSE)+VLOOKUP($B23, '[1]Pro of seamless tubes'!$B$2:$X$31, $A$1, FALSE)</f>
        <v>2500</v>
      </c>
      <c r="U23" s="1">
        <f>VLOOKUP($B23, '[1]Exp of long'!$B$2:$X$31, $A$1, FALSE)</f>
        <v>376</v>
      </c>
      <c r="V23" s="1">
        <f>VLOOKUP($B23, '[1]Imp of long'!$B$2:$X$31, $A$1, FALSE)</f>
        <v>1132</v>
      </c>
      <c r="W23" s="1">
        <f>VLOOKUP($B23, '[1]Pro of hr flat'!$B$2:$X$31, $A$1, FALSE)*parameters!$B$8</f>
        <v>1943.1009957325746</v>
      </c>
      <c r="X23" s="1">
        <f>VLOOKUP($B23, '[1]Exp of flat'!$B$2:$X$31, $A$1, FALSE)</f>
        <v>909</v>
      </c>
      <c r="Y23" s="1">
        <f>VLOOKUP($B23, '[1]Imp of flat'!$B$2:$X$31, $A$1, FALSE)</f>
        <v>2110</v>
      </c>
      <c r="Z23" s="1">
        <f>VLOOKUP($B23, '[1]Indirect exp'!$B$2:$X$31, $A$1, FALSE)</f>
        <v>944</v>
      </c>
      <c r="AA23" s="1">
        <f>VLOOKUP($B23, '[1]Indirect imp'!$B$2:$X$31, $A$1, FALSE)</f>
        <v>3778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2982</v>
      </c>
      <c r="D24" s="1">
        <f>VLOOKUP($B24, '[1]Pro of iron ore'!$B$2:$X$31, $A$1, FALSE)*(1-VLOOKUP($B24, '[1]Foundry share'!$B$2:$X$31, $A$1, FALSE))</f>
        <v>954</v>
      </c>
      <c r="E24" s="47">
        <f>VLOOKUP($B24, '[1]Iron content'!$B$2:$X$31, $A$1, FALSE)</f>
        <v>0.31991951710261568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6335</v>
      </c>
      <c r="H24" s="1">
        <f>VLOOKUP($B24, '[1]Exp of pig iron'!$B$2:$X$31, $A$1, FALSE)</f>
        <v>3</v>
      </c>
      <c r="I24" s="1">
        <f>VLOOKUP($B24, '[1]Imp of pig iron'!$B$2:$X$31, $A$1, FALSE)</f>
        <v>17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425</v>
      </c>
      <c r="M24" s="1">
        <f>VLOOKUP($B24, '[1]Exp of scrap'!$B$2:$X$31, $A$1, FALSE)</f>
        <v>1231</v>
      </c>
      <c r="N24" s="1">
        <f>VLOOKUP($B24, '[1]Imp of scrap'!$B$2:$X$31, $A$1, FALSE)</f>
        <v>1040</v>
      </c>
      <c r="O24" s="1">
        <f>VLOOKUP($B24, '[1]Pro of BOF steel'!$B$2:$X$31, $A$1, FALSE)</f>
        <v>7412</v>
      </c>
      <c r="P24" s="1">
        <f>VLOOKUP($B24, '[1]Pro of OHF steel'!$B$2:$X$31, $A$1, FALSE)</f>
        <v>0</v>
      </c>
      <c r="Q24" s="1">
        <f>VLOOKUP($B24, '[1]Pro of EAF steel'!$B$2:$X$31, $A$1, FALSE)</f>
        <v>723</v>
      </c>
      <c r="R24" s="1">
        <f>VLOOKUP($B24, '[1]Exp of ingots and semis'!$B$2:$X$31, $A$1, FALSE)</f>
        <v>236</v>
      </c>
      <c r="S24" s="1">
        <f>VLOOKUP($B24, '[1]Imp of ingots and semis'!$B$2:$X$31, $A$1, FALSE)</f>
        <v>570</v>
      </c>
      <c r="T24" s="1">
        <f>VLOOKUP($B24, '[1]Pro of hr long'!$B$2:$X$31, $A$1, FALSE)+VLOOKUP($B24, '[1]Pro of seamless tubes'!$B$2:$X$31, $A$1, FALSE)</f>
        <v>2111</v>
      </c>
      <c r="U24" s="1">
        <f>VLOOKUP($B24, '[1]Exp of long'!$B$2:$X$31, $A$1, FALSE)</f>
        <v>1662</v>
      </c>
      <c r="V24" s="1">
        <f>VLOOKUP($B24, '[1]Imp of long'!$B$2:$X$31, $A$1, FALSE)</f>
        <v>1395</v>
      </c>
      <c r="W24" s="1">
        <f>VLOOKUP($B24, '[1]Pro of hr flat'!$B$2:$X$31, $A$1, FALSE)*parameters!$B$8</f>
        <v>5720.4893314367</v>
      </c>
      <c r="X24" s="1">
        <f>VLOOKUP($B24, '[1]Exp of flat'!$B$2:$X$31, $A$1, FALSE)</f>
        <v>5199</v>
      </c>
      <c r="Y24" s="1">
        <f>VLOOKUP($B24, '[1]Imp of flat'!$B$2:$X$31, $A$1, FALSE)</f>
        <v>2205</v>
      </c>
      <c r="Z24" s="1">
        <f>VLOOKUP($B24, '[1]Indirect exp'!$B$2:$X$31, $A$1, FALSE)</f>
        <v>3899</v>
      </c>
      <c r="AA24" s="1">
        <f>VLOOKUP($B24, '[1]Indirect imp'!$B$2:$X$31, $A$1, FALSE)</f>
        <v>4133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4.55</v>
      </c>
      <c r="G25" s="1">
        <f>VLOOKUP($B25, '[1]Pro of pig iron'!$B$2:$X$31, $A$1, FALSE)*(1-VLOOKUP($B25, '[1]Foundry share'!$B$2:$X$31, $A$1, FALSE))</f>
        <v>4849</v>
      </c>
      <c r="H25" s="1">
        <f>VLOOKUP($B25, '[1]Exp of pig iron'!$B$2:$X$31, $A$1, FALSE)</f>
        <v>165</v>
      </c>
      <c r="I25" s="1">
        <f>VLOOKUP($B25, '[1]Imp of pig iron'!$B$2:$X$31, $A$1, FALSE)</f>
        <v>215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113</v>
      </c>
      <c r="L25" s="1">
        <f>VLOOKUP($B25, '[1]Imp of DRI'!$B$2:$X$31, $A$1, FALSE)</f>
        <v>125</v>
      </c>
      <c r="M25" s="1">
        <f>VLOOKUP($B25, '[1]Exp of scrap'!$B$2:$X$31, $A$1, FALSE)</f>
        <v>3756</v>
      </c>
      <c r="N25" s="1">
        <f>VLOOKUP($B25, '[1]Imp of scrap'!$B$2:$X$31, $A$1, FALSE)</f>
        <v>4643</v>
      </c>
      <c r="O25" s="1">
        <f>VLOOKUP($B25, '[1]Pro of BOF steel'!$B$2:$X$31, $A$1, FALSE)</f>
        <v>5340</v>
      </c>
      <c r="P25" s="1">
        <f>VLOOKUP($B25, '[1]Pro of OHF steel'!$B$2:$X$31, $A$1, FALSE)</f>
        <v>0</v>
      </c>
      <c r="Q25" s="1">
        <f>VLOOKUP($B25, '[1]Pro of EAF steel'!$B$2:$X$31, $A$1, FALSE)</f>
        <v>2500</v>
      </c>
      <c r="R25" s="1">
        <f>VLOOKUP($B25, '[1]Exp of ingots and semis'!$B$2:$X$31, $A$1, FALSE)</f>
        <v>469</v>
      </c>
      <c r="S25" s="1">
        <f>VLOOKUP($B25, '[1]Imp of ingots and semis'!$B$2:$X$31, $A$1, FALSE)</f>
        <v>2138</v>
      </c>
      <c r="T25" s="1">
        <f>VLOOKUP($B25, '[1]Pro of hr long'!$B$2:$X$31, $A$1, FALSE)+VLOOKUP($B25, '[1]Pro of seamless tubes'!$B$2:$X$31, $A$1, FALSE)</f>
        <v>665</v>
      </c>
      <c r="U25" s="1">
        <f>VLOOKUP($B25, '[1]Exp of long'!$B$2:$X$31, $A$1, FALSE)</f>
        <v>1400</v>
      </c>
      <c r="V25" s="1">
        <f>VLOOKUP($B25, '[1]Imp of long'!$B$2:$X$31, $A$1, FALSE)</f>
        <v>1833</v>
      </c>
      <c r="W25" s="1">
        <f>VLOOKUP($B25, '[1]Pro of hr flat'!$B$2:$X$31, $A$1, FALSE)*parameters!$B$8</f>
        <v>8380.594594594595</v>
      </c>
      <c r="X25" s="1">
        <f>VLOOKUP($B25, '[1]Exp of flat'!$B$2:$X$31, $A$1, FALSE)</f>
        <v>15789</v>
      </c>
      <c r="Y25" s="1">
        <f>VLOOKUP($B25, '[1]Imp of flat'!$B$2:$X$31, $A$1, FALSE)</f>
        <v>9359</v>
      </c>
      <c r="Z25" s="1">
        <f>VLOOKUP($B25, '[1]Indirect exp'!$B$2:$X$31, $A$1, FALSE)</f>
        <v>7413</v>
      </c>
      <c r="AA25" s="1">
        <f>VLOOKUP($B25, '[1]Indirect imp'!$B$2:$X$31, $A$1, FALSE)</f>
        <v>8158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5996</v>
      </c>
      <c r="H26" s="1">
        <f>VLOOKUP($B26, '[1]Exp of pig iron'!$B$2:$X$31, $A$1, FALSE)</f>
        <v>5</v>
      </c>
      <c r="I26" s="1">
        <f>VLOOKUP($B26, '[1]Imp of pig iron'!$B$2:$X$31, $A$1, FALSE)</f>
        <v>50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</v>
      </c>
      <c r="M26" s="1">
        <f>VLOOKUP($B26, '[1]Exp of scrap'!$B$2:$X$31, $A$1, FALSE)</f>
        <v>8813</v>
      </c>
      <c r="N26" s="1">
        <f>VLOOKUP($B26, '[1]Imp of scrap'!$B$2:$X$31, $A$1, FALSE)</f>
        <v>345</v>
      </c>
      <c r="O26" s="1">
        <f>VLOOKUP($B26, '[1]Pro of BOF steel'!$B$2:$X$31, $A$1, FALSE)</f>
        <v>5997</v>
      </c>
      <c r="P26" s="1">
        <f>VLOOKUP($B26, '[1]Pro of OHF steel'!$B$2:$X$31, $A$1, FALSE)</f>
        <v>0</v>
      </c>
      <c r="Q26" s="1">
        <f>VLOOKUP($B26, '[1]Pro of EAF steel'!$B$2:$X$31, $A$1, FALSE)</f>
        <v>1494</v>
      </c>
      <c r="R26" s="1">
        <f>VLOOKUP($B26, '[1]Exp of ingots and semis'!$B$2:$X$31, $A$1, FALSE)</f>
        <v>846</v>
      </c>
      <c r="S26" s="1">
        <f>VLOOKUP($B26, '[1]Imp of ingots and semis'!$B$2:$X$31, $A$1, FALSE)</f>
        <v>451</v>
      </c>
      <c r="T26" s="1">
        <f>VLOOKUP($B26, '[1]Pro of hr long'!$B$2:$X$31, $A$1, FALSE)+VLOOKUP($B26, '[1]Pro of seamless tubes'!$B$2:$X$31, $A$1, FALSE)</f>
        <v>2523</v>
      </c>
      <c r="U26" s="1">
        <f>VLOOKUP($B26, '[1]Exp of long'!$B$2:$X$31, $A$1, FALSE)</f>
        <v>1540</v>
      </c>
      <c r="V26" s="1">
        <f>VLOOKUP($B26, '[1]Imp of long'!$B$2:$X$31, $A$1, FALSE)</f>
        <v>2132</v>
      </c>
      <c r="W26" s="1">
        <f>VLOOKUP($B26, '[1]Pro of hr flat'!$B$2:$X$31, $A$1, FALSE)*parameters!$B$8</f>
        <v>3697.7211948790896</v>
      </c>
      <c r="X26" s="1">
        <f>VLOOKUP($B26, '[1]Exp of flat'!$B$2:$X$31, $A$1, FALSE)</f>
        <v>1805</v>
      </c>
      <c r="Y26" s="1">
        <f>VLOOKUP($B26, '[1]Imp of flat'!$B$2:$X$31, $A$1, FALSE)</f>
        <v>4137</v>
      </c>
      <c r="Z26" s="1">
        <f>VLOOKUP($B26, '[1]Indirect exp'!$B$2:$X$31, $A$1, FALSE)</f>
        <v>6059</v>
      </c>
      <c r="AA26" s="1">
        <f>VLOOKUP($B26, '[1]Indirect imp'!$B$2:$X$31, $A$1, FALSE)</f>
        <v>11990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12182.300000000001</v>
      </c>
      <c r="G27" s="1">
        <f>VLOOKUP($B27, '[1]Pro of pig iron'!$B$2:$X$31, $A$1, FALSE)*(1-VLOOKUP($B27, '[1]Foundry share'!$B$2:$X$31, $A$1, FALSE))</f>
        <v>5658.3052903919588</v>
      </c>
      <c r="H27" s="1">
        <f>VLOOKUP($B27, '[1]Exp of pig iron'!$B$2:$X$31, $A$1, FALSE)</f>
        <v>455</v>
      </c>
      <c r="I27" s="1">
        <f>VLOOKUP($B27, '[1]Imp of pig iron'!$B$2:$X$31, $A$1, FALSE)</f>
        <v>501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2</v>
      </c>
      <c r="L27" s="1">
        <f>VLOOKUP($B27, '[1]Imp of DRI'!$B$2:$X$31, $A$1, FALSE)</f>
        <v>60</v>
      </c>
      <c r="M27" s="1">
        <f>VLOOKUP($B27, '[1]Exp of scrap'!$B$2:$X$31, $A$1, FALSE)</f>
        <v>5572</v>
      </c>
      <c r="N27" s="1">
        <f>VLOOKUP($B27, '[1]Imp of scrap'!$B$2:$X$31, $A$1, FALSE)</f>
        <v>2238</v>
      </c>
      <c r="O27" s="1">
        <f>VLOOKUP($B27, '[1]Pro of BOF steel'!$B$2:$X$31, $A$1, FALSE)</f>
        <v>6781</v>
      </c>
      <c r="P27" s="1">
        <f>VLOOKUP($B27, '[1]Pro of OHF steel'!$B$2:$X$31, $A$1, FALSE)</f>
        <v>0</v>
      </c>
      <c r="Q27" s="1">
        <f>VLOOKUP($B27, '[1]Pro of EAF steel'!$B$2:$X$31, $A$1, FALSE)</f>
        <v>0</v>
      </c>
      <c r="R27" s="1">
        <f>VLOOKUP($B27, '[1]Exp of ingots and semis'!$B$2:$X$31, $A$1, FALSE)</f>
        <v>998</v>
      </c>
      <c r="S27" s="1">
        <f>VLOOKUP($B27, '[1]Imp of ingots and semis'!$B$2:$X$31, $A$1, FALSE)</f>
        <v>804</v>
      </c>
      <c r="T27" s="1">
        <f>VLOOKUP($B27, '[1]Pro of hr long'!$B$2:$X$31, $A$1, FALSE)+VLOOKUP($B27, '[1]Pro of seamless tubes'!$B$2:$X$31, $A$1, FALSE)</f>
        <v>181</v>
      </c>
      <c r="U27" s="1">
        <f>VLOOKUP($B27, '[1]Exp of long'!$B$2:$X$31, $A$1, FALSE)</f>
        <v>985</v>
      </c>
      <c r="V27" s="1">
        <f>VLOOKUP($B27, '[1]Imp of long'!$B$2:$X$31, $A$1, FALSE)</f>
        <v>3232</v>
      </c>
      <c r="W27" s="1">
        <f>VLOOKUP($B27, '[1]Pro of hr flat'!$B$2:$X$31, $A$1, FALSE)*parameters!$B$8</f>
        <v>6238.3257467994308</v>
      </c>
      <c r="X27" s="1">
        <f>VLOOKUP($B27, '[1]Exp of flat'!$B$2:$X$31, $A$1, FALSE)</f>
        <v>8278</v>
      </c>
      <c r="Y27" s="1">
        <f>VLOOKUP($B27, '[1]Imp of flat'!$B$2:$X$31, $A$1, FALSE)</f>
        <v>3972</v>
      </c>
      <c r="Z27" s="1">
        <f>VLOOKUP($B27, '[1]Indirect exp'!$B$2:$X$31, $A$1, FALSE)</f>
        <v>6226</v>
      </c>
      <c r="AA27" s="1">
        <f>VLOOKUP($B27, '[1]Indirect imp'!$B$2:$X$31, $A$1, FALSE)</f>
        <v>7052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885357</v>
      </c>
      <c r="D28" s="1">
        <f>VLOOKUP($B28, '[1]Pro of iron ore'!$B$2:$X$31, $A$1, FALSE)*(1-VLOOKUP($B28, '[1]Foundry share'!$B$2:$X$31, $A$1, FALSE))</f>
        <v>548297</v>
      </c>
      <c r="E28" s="47">
        <f>VLOOKUP($B28, '[1]Iron content'!$B$2:$X$31, $A$1, FALSE)</f>
        <v>0.61929481553768706</v>
      </c>
      <c r="F28" s="1">
        <f>VLOOKUP($B28, '[1]Exp of usable iron ore'!$B$2:$X$31, $A$1, FALSE)*parameters!$B$12</f>
        <v>567288.15</v>
      </c>
      <c r="G28" s="1">
        <f>VLOOKUP($B28, '[1]Pro of pig iron'!$B$2:$X$31, $A$1, FALSE)*(1-VLOOKUP($B28, '[1]Foundry share'!$B$2:$X$31, $A$1, FALSE))</f>
        <v>3758</v>
      </c>
      <c r="H28" s="1">
        <f>VLOOKUP($B28, '[1]Exp of pig iron'!$B$2:$X$31, $A$1, FALSE)</f>
        <v>0</v>
      </c>
      <c r="I28" s="1">
        <f>VLOOKUP($B28, '[1]Imp of pig iron'!$B$2:$X$31, $A$1, FALSE)</f>
        <v>17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1</v>
      </c>
      <c r="M28" s="1">
        <f>VLOOKUP($B28, '[1]Exp of scrap'!$B$2:$X$31, $A$1, FALSE)</f>
        <v>1979</v>
      </c>
      <c r="N28" s="1">
        <f>VLOOKUP($B28, '[1]Imp of scrap'!$B$2:$X$31, $A$1, FALSE)</f>
        <v>52</v>
      </c>
      <c r="O28" s="1">
        <f>VLOOKUP($B28, '[1]Pro of BOF steel'!$B$2:$X$31, $A$1, FALSE)</f>
        <v>4104</v>
      </c>
      <c r="P28" s="1">
        <f>VLOOKUP($B28, '[1]Pro of OHF steel'!$B$2:$X$31, $A$1, FALSE)</f>
        <v>0</v>
      </c>
      <c r="Q28" s="1">
        <f>VLOOKUP($B28, '[1]Pro of EAF steel'!$B$2:$X$31, $A$1, FALSE)</f>
        <v>1224</v>
      </c>
      <c r="R28" s="1">
        <f>VLOOKUP($B28, '[1]Exp of ingots and semis'!$B$2:$X$31, $A$1, FALSE)</f>
        <v>18</v>
      </c>
      <c r="S28" s="1">
        <f>VLOOKUP($B28, '[1]Imp of ingots and semis'!$B$2:$X$31, $A$1, FALSE)</f>
        <v>3</v>
      </c>
      <c r="T28" s="1">
        <f>VLOOKUP($B28, '[1]Pro of hr long'!$B$2:$X$31, $A$1, FALSE)+VLOOKUP($B28, '[1]Pro of seamless tubes'!$B$2:$X$31, $A$1, FALSE)</f>
        <v>1603</v>
      </c>
      <c r="U28" s="1">
        <f>VLOOKUP($B28, '[1]Exp of long'!$B$2:$X$31, $A$1, FALSE)</f>
        <v>87</v>
      </c>
      <c r="V28" s="1">
        <f>VLOOKUP($B28, '[1]Imp of long'!$B$2:$X$31, $A$1, FALSE)</f>
        <v>1126</v>
      </c>
      <c r="W28" s="1">
        <f>VLOOKUP($B28, '[1]Pro of hr flat'!$B$2:$X$31, $A$1, FALSE)*parameters!$B$8</f>
        <v>2917.5661450924608</v>
      </c>
      <c r="X28" s="1">
        <f>VLOOKUP($B28, '[1]Exp of flat'!$B$2:$X$31, $A$1, FALSE)</f>
        <v>809</v>
      </c>
      <c r="Y28" s="1">
        <f>VLOOKUP($B28, '[1]Imp of flat'!$B$2:$X$31, $A$1, FALSE)</f>
        <v>671</v>
      </c>
      <c r="Z28" s="1">
        <f>VLOOKUP($B28, '[1]Indirect exp'!$B$2:$X$31, $A$1, FALSE)</f>
        <v>482</v>
      </c>
      <c r="AA28" s="1">
        <f>VLOOKUP($B28, '[1]Indirect imp'!$B$2:$X$31, $A$1, FALSE)</f>
        <v>5480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75091</v>
      </c>
      <c r="D29" s="1">
        <f>VLOOKUP($B29, '[1]Pro of iron ore'!$B$2:$X$31, $A$1, FALSE)*(1-VLOOKUP($B29, '[1]Foundry share'!$B$2:$X$31, $A$1, FALSE))</f>
        <v>47600</v>
      </c>
      <c r="E29" s="47">
        <f>VLOOKUP($B29, '[1]Iron content'!$B$2:$X$31, $A$1, FALSE)</f>
        <v>0.63389753765431278</v>
      </c>
      <c r="F29" s="1">
        <f>VLOOKUP($B29, '[1]Exp of usable iron ore'!$B$2:$X$31, $A$1, FALSE)*parameters!$B$12</f>
        <v>43180.800000000003</v>
      </c>
      <c r="G29" s="1">
        <f>VLOOKUP($B29, '[1]Pro of pig iron'!$B$2:$X$31, $A$1, FALSE)*(1-VLOOKUP($B29, '[1]Foundry share'!$B$2:$X$31, $A$1, FALSE))</f>
        <v>4352</v>
      </c>
      <c r="H29" s="1">
        <f>VLOOKUP($B29, '[1]Exp of pig iron'!$B$2:$X$31, $A$1, FALSE)</f>
        <v>544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925</v>
      </c>
      <c r="K29" s="1">
        <f>VLOOKUP($B29, '[1]Exp of DRI'!$B$2:$X$31, $A$1, FALSE)</f>
        <v>51</v>
      </c>
      <c r="L29" s="1">
        <f>VLOOKUP($B29, '[1]Imp of DRI'!$B$2:$X$31, $A$1, FALSE)</f>
        <v>40</v>
      </c>
      <c r="M29" s="1">
        <f>VLOOKUP($B29, '[1]Exp of scrap'!$B$2:$X$31, $A$1, FALSE)</f>
        <v>467</v>
      </c>
      <c r="N29" s="1">
        <f>VLOOKUP($B29, '[1]Imp of scrap'!$B$2:$X$31, $A$1, FALSE)</f>
        <v>67</v>
      </c>
      <c r="O29" s="1">
        <f>VLOOKUP($B29, '[1]Pro of BOF steel'!$B$2:$X$31, $A$1, FALSE)</f>
        <v>3731</v>
      </c>
      <c r="P29" s="1">
        <f>VLOOKUP($B29, '[1]Pro of OHF steel'!$B$2:$X$31, $A$1, FALSE)</f>
        <v>0</v>
      </c>
      <c r="Q29" s="1">
        <f>VLOOKUP($B29, '[1]Pro of EAF steel'!$B$2:$X$31, $A$1, FALSE)</f>
        <v>2570</v>
      </c>
      <c r="R29" s="1">
        <f>VLOOKUP($B29, '[1]Exp of ingots and semis'!$B$2:$X$31, $A$1, FALSE)</f>
        <v>369</v>
      </c>
      <c r="S29" s="1">
        <f>VLOOKUP($B29, '[1]Imp of ingots and semis'!$B$2:$X$31, $A$1, FALSE)</f>
        <v>10</v>
      </c>
      <c r="T29" s="1">
        <f>VLOOKUP($B29, '[1]Pro of hr long'!$B$2:$X$31, $A$1, FALSE)+VLOOKUP($B29, '[1]Pro of seamless tubes'!$B$2:$X$31, $A$1, FALSE)</f>
        <v>2250</v>
      </c>
      <c r="U29" s="1">
        <f>VLOOKUP($B29, '[1]Exp of long'!$B$2:$X$31, $A$1, FALSE)</f>
        <v>589</v>
      </c>
      <c r="V29" s="1">
        <f>VLOOKUP($B29, '[1]Imp of long'!$B$2:$X$31, $A$1, FALSE)</f>
        <v>236</v>
      </c>
      <c r="W29" s="1">
        <f>VLOOKUP($B29, '[1]Pro of hr flat'!$B$2:$X$31, $A$1, FALSE)*parameters!$B$8</f>
        <v>3254.6941678520625</v>
      </c>
      <c r="X29" s="1">
        <f>VLOOKUP($B29, '[1]Exp of flat'!$B$2:$X$31, $A$1, FALSE)</f>
        <v>1384</v>
      </c>
      <c r="Y29" s="1">
        <f>VLOOKUP($B29, '[1]Imp of flat'!$B$2:$X$31, $A$1, FALSE)</f>
        <v>786</v>
      </c>
      <c r="Z29" s="1">
        <f>VLOOKUP($B29, '[1]Indirect exp'!$B$2:$X$31, $A$1, FALSE)</f>
        <v>1637</v>
      </c>
      <c r="AA29" s="1">
        <f>VLOOKUP($B29, '[1]Indirect imp'!$B$2:$X$31, $A$1, FALSE)</f>
        <v>1725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3920</v>
      </c>
      <c r="D30" s="1">
        <f>VLOOKUP($B30, '[1]Pro of iron ore'!$B$2:$X$31, $A$1, FALSE)*(1-VLOOKUP($B30, '[1]Foundry share'!$B$2:$X$31, $A$1, FALSE))</f>
        <v>2450</v>
      </c>
      <c r="E30" s="47">
        <f>VLOOKUP($B30, '[1]Iron content'!$B$2:$X$31, $A$1, FALSE)</f>
        <v>0.625</v>
      </c>
      <c r="F30" s="1">
        <f>VLOOKUP($B30, '[1]Exp of usable iron ore'!$B$2:$X$31, $A$1, FALSE)*parameters!$B$12</f>
        <v>14966.9</v>
      </c>
      <c r="G30" s="1">
        <f>VLOOKUP($B30, '[1]Pro of pig iron'!$B$2:$X$31, $A$1, FALSE)*(1-VLOOKUP($B30, '[1]Foundry share'!$B$2:$X$31, $A$1, FALSE))</f>
        <v>382</v>
      </c>
      <c r="H30" s="1">
        <f>VLOOKUP($B30, '[1]Exp of pig iron'!$B$2:$X$31, $A$1, FALSE)</f>
        <v>0</v>
      </c>
      <c r="I30" s="1">
        <f>VLOOKUP($B30, '[1]Imp of pig iron'!$B$2:$X$31, $A$1, FALSE)</f>
        <v>72</v>
      </c>
      <c r="J30" s="1">
        <f>VLOOKUP($B30, '[1]Pro of DRI'!$B$2:$X$31, $A$1, FALSE)*(1-VLOOKUP($B30, '[1]Foundry share'!$B$2:$X$31, $A$1, FALSE))</f>
        <v>570</v>
      </c>
      <c r="K30" s="1">
        <f>VLOOKUP($B30, '[1]Exp of DRI'!$B$2:$X$31, $A$1, FALSE)</f>
        <v>570</v>
      </c>
      <c r="L30" s="1">
        <f>VLOOKUP($B30, '[1]Imp of DRI'!$B$2:$X$31, $A$1, FALSE)</f>
        <v>35</v>
      </c>
      <c r="M30" s="1">
        <f>VLOOKUP($B30, '[1]Exp of scrap'!$B$2:$X$31, $A$1, FALSE)</f>
        <v>273</v>
      </c>
      <c r="N30" s="1">
        <f>VLOOKUP($B30, '[1]Imp of scrap'!$B$2:$X$31, $A$1, FALSE)</f>
        <v>844</v>
      </c>
      <c r="O30" s="1">
        <f>VLOOKUP($B30, '[1]Pro of BOF steel'!$B$2:$X$31, $A$1, FALSE)</f>
        <v>400</v>
      </c>
      <c r="P30" s="1">
        <f>VLOOKUP($B30, '[1]Pro of OHF steel'!$B$2:$X$31, $A$1, FALSE)</f>
        <v>0</v>
      </c>
      <c r="Q30" s="1">
        <f>VLOOKUP($B30, '[1]Pro of EAF steel'!$B$2:$X$31, $A$1, FALSE)</f>
        <v>2815</v>
      </c>
      <c r="R30" s="1">
        <f>VLOOKUP($B30, '[1]Exp of ingots and semis'!$B$2:$X$31, $A$1, FALSE)</f>
        <v>59</v>
      </c>
      <c r="S30" s="1">
        <f>VLOOKUP($B30, '[1]Imp of ingots and semis'!$B$2:$X$31, $A$1, FALSE)</f>
        <v>323</v>
      </c>
      <c r="T30" s="1">
        <f>VLOOKUP($B30, '[1]Pro of hr long'!$B$2:$X$31, $A$1, FALSE)+VLOOKUP($B30, '[1]Pro of seamless tubes'!$B$2:$X$31, $A$1, FALSE)</f>
        <v>3565</v>
      </c>
      <c r="U30" s="1">
        <f>VLOOKUP($B30, '[1]Exp of long'!$B$2:$X$31, $A$1, FALSE)</f>
        <v>431</v>
      </c>
      <c r="V30" s="1">
        <f>VLOOKUP($B30, '[1]Imp of long'!$B$2:$X$31, $A$1, FALSE)</f>
        <v>2065</v>
      </c>
      <c r="W30" s="1">
        <f>VLOOKUP($B30, '[1]Pro of hr flat'!$B$2:$X$31, $A$1, FALSE)*parameters!$B$8</f>
        <v>201.11095305832148</v>
      </c>
      <c r="X30" s="1">
        <f>VLOOKUP($B30, '[1]Exp of flat'!$B$2:$X$31, $A$1, FALSE)</f>
        <v>710</v>
      </c>
      <c r="Y30" s="1">
        <f>VLOOKUP($B30, '[1]Imp of flat'!$B$2:$X$31, $A$1, FALSE)</f>
        <v>4486</v>
      </c>
      <c r="Z30" s="1">
        <f>VLOOKUP($B30, '[1]Indirect exp'!$B$2:$X$31, $A$1, FALSE)</f>
        <v>1849</v>
      </c>
      <c r="AA30" s="1">
        <f>VLOOKUP($B30, '[1]Indirect imp'!$B$2:$X$31, $A$1, FALSE)</f>
        <v>3034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0</v>
      </c>
      <c r="D31" s="1">
        <f>VLOOKUP($B31, '[1]Pro of iron ore'!$B$2:$X$31, $A$1, FALSE)*(1-VLOOKUP($B31, '[1]Foundry share'!$B$2:$X$31, $A$1, FALSE))</f>
        <v>0</v>
      </c>
      <c r="E31" s="47">
        <f>VLOOKUP($B31, '[1]Iron content'!$B$2:$X$31, $A$1, FALSE)</f>
        <v>0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</v>
      </c>
      <c r="I31" s="1">
        <f>VLOOKUP($B31, '[1]Imp of pig iron'!$B$2:$X$31, $A$1, FALSE)</f>
        <v>411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388</v>
      </c>
      <c r="N31" s="1">
        <f>VLOOKUP($B31, '[1]Imp of scrap'!$B$2:$X$31, $A$1, FALSE)</f>
        <v>1741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6762</v>
      </c>
      <c r="R31" s="1">
        <f>VLOOKUP($B31, '[1]Exp of ingots and semis'!$B$2:$X$31, $A$1, FALSE)</f>
        <v>255</v>
      </c>
      <c r="S31" s="1">
        <f>VLOOKUP($B31, '[1]Imp of ingots and semis'!$B$2:$X$31, $A$1, FALSE)</f>
        <v>3002</v>
      </c>
      <c r="T31" s="1">
        <f>VLOOKUP($B31, '[1]Pro of hr long'!$B$2:$X$31, $A$1, FALSE)+VLOOKUP($B31, '[1]Pro of seamless tubes'!$B$2:$X$31, $A$1, FALSE)</f>
        <v>6101</v>
      </c>
      <c r="U31" s="1">
        <f>VLOOKUP($B31, '[1]Exp of long'!$B$2:$X$31, $A$1, FALSE)</f>
        <v>790</v>
      </c>
      <c r="V31" s="1">
        <f>VLOOKUP($B31, '[1]Imp of long'!$B$2:$X$31, $A$1, FALSE)</f>
        <v>2384</v>
      </c>
      <c r="W31" s="1">
        <f>VLOOKUP($B31, '[1]Pro of hr flat'!$B$2:$X$31, $A$1, FALSE)*parameters!$B$8</f>
        <v>3124.50640113798</v>
      </c>
      <c r="X31" s="1">
        <f>VLOOKUP($B31, '[1]Exp of flat'!$B$2:$X$31, $A$1, FALSE)</f>
        <v>428</v>
      </c>
      <c r="Y31" s="1">
        <f>VLOOKUP($B31, '[1]Imp of flat'!$B$2:$X$31, $A$1, FALSE)</f>
        <v>8415</v>
      </c>
      <c r="Z31" s="1">
        <f>VLOOKUP($B31, '[1]Indirect exp'!$B$2:$X$31, $A$1, FALSE)</f>
        <v>5674</v>
      </c>
      <c r="AA31" s="1">
        <f>VLOOKUP($B31, '[1]Indirect imp'!$B$2:$X$31, $A$1, FALSE)</f>
        <v>3583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31077</v>
      </c>
      <c r="D32" s="1">
        <f>VLOOKUP($B32, '[1]Pro of iron ore'!$B$2:$X$31, $A$1, FALSE)*(1-VLOOKUP($B32, '[1]Foundry share'!$B$2:$X$31, $A$1, FALSE))</f>
        <v>22100</v>
      </c>
      <c r="E32" s="47">
        <f>VLOOKUP($B32, '[1]Iron content'!$B$2:$X$31, $A$1, FALSE)</f>
        <v>0.71113685362164947</v>
      </c>
      <c r="F32" s="1">
        <f>VLOOKUP($B32, '[1]Exp of usable iron ore'!$B$2:$X$31, $A$1, FALSE)*parameters!$B$12</f>
        <v>15386.800000000001</v>
      </c>
      <c r="G32" s="1">
        <f>VLOOKUP($B32, '[1]Pro of pig iron'!$B$2:$X$31, $A$1, FALSE)*(1-VLOOKUP($B32, '[1]Foundry share'!$B$2:$X$31, $A$1, FALSE))</f>
        <v>3111</v>
      </c>
      <c r="H32" s="1">
        <f>VLOOKUP($B32, '[1]Exp of pig iron'!$B$2:$X$31, $A$1, FALSE)</f>
        <v>89</v>
      </c>
      <c r="I32" s="1">
        <f>VLOOKUP($B32, '[1]Imp of pig iron'!$B$2:$X$31, $A$1, FALSE)</f>
        <v>52</v>
      </c>
      <c r="J32" s="1">
        <f>VLOOKUP($B32, '[1]Pro of DRI'!$B$2:$X$31, $A$1, FALSE)*(1-VLOOKUP($B32, '[1]Foundry share'!$B$2:$X$31, $A$1, FALSE))</f>
        <v>103</v>
      </c>
      <c r="K32" s="1">
        <f>VLOOKUP($B32, '[1]Exp of DRI'!$B$2:$X$31, $A$1, FALSE)</f>
        <v>2</v>
      </c>
      <c r="L32" s="1">
        <f>VLOOKUP($B32, '[1]Imp of DRI'!$B$2:$X$31, $A$1, FALSE)</f>
        <v>31</v>
      </c>
      <c r="M32" s="1">
        <f>VLOOKUP($B32, '[1]Exp of scrap'!$B$2:$X$31, $A$1, FALSE)</f>
        <v>1402</v>
      </c>
      <c r="N32" s="1">
        <f>VLOOKUP($B32, '[1]Imp of scrap'!$B$2:$X$31, $A$1, FALSE)</f>
        <v>293</v>
      </c>
      <c r="O32" s="1">
        <f>VLOOKUP($B32, '[1]Pro of BOF steel'!$B$2:$X$31, $A$1, FALSE)</f>
        <v>3078</v>
      </c>
      <c r="P32" s="1">
        <f>VLOOKUP($B32, '[1]Pro of OHF steel'!$B$2:$X$31, $A$1, FALSE)</f>
        <v>0</v>
      </c>
      <c r="Q32" s="1">
        <f>VLOOKUP($B32, '[1]Pro of EAF steel'!$B$2:$X$31, $A$1, FALSE)</f>
        <v>1848</v>
      </c>
      <c r="R32" s="1">
        <f>VLOOKUP($B32, '[1]Exp of ingots and semis'!$B$2:$X$31, $A$1, FALSE)</f>
        <v>220</v>
      </c>
      <c r="S32" s="1">
        <f>VLOOKUP($B32, '[1]Imp of ingots and semis'!$B$2:$X$31, $A$1, FALSE)</f>
        <v>231</v>
      </c>
      <c r="T32" s="1">
        <f>VLOOKUP($B32, '[1]Pro of hr long'!$B$2:$X$31, $A$1, FALSE)+VLOOKUP($B32, '[1]Pro of seamless tubes'!$B$2:$X$31, $A$1, FALSE)</f>
        <v>900</v>
      </c>
      <c r="U32" s="1">
        <f>VLOOKUP($B32, '[1]Exp of long'!$B$2:$X$31, $A$1, FALSE)</f>
        <v>551</v>
      </c>
      <c r="V32" s="1">
        <f>VLOOKUP($B32, '[1]Imp of long'!$B$2:$X$31, $A$1, FALSE)</f>
        <v>923</v>
      </c>
      <c r="W32" s="1">
        <f>VLOOKUP($B32, '[1]Pro of hr flat'!$B$2:$X$31, $A$1, FALSE)*parameters!$B$8</f>
        <v>3206.1166429587483</v>
      </c>
      <c r="X32" s="1">
        <f>VLOOKUP($B32, '[1]Exp of flat'!$B$2:$X$31, $A$1, FALSE)</f>
        <v>2975</v>
      </c>
      <c r="Y32" s="1">
        <f>VLOOKUP($B32, '[1]Imp of flat'!$B$2:$X$31, $A$1, FALSE)</f>
        <v>2210</v>
      </c>
      <c r="Z32" s="1">
        <f>VLOOKUP($B32, '[1]Indirect exp'!$B$2:$X$31, $A$1, FALSE)</f>
        <v>3160</v>
      </c>
      <c r="AA32" s="1">
        <f>VLOOKUP($B32, '[1]Indirect imp'!$B$2:$X$31, $A$1, FALSE)</f>
        <v>3851</v>
      </c>
    </row>
    <row r="33" spans="1:27">
      <c r="A33">
        <v>33</v>
      </c>
      <c r="B33" t="s">
        <v>109</v>
      </c>
      <c r="C33" s="1">
        <f>VLOOKUP($B33, '[1]Pro of usable iron ore'!$B$2:$X$32, $A$1, FALSE)*(1-VLOOKUP($B33, '[1]Foundry share'!$B$2:$X$32, $A$1, FALSE))</f>
        <v>0</v>
      </c>
      <c r="D33" s="1">
        <f>VLOOKUP($B33, '[1]Pro of iron ore'!$B$2:$X$32, $A$1, FALSE)*(1-VLOOKUP($B33, '[1]Foundry share'!$B$2:$X$32, $A$1, FALSE))</f>
        <v>0</v>
      </c>
      <c r="E33" s="47">
        <f>VLOOKUP($B33, '[1]Iron content'!$B$2:$X$32, $A$1, FALSE)</f>
        <v>0</v>
      </c>
      <c r="F33" s="1">
        <f>VLOOKUP($B33, '[1]Exp of usable iron ore'!$B$2:$X$32, $A$1, FALSE)*parameters!$B$12</f>
        <v>0</v>
      </c>
      <c r="G33" s="1">
        <f>VLOOKUP($B33, '[1]Pro of pig iron'!$B$2:$X$32, $A$1, FALSE)*(1-VLOOKUP($B33, '[1]Foundry share'!$B$2:$X$32, $A$1, FALSE))</f>
        <v>0</v>
      </c>
      <c r="H33" s="1">
        <f>VLOOKUP($B33, '[1]Exp of pig iron'!$B$2:$X$32, $A$1, FALSE)</f>
        <v>0</v>
      </c>
      <c r="I33" s="1">
        <f>VLOOKUP($B33, '[1]Imp of pig iron'!$B$2:$X$32, $A$1, FALSE)</f>
        <v>0</v>
      </c>
      <c r="J33" s="1">
        <f>VLOOKUP($B33, '[1]Pro of DRI'!$B$2:$X$32, $A$1, FALSE)*(1-VLOOKUP($B33, '[1]Foundry share'!$B$2:$X$32, $A$1, FALSE))</f>
        <v>0</v>
      </c>
      <c r="K33" s="1">
        <f>VLOOKUP($B33, '[1]Exp of DRI'!$B$2:$X$32, $A$1, FALSE)</f>
        <v>0</v>
      </c>
      <c r="L33" s="1">
        <f>VLOOKUP($B33, '[1]Imp of DRI'!$B$2:$X$32, $A$1, FALSE)</f>
        <v>0</v>
      </c>
      <c r="M33" s="1">
        <f>VLOOKUP($B33, '[1]Exp of scrap'!$B$2:$X$32, $A$1, FALSE)</f>
        <v>0</v>
      </c>
      <c r="N33" s="1">
        <f>VLOOKUP($B33, '[1]Imp of scrap'!$B$2:$X$32, $A$1, FALSE)</f>
        <v>0</v>
      </c>
      <c r="O33" s="1">
        <f>VLOOKUP($B33, '[1]Pro of BOF steel'!$B$2:$X$32, $A$1, FALSE)</f>
        <v>0</v>
      </c>
      <c r="P33" s="1">
        <f>VLOOKUP($B33, '[1]Pro of OHF steel'!$B$2:$X$32, $A$1, FALSE)</f>
        <v>0</v>
      </c>
      <c r="Q33" s="1">
        <f>VLOOKUP($B33, '[1]Pro of EAF steel'!$B$2:$X$32, $A$1, FALSE)</f>
        <v>0</v>
      </c>
      <c r="R33" s="1">
        <f>VLOOKUP($B33, '[1]Exp of ingots and semis'!$B$2:$X$32, $A$1, FALSE)</f>
        <v>0</v>
      </c>
      <c r="S33" s="1">
        <f>VLOOKUP($B33, '[1]Imp of ingots and semis'!$B$2:$X$32, $A$1, FALSE)</f>
        <v>0</v>
      </c>
      <c r="T33" s="1">
        <f>VLOOKUP($B33, '[1]Pro of hr long'!$B$2:$X$32, $A$1, FALSE)+VLOOKUP($B33, '[1]Pro of seamless tubes'!$B$2:$X$32, $A$1, FALSE)</f>
        <v>0</v>
      </c>
      <c r="U33" s="1">
        <f>VLOOKUP($B33, '[1]Exp of long'!$B$2:$X$32, $A$1, FALSE)</f>
        <v>0</v>
      </c>
      <c r="V33" s="1">
        <f>VLOOKUP($B33, '[1]Imp of long'!$B$2:$X$32, $A$1, FALSE)</f>
        <v>0</v>
      </c>
      <c r="W33" s="1">
        <f>VLOOKUP($B33, '[1]Pro of hr flat'!$B$2:$X$32, $A$1, FALSE)*parameters!$B$8</f>
        <v>0</v>
      </c>
      <c r="X33" s="1">
        <f>VLOOKUP($B33, '[1]Exp of flat'!$B$2:$X$32, $A$1, FALSE)</f>
        <v>0</v>
      </c>
      <c r="Y33" s="1">
        <f>VLOOKUP($B33, '[1]Imp of flat'!$B$2:$X$32, $A$1, FALSE)</f>
        <v>0</v>
      </c>
      <c r="Z33" s="1">
        <f>VLOOKUP($B33, '[1]Indirect exp'!$B$2:$X$32, $A$1, FALSE)</f>
        <v>0</v>
      </c>
      <c r="AA33" s="1">
        <f>VLOOKUP($B33, '[1]Indirect imp'!$B$2:$X$32, $A$1, FALSE)</f>
        <v>0</v>
      </c>
    </row>
    <row r="35" spans="1:27">
      <c r="G3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670354.3008797348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670354.3008797348</v>
      </c>
      <c r="M2" s="17"/>
      <c r="N2" s="17">
        <f ca="1">Q2-(L2+O2+P2)</f>
        <v>0</v>
      </c>
      <c r="O2" s="11" cm="1">
        <f t="array" aca="1" ref="O2" ca="1">INDIRECT("'data'!$F$" &amp; $A$1)</f>
        <v>3543.15</v>
      </c>
      <c r="P2" s="13">
        <f ca="1">IF(-(L2-Q2+O2)&lt;0, -(L2-Q2+O2), 0)</f>
        <v>-460547.22323557927</v>
      </c>
      <c r="Q2" s="17" cm="1">
        <f t="array" aca="1" ref="Q2" ca="1">INDIRECT("'data'!$D$" &amp; $A$1)</f>
        <v>213350.22764415556</v>
      </c>
      <c r="R2" s="17">
        <f ca="1">SUM(L2:P2)</f>
        <v>213350.22764415556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660298.50746268663</v>
      </c>
      <c r="G3" s="14">
        <f ca="1">Q3-O3-P3-F3</f>
        <v>5908.1613215057878</v>
      </c>
      <c r="H3" s="14"/>
      <c r="I3" s="14"/>
      <c r="J3" s="14"/>
      <c r="K3" s="13"/>
      <c r="L3" s="16">
        <f t="shared" ca="1" si="0"/>
        <v>666206.66878419241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81.27</v>
      </c>
      <c r="P3" s="13" cm="1">
        <f t="array" aca="1" ref="P3" ca="1">-INDIRECT("'data'!$I$" &amp; $A$1)*parameters!$B$13</f>
        <v>-156.87</v>
      </c>
      <c r="Q3" s="16" cm="1">
        <f t="array" aca="1" ref="Q3" ca="1">INDIRECT("'data'!$G$" &amp; $A$1)*parameters!$B$13</f>
        <v>666131.06878419244</v>
      </c>
      <c r="R3" s="16">
        <f t="shared" ref="R3:R10" ca="1" si="2">SUM(L3:P3)</f>
        <v>666131.06878419244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4.6000000000000014</v>
      </c>
      <c r="H4" s="14"/>
      <c r="I4" s="14"/>
      <c r="J4" s="14"/>
      <c r="K4" s="13"/>
      <c r="L4" s="16">
        <f t="shared" ca="1" si="0"/>
        <v>4.6000000000000014</v>
      </c>
      <c r="M4" s="16"/>
      <c r="N4" s="16">
        <f t="shared" ca="1" si="1"/>
        <v>0</v>
      </c>
      <c r="O4" s="11" cm="1">
        <f t="array" aca="1" ref="O4" ca="1">INDIRECT("'data'!$K$" &amp; $A$1)*parameters!$B$14</f>
        <v>13.8</v>
      </c>
      <c r="P4" s="13" cm="1">
        <f t="array" aca="1" ref="P4" ca="1">-INDIRECT("'data'!$L$" &amp; $A$1)*parameters!$B$14</f>
        <v>-18.400000000000002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165074.62686567166</v>
      </c>
      <c r="G5" s="14">
        <f ca="1">Q7/parameters!$B$7-(G3+G4)</f>
        <v>77033.947142444056</v>
      </c>
      <c r="H5" s="14"/>
      <c r="I5" s="14"/>
      <c r="J5" s="14"/>
      <c r="K5" s="13"/>
      <c r="L5" s="16">
        <f t="shared" ca="1" si="0"/>
        <v>242108.57400811571</v>
      </c>
      <c r="M5" s="16"/>
      <c r="N5" s="16"/>
      <c r="O5" s="11" cm="1">
        <f t="array" aca="1" ref="O5" ca="1">INDIRECT("'data'!$M$" &amp; $A$1)*parameters!$B$15</f>
        <v>2185.4</v>
      </c>
      <c r="P5" s="13" cm="1">
        <f t="array" aca="1" ref="P5" ca="1">-INDIRECT("'data'!$N$" &amp; $A$1)*parameters!$B$15</f>
        <v>-2279.48</v>
      </c>
      <c r="Q5" s="16">
        <f ca="1">SUM(L5:P5)</f>
        <v>242014.4940081157</v>
      </c>
      <c r="R5" s="16">
        <f t="shared" ca="1" si="2"/>
        <v>242014.4940081157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774200</v>
      </c>
      <c r="I6" s="14"/>
      <c r="J6" s="14"/>
      <c r="K6" s="13"/>
      <c r="L6" s="16">
        <f t="shared" ca="1" si="0"/>
        <v>774200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774200</v>
      </c>
      <c r="R6" s="16">
        <f t="shared" ca="1" si="2"/>
        <v>774200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79380</v>
      </c>
      <c r="I7" s="14"/>
      <c r="J7" s="14"/>
      <c r="K7" s="13"/>
      <c r="L7" s="16">
        <f t="shared" ca="1" si="0"/>
        <v>79380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79380</v>
      </c>
      <c r="R7" s="16">
        <f t="shared" ca="1" si="2"/>
        <v>79380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517525.491454445</v>
      </c>
      <c r="J8" s="14">
        <f ca="1">Q10/J18</f>
        <v>336554.30854555499</v>
      </c>
      <c r="K8" s="13"/>
      <c r="L8" s="16">
        <f t="shared" ca="1" si="0"/>
        <v>854079.8</v>
      </c>
      <c r="M8" s="16"/>
      <c r="N8" s="16">
        <f t="shared" ca="1" si="3"/>
        <v>0</v>
      </c>
      <c r="O8" s="11" cm="1">
        <f t="array" aca="1" ref="O8" ca="1">INDIRECT("'data'!$R$" &amp; $A$1)*parameters!$B$15</f>
        <v>11.76</v>
      </c>
      <c r="P8" s="13" cm="1">
        <f t="array" aca="1" ref="P8" ca="1">-INDIRECT("'data'!$S$" &amp; $A$1)*parameters!$B$15</f>
        <v>-511.56</v>
      </c>
      <c r="Q8" s="16">
        <f ca="1">SUM(Q6:Q7)</f>
        <v>853580</v>
      </c>
      <c r="R8" s="16">
        <f t="shared" ca="1" si="2"/>
        <v>853580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457487.51999999996</v>
      </c>
      <c r="L9" s="16">
        <f t="shared" ca="1" si="0"/>
        <v>457487.51999999996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21516.880000000001</v>
      </c>
      <c r="P9" s="13" cm="1">
        <f t="array" aca="1" ref="P9" ca="1">-INDIRECT("'data'!$V$" &amp; $A$1)*parameters!$B$15</f>
        <v>-1753.22</v>
      </c>
      <c r="Q9" s="16" cm="1">
        <f t="array" aca="1" ref="Q9" ca="1">INDIRECT("'data'!$T$" &amp; $A$1)*parameters!$B$15</f>
        <v>477251.18</v>
      </c>
      <c r="R9" s="16">
        <f t="shared" ca="1" si="2"/>
        <v>477251.18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278829.88159317209</v>
      </c>
      <c r="L10" s="16">
        <f t="shared" ca="1" si="0"/>
        <v>278829.88159317209</v>
      </c>
      <c r="M10" s="16"/>
      <c r="N10" s="16">
        <f t="shared" ca="1" si="3"/>
        <v>0</v>
      </c>
      <c r="O10" s="11" cm="1">
        <f t="array" aca="1" ref="O10" ca="1">INDIRECT("'data'!$X$" &amp; $A$1)*parameters!$B$15</f>
        <v>42374.22</v>
      </c>
      <c r="P10" s="13" cm="1">
        <f t="array" aca="1" ref="P10" ca="1">-INDIRECT("'data'!$Y$" &amp; $A$1)*parameters!$B$15</f>
        <v>-10840.76</v>
      </c>
      <c r="Q10" s="16" cm="1">
        <f t="array" aca="1" ref="Q10" ca="1">INDIRECT("'data'!$W$" &amp; $A$1)*parameters!$B$15</f>
        <v>310363.34159317211</v>
      </c>
      <c r="R10" s="16">
        <f t="shared" ca="1" si="2"/>
        <v>310363.34159317205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603538.88697012805</v>
      </c>
      <c r="N11" s="19"/>
      <c r="O11" s="21" cm="1">
        <f t="array" aca="1" ref="O11" ca="1">INDIRECT("'data'!$Z$" &amp; $A$1)*parameters!$B$15</f>
        <v>77857.08</v>
      </c>
      <c r="P11" s="27" cm="1">
        <f t="array" aca="1" ref="P11" ca="1">-INDIRECT("'data'!$AA$" &amp; $A$1)*parameters!$B$15</f>
        <v>-11564</v>
      </c>
      <c r="Q11" s="16">
        <f ca="1">K9*parameters!$B$10+K10*parameters!$B$11</f>
        <v>669831.96697012801</v>
      </c>
      <c r="R11" s="16">
        <f t="shared" ref="R11:R17" ca="1" si="4">SUM(L11:P11)</f>
        <v>669831.96697012801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-4223.2320955423638</v>
      </c>
      <c r="D12" s="9">
        <f ca="1">-(D17-Q4)</f>
        <v>0</v>
      </c>
      <c r="E12" s="9">
        <f ca="1">-(E17-Q5)</f>
        <v>-29911.903753812046</v>
      </c>
      <c r="F12" s="9">
        <f ca="1">-(F17-Q6)</f>
        <v>-51173.134328358341</v>
      </c>
      <c r="G12" s="9">
        <f ca="1">-(G17-Q7)</f>
        <v>-3566.7084639498498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-88874.978641662601</v>
      </c>
      <c r="M12" s="17"/>
      <c r="N12" s="17"/>
      <c r="O12" s="10"/>
      <c r="P12" s="12"/>
      <c r="Q12" s="9">
        <f t="shared" ref="Q12:Q17" ca="1" si="6">SUM(L12:P12)</f>
        <v>-88874.978641662601</v>
      </c>
      <c r="R12" s="17">
        <f t="shared" ca="1" si="4"/>
        <v>-88874.978641662601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-40274.311454445007</v>
      </c>
      <c r="J13" s="14">
        <f ca="1">-(J17-Q10)</f>
        <v>-26190.966952382878</v>
      </c>
      <c r="K13" s="13">
        <f ca="1">-(K17-Q11)</f>
        <v>-66485.434623043984</v>
      </c>
      <c r="L13" s="14">
        <f t="shared" ca="1" si="5"/>
        <v>-132950.71302987187</v>
      </c>
      <c r="M13" s="16">
        <f ca="1">-E15</f>
        <v>-138975.68473205587</v>
      </c>
      <c r="N13" s="16"/>
      <c r="O13" s="11"/>
      <c r="P13" s="13"/>
      <c r="Q13" s="14">
        <f t="shared" ca="1" si="6"/>
        <v>-271926.39776192774</v>
      </c>
      <c r="R13" s="16">
        <f t="shared" ca="1" si="4"/>
        <v>-271926.39776192774</v>
      </c>
    </row>
    <row r="14" spans="1:20">
      <c r="A14" s="18" t="s">
        <v>78</v>
      </c>
      <c r="B14" s="11"/>
      <c r="C14" s="14"/>
      <c r="D14" s="14"/>
      <c r="E14" s="14">
        <f ca="1">-(I13+J13)-K13</f>
        <v>132950.71302987187</v>
      </c>
      <c r="F14" s="14"/>
      <c r="G14" s="14"/>
      <c r="H14" s="14"/>
      <c r="I14" s="14"/>
      <c r="J14" s="14"/>
      <c r="K14" s="13"/>
      <c r="L14" s="14">
        <f t="shared" ca="1" si="5"/>
        <v>132950.71302987187</v>
      </c>
      <c r="M14" s="16"/>
      <c r="N14" s="16"/>
      <c r="O14" s="11"/>
      <c r="P14" s="13"/>
      <c r="Q14" s="14">
        <f t="shared" ca="1" si="6"/>
        <v>132950.71302987187</v>
      </c>
      <c r="R14" s="16">
        <f t="shared" ca="1" si="4"/>
        <v>132950.71302987187</v>
      </c>
    </row>
    <row r="15" spans="1:20">
      <c r="A15" s="18" t="s">
        <v>79</v>
      </c>
      <c r="B15" s="11"/>
      <c r="C15" s="14"/>
      <c r="D15" s="14"/>
      <c r="E15" s="14">
        <f ca="1">E17-E14</f>
        <v>138975.68473205587</v>
      </c>
      <c r="F15" s="14"/>
      <c r="G15" s="14"/>
      <c r="H15" s="14"/>
      <c r="I15" s="14"/>
      <c r="J15" s="14"/>
      <c r="K15" s="13"/>
      <c r="L15" s="14">
        <f t="shared" ca="1" si="5"/>
        <v>138975.68473205587</v>
      </c>
      <c r="M15" s="16"/>
      <c r="N15" s="16"/>
      <c r="O15" s="11"/>
      <c r="P15" s="13"/>
      <c r="Q15" s="14">
        <f t="shared" ca="1" si="6"/>
        <v>138975.68473205587</v>
      </c>
      <c r="R15" s="16">
        <f t="shared" ca="1" si="4"/>
        <v>138975.68473205587</v>
      </c>
    </row>
    <row r="16" spans="1:20">
      <c r="A16" s="30" t="s">
        <v>89</v>
      </c>
      <c r="B16" s="21">
        <f ca="1">Q2</f>
        <v>213350.22764415556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213350.22764415556</v>
      </c>
      <c r="M16" s="19"/>
      <c r="N16" s="19"/>
      <c r="O16" s="21"/>
      <c r="P16" s="27"/>
      <c r="Q16" s="22">
        <f t="shared" ca="1" si="6"/>
        <v>213350.22764415556</v>
      </c>
      <c r="R16" s="19">
        <f t="shared" ca="1" si="4"/>
        <v>213350.22764415556</v>
      </c>
    </row>
    <row r="17" spans="1:18">
      <c r="A17" s="29" t="s">
        <v>88</v>
      </c>
      <c r="B17" s="9">
        <f ca="1">B16</f>
        <v>213350.22764415556</v>
      </c>
      <c r="C17" s="9">
        <f ca="1">SUM(C$2:C$11)</f>
        <v>670354.3008797348</v>
      </c>
      <c r="D17" s="9">
        <f ca="1">SUM(D$2:D$11)</f>
        <v>0</v>
      </c>
      <c r="E17" s="9">
        <f ca="1">$Q$5/parameters!$B$4</f>
        <v>271926.39776192774</v>
      </c>
      <c r="F17" s="9">
        <f t="shared" ref="F17:K17" ca="1" si="7">SUM(F$2:F$11)</f>
        <v>825373.13432835834</v>
      </c>
      <c r="G17" s="9">
        <f t="shared" ca="1" si="7"/>
        <v>82946.70846394985</v>
      </c>
      <c r="H17" s="9">
        <f t="shared" ca="1" si="7"/>
        <v>853580</v>
      </c>
      <c r="I17" s="9">
        <f t="shared" ca="1" si="7"/>
        <v>517525.491454445</v>
      </c>
      <c r="J17" s="9">
        <f t="shared" ca="1" si="7"/>
        <v>336554.30854555499</v>
      </c>
      <c r="K17" s="9">
        <f t="shared" ca="1" si="7"/>
        <v>736317.40159317199</v>
      </c>
      <c r="L17" s="17">
        <f t="shared" ca="1" si="5"/>
        <v>4507927.970671298</v>
      </c>
      <c r="M17" s="17"/>
      <c r="N17" s="17"/>
      <c r="O17" s="9"/>
      <c r="P17" s="14"/>
      <c r="Q17" s="11">
        <f t="shared" ca="1" si="6"/>
        <v>4507927.970671298</v>
      </c>
      <c r="R17" s="17">
        <f t="shared" ca="1" si="4"/>
        <v>4507927.970671298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0.92217907693540124</v>
      </c>
      <c r="J18" s="39">
        <f ca="1">I18</f>
        <v>0.92217907693540124</v>
      </c>
      <c r="K18" s="40">
        <f ca="1">1-(-K13)/K17</f>
        <v>0.90970546875683056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55130.567818827585</v>
      </c>
      <c r="D2" s="9">
        <f ca="1">Q4/parameters!$B$3</f>
        <v>23703.67220246961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78834.240021297199</v>
      </c>
      <c r="M2" s="17"/>
      <c r="N2" s="17">
        <f ca="1">Q2-(L2+O2+P2)</f>
        <v>11395.675174331263</v>
      </c>
      <c r="O2" s="11" cm="1">
        <f t="array" aca="1" ref="O2" ca="1">INDIRECT("'data'!$F$" &amp; $A$1)</f>
        <v>18237.05</v>
      </c>
      <c r="P2" s="13">
        <f ca="1">IF(-(L2-Q2+O2)&lt;0, -(L2-Q2+O2), 0)</f>
        <v>0</v>
      </c>
      <c r="Q2" s="17" cm="1">
        <f t="array" aca="1" ref="Q2" ca="1">INDIRECT("'data'!$D$" &amp; $A$1)</f>
        <v>108466.96519562847</v>
      </c>
      <c r="R2" s="17">
        <f ca="1">SUM(L2:P2)</f>
        <v>108466.96519562847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38616.59701492537</v>
      </c>
      <c r="G3" s="14">
        <f ca="1">Q3-O3-P3-F3</f>
        <v>15573.188226643601</v>
      </c>
      <c r="H3" s="14"/>
      <c r="I3" s="14"/>
      <c r="J3" s="14"/>
      <c r="K3" s="13"/>
      <c r="L3" s="16">
        <f t="shared" ca="1" si="0"/>
        <v>54189.78524156897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618.97500000000002</v>
      </c>
      <c r="P3" s="13" cm="1">
        <f t="array" aca="1" ref="P3" ca="1">-INDIRECT("'data'!$I$" &amp; $A$1)*parameters!$B$13</f>
        <v>-25.514999999999997</v>
      </c>
      <c r="Q3" s="16" cm="1">
        <f t="array" aca="1" ref="Q3" ca="1">INDIRECT("'data'!$G$" &amp; $A$1)*parameters!$B$13</f>
        <v>54783.24524156897</v>
      </c>
      <c r="R3" s="16">
        <f t="shared" ref="R3:R10" ca="1" si="2">SUM(L3:P3)</f>
        <v>54783.24524156897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23177.139067594053</v>
      </c>
      <c r="H4" s="14"/>
      <c r="I4" s="14"/>
      <c r="J4" s="14"/>
      <c r="K4" s="13"/>
      <c r="L4" s="16">
        <f t="shared" ca="1" si="0"/>
        <v>23177.139067594053</v>
      </c>
      <c r="M4" s="16"/>
      <c r="N4" s="16">
        <f t="shared" ca="1" si="1"/>
        <v>0</v>
      </c>
      <c r="O4" s="11" cm="1">
        <f t="array" aca="1" ref="O4" ca="1">INDIRECT("'data'!$K$" &amp; $A$1)*parameters!$B$14</f>
        <v>460</v>
      </c>
      <c r="P4" s="13" cm="1">
        <f t="array" aca="1" ref="P4" ca="1">-INDIRECT("'data'!$L$" &amp; $A$1)*parameters!$B$14</f>
        <v>-82.8</v>
      </c>
      <c r="Q4" s="16" cm="1">
        <f t="array" aca="1" ref="Q4" ca="1">INDIRECT("'data'!$J$" &amp; $A$1)*parameters!$B$14</f>
        <v>23554.339067594054</v>
      </c>
      <c r="R4" s="16">
        <f t="shared" ca="1" si="2"/>
        <v>23554.339067594054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9654.1492537313443</v>
      </c>
      <c r="G5" s="14">
        <f ca="1">Q7/parameters!$B$7-(G3+G4)</f>
        <v>17830.592245992237</v>
      </c>
      <c r="H5" s="14"/>
      <c r="I5" s="14"/>
      <c r="J5" s="14"/>
      <c r="K5" s="13"/>
      <c r="L5" s="16">
        <f t="shared" ca="1" si="0"/>
        <v>27484.741499723583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-5257.7</v>
      </c>
      <c r="Q5" s="16">
        <f ca="1">SUM(L5:P5)</f>
        <v>22227.041499723582</v>
      </c>
      <c r="R5" s="16">
        <f t="shared" ca="1" si="2"/>
        <v>22227.041499723582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45277.96</v>
      </c>
      <c r="I6" s="14"/>
      <c r="J6" s="14"/>
      <c r="K6" s="13"/>
      <c r="L6" s="16">
        <f t="shared" ca="1" si="0"/>
        <v>45277.96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45277.96</v>
      </c>
      <c r="R6" s="16">
        <f t="shared" ca="1" si="2"/>
        <v>45277.96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54147.94</v>
      </c>
      <c r="I7" s="14"/>
      <c r="J7" s="14"/>
      <c r="K7" s="13"/>
      <c r="L7" s="16">
        <f t="shared" ca="1" si="0"/>
        <v>54147.94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54147.94</v>
      </c>
      <c r="R7" s="16">
        <f t="shared" ca="1" si="2"/>
        <v>54147.94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47298</v>
      </c>
      <c r="J8" s="14">
        <f ca="1">Q10/J18</f>
        <v>70528.736842105267</v>
      </c>
      <c r="K8" s="13"/>
      <c r="L8" s="16">
        <f t="shared" ca="1" si="0"/>
        <v>117826.73684210527</v>
      </c>
      <c r="M8" s="16"/>
      <c r="N8" s="16">
        <f t="shared" ca="1" si="3"/>
        <v>-20587.216842105277</v>
      </c>
      <c r="O8" s="11" cm="1">
        <f t="array" aca="1" ref="O8" ca="1">INDIRECT("'data'!$R$" &amp; $A$1)*parameters!$B$15</f>
        <v>2730.2799999999997</v>
      </c>
      <c r="P8" s="13" cm="1">
        <f t="array" aca="1" ref="P8" ca="1">-INDIRECT("'data'!$S$" &amp; $A$1)*parameters!$B$15</f>
        <v>-543.9</v>
      </c>
      <c r="Q8" s="16">
        <f ca="1">SUM(Q6:Q7)</f>
        <v>99425.9</v>
      </c>
      <c r="R8" s="16">
        <f t="shared" ca="1" si="2"/>
        <v>99425.9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45581.760000000002</v>
      </c>
      <c r="L9" s="16">
        <f t="shared" ca="1" si="0"/>
        <v>45581.760000000002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1811.04</v>
      </c>
      <c r="P9" s="13" cm="1">
        <f t="array" aca="1" ref="P9" ca="1">-INDIRECT("'data'!$V$" &amp; $A$1)*parameters!$B$15</f>
        <v>-1040.76</v>
      </c>
      <c r="Q9" s="16" cm="1">
        <f t="array" aca="1" ref="Q9" ca="1">INDIRECT("'data'!$T$" &amp; $A$1)*parameters!$B$15</f>
        <v>46352.04</v>
      </c>
      <c r="R9" s="16">
        <f t="shared" ca="1" si="2"/>
        <v>46352.04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66005.682105263157</v>
      </c>
      <c r="L10" s="16">
        <f t="shared" ca="1" si="0"/>
        <v>66005.682105263157</v>
      </c>
      <c r="M10" s="16"/>
      <c r="N10" s="16">
        <f t="shared" ca="1" si="3"/>
        <v>0</v>
      </c>
      <c r="O10" s="11" cm="1">
        <f t="array" aca="1" ref="O10" ca="1">INDIRECT("'data'!$X$" &amp; $A$1)*parameters!$B$15</f>
        <v>9554.02</v>
      </c>
      <c r="P10" s="13" cm="1">
        <f t="array" aca="1" ref="P10" ca="1">-INDIRECT("'data'!$Y$" &amp; $A$1)*parameters!$B$15</f>
        <v>-6441.54</v>
      </c>
      <c r="Q10" s="16" cm="1">
        <f t="array" aca="1" ref="Q10" ca="1">INDIRECT("'data'!$W$" &amp; $A$1)*parameters!$B$15</f>
        <v>69118.162105263167</v>
      </c>
      <c r="R10" s="16">
        <f t="shared" ca="1" si="2"/>
        <v>69118.162105263167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100331.0610105263</v>
      </c>
      <c r="N11" s="19"/>
      <c r="O11" s="21" cm="1">
        <f t="array" aca="1" ref="O11" ca="1">INDIRECT("'data'!$Z$" &amp; $A$1)*parameters!$B$15</f>
        <v>3460.38</v>
      </c>
      <c r="P11" s="27" cm="1">
        <f t="array" aca="1" ref="P11" ca="1">-INDIRECT("'data'!$AA$" &amp; $A$1)*parameters!$B$15</f>
        <v>-4179.7</v>
      </c>
      <c r="Q11" s="16">
        <f ca="1">K9*parameters!$B$10+K10*parameters!$B$11</f>
        <v>99611.741010526312</v>
      </c>
      <c r="R11" s="16">
        <f t="shared" ref="R11:R17" ca="1" si="4">SUM(L11:P11)</f>
        <v>99611.741010526312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-347.32257725861564</v>
      </c>
      <c r="D12" s="9">
        <f ca="1">-(D17-Q4)</f>
        <v>-149.33313487555642</v>
      </c>
      <c r="E12" s="9">
        <f ca="1">-(E17-Q5)</f>
        <v>-2747.162432550107</v>
      </c>
      <c r="F12" s="9">
        <f ca="1">-(F17-Q6)</f>
        <v>-2992.7862686567169</v>
      </c>
      <c r="G12" s="9">
        <f ca="1">-(G17-Q7)</f>
        <v>-2432.9795402298842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-8669.5839535708801</v>
      </c>
      <c r="M12" s="17"/>
      <c r="N12" s="17"/>
      <c r="O12" s="10"/>
      <c r="P12" s="12"/>
      <c r="Q12" s="9">
        <f t="shared" ref="Q12:Q17" ca="1" si="6">SUM(L12:P12)</f>
        <v>-8669.5839535708801</v>
      </c>
      <c r="R12" s="17">
        <f t="shared" ca="1" si="4"/>
        <v>-8669.5839535708801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-945.95999999999913</v>
      </c>
      <c r="J13" s="14">
        <f ca="1">-(J17-Q10)</f>
        <v>-1410.5747368420998</v>
      </c>
      <c r="K13" s="13">
        <f ca="1">-(K17-Q11)</f>
        <v>-11975.70109473684</v>
      </c>
      <c r="L13" s="14">
        <f t="shared" ca="1" si="5"/>
        <v>-14332.235831578939</v>
      </c>
      <c r="M13" s="16">
        <f ca="1">-E15</f>
        <v>-10641.96810069475</v>
      </c>
      <c r="N13" s="16"/>
      <c r="O13" s="11"/>
      <c r="P13" s="13"/>
      <c r="Q13" s="14">
        <f t="shared" ca="1" si="6"/>
        <v>-24974.203932273689</v>
      </c>
      <c r="R13" s="16">
        <f t="shared" ca="1" si="4"/>
        <v>-24974.203932273689</v>
      </c>
    </row>
    <row r="14" spans="1:22">
      <c r="A14" s="18" t="s">
        <v>78</v>
      </c>
      <c r="B14" s="11"/>
      <c r="C14" s="14"/>
      <c r="D14" s="14"/>
      <c r="E14" s="14">
        <f ca="1">-(I13+J13)-K13</f>
        <v>14332.235831578939</v>
      </c>
      <c r="F14" s="14"/>
      <c r="G14" s="14"/>
      <c r="H14" s="14"/>
      <c r="I14" s="14"/>
      <c r="J14" s="14"/>
      <c r="K14" s="13"/>
      <c r="L14" s="14">
        <f t="shared" ca="1" si="5"/>
        <v>14332.235831578939</v>
      </c>
      <c r="M14" s="16"/>
      <c r="N14" s="16"/>
      <c r="O14" s="11"/>
      <c r="P14" s="13"/>
      <c r="Q14" s="14">
        <f t="shared" ca="1" si="6"/>
        <v>14332.235831578939</v>
      </c>
      <c r="R14" s="16">
        <f t="shared" ca="1" si="4"/>
        <v>14332.235831578939</v>
      </c>
    </row>
    <row r="15" spans="1:22">
      <c r="A15" s="18" t="s">
        <v>79</v>
      </c>
      <c r="B15" s="11"/>
      <c r="C15" s="14"/>
      <c r="D15" s="14"/>
      <c r="E15" s="14">
        <f ca="1">E17-E14</f>
        <v>10641.96810069475</v>
      </c>
      <c r="F15" s="14"/>
      <c r="G15" s="14"/>
      <c r="H15" s="14"/>
      <c r="I15" s="14"/>
      <c r="J15" s="14"/>
      <c r="K15" s="13"/>
      <c r="L15" s="14">
        <f t="shared" ca="1" si="5"/>
        <v>10641.96810069475</v>
      </c>
      <c r="M15" s="16"/>
      <c r="N15" s="16"/>
      <c r="O15" s="11"/>
      <c r="P15" s="13"/>
      <c r="Q15" s="14">
        <f t="shared" ca="1" si="6"/>
        <v>10641.96810069475</v>
      </c>
      <c r="R15" s="16">
        <f t="shared" ca="1" si="4"/>
        <v>10641.96810069475</v>
      </c>
    </row>
    <row r="16" spans="1:22">
      <c r="A16" s="30" t="s">
        <v>89</v>
      </c>
      <c r="B16" s="21">
        <f ca="1">Q2</f>
        <v>108466.96519562847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108466.96519562847</v>
      </c>
      <c r="M16" s="19"/>
      <c r="N16" s="19"/>
      <c r="O16" s="21"/>
      <c r="P16" s="27"/>
      <c r="Q16" s="22">
        <f t="shared" ca="1" si="6"/>
        <v>108466.96519562847</v>
      </c>
      <c r="R16" s="19">
        <f t="shared" ca="1" si="4"/>
        <v>108466.96519562847</v>
      </c>
    </row>
    <row r="17" spans="1:18">
      <c r="A17" s="29" t="s">
        <v>88</v>
      </c>
      <c r="B17" s="9">
        <f ca="1">B16</f>
        <v>108466.96519562847</v>
      </c>
      <c r="C17" s="9">
        <f ca="1">SUM(C$2:C$11)</f>
        <v>55130.567818827585</v>
      </c>
      <c r="D17" s="9">
        <f ca="1">SUM(D$2:D$11)</f>
        <v>23703.67220246961</v>
      </c>
      <c r="E17" s="9">
        <f ca="1">$Q$5/parameters!$B$4</f>
        <v>24974.203932273689</v>
      </c>
      <c r="F17" s="9">
        <f t="shared" ref="F17:K17" ca="1" si="7">SUM(F$2:F$11)</f>
        <v>48270.746268656716</v>
      </c>
      <c r="G17" s="9">
        <f t="shared" ca="1" si="7"/>
        <v>56580.919540229886</v>
      </c>
      <c r="H17" s="9">
        <f t="shared" ca="1" si="7"/>
        <v>99425.9</v>
      </c>
      <c r="I17" s="9">
        <f t="shared" ca="1" si="7"/>
        <v>47298</v>
      </c>
      <c r="J17" s="9">
        <f t="shared" ca="1" si="7"/>
        <v>70528.736842105267</v>
      </c>
      <c r="K17" s="9">
        <f t="shared" ca="1" si="7"/>
        <v>111587.44210526315</v>
      </c>
      <c r="L17" s="17">
        <f t="shared" ca="1" si="5"/>
        <v>645967.15390545432</v>
      </c>
      <c r="M17" s="17"/>
      <c r="N17" s="17"/>
      <c r="O17" s="9"/>
      <c r="P17" s="14"/>
      <c r="Q17" s="11">
        <f t="shared" ca="1" si="6"/>
        <v>645967.15390545432</v>
      </c>
      <c r="R17" s="17">
        <f t="shared" ca="1" si="4"/>
        <v>645967.15390545432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0.99370000000000014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0.89267877398390516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74491.144208513622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74491.144208513622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-74491.144208513622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73777.147761194035</v>
      </c>
      <c r="G3" s="14">
        <f ca="1">Q3-O3-P3-F3</f>
        <v>309.9072388059576</v>
      </c>
      <c r="H3" s="14"/>
      <c r="I3" s="14"/>
      <c r="J3" s="14"/>
      <c r="K3" s="13"/>
      <c r="L3" s="16">
        <f t="shared" ca="1" si="0"/>
        <v>74087.054999999993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23.625</v>
      </c>
      <c r="P3" s="13" cm="1">
        <f t="array" aca="1" ref="P3" ca="1">-INDIRECT("'data'!$I$" &amp; $A$1)*parameters!$B$13</f>
        <v>-88.83</v>
      </c>
      <c r="Q3" s="16" cm="1">
        <f t="array" aca="1" ref="Q3" ca="1">INDIRECT("'data'!$G$" &amp; $A$1)*parameters!$B$13</f>
        <v>74021.849999999991</v>
      </c>
      <c r="R3" s="16">
        <f t="shared" ref="R3:R10" ca="1" si="2">SUM(L3:P3)</f>
        <v>74021.849999999991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8.2800000000000011</v>
      </c>
      <c r="H4" s="14"/>
      <c r="I4" s="14"/>
      <c r="J4" s="14"/>
      <c r="K4" s="13"/>
      <c r="L4" s="16">
        <f t="shared" ca="1" si="0"/>
        <v>8.2800000000000011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-8.2800000000000011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9118.5238805970148</v>
      </c>
      <c r="G5" s="14">
        <f ca="1">Q7/parameters!$B$7-(G3+G4)</f>
        <v>25608.291340086416</v>
      </c>
      <c r="H5" s="14"/>
      <c r="I5" s="14"/>
      <c r="J5" s="14"/>
      <c r="K5" s="13"/>
      <c r="L5" s="16">
        <f t="shared" ca="1" si="0"/>
        <v>34726.815220683435</v>
      </c>
      <c r="M5" s="16"/>
      <c r="N5" s="16"/>
      <c r="O5" s="11" cm="1">
        <f t="array" aca="1" ref="O5" ca="1">INDIRECT("'data'!$M$" &amp; $A$1)*parameters!$B$15</f>
        <v>8043.84</v>
      </c>
      <c r="P5" s="13" cm="1">
        <f t="array" aca="1" ref="P5" ca="1">-INDIRECT("'data'!$N$" &amp; $A$1)*parameters!$B$15</f>
        <v>-227.35999999999999</v>
      </c>
      <c r="Q5" s="16">
        <f ca="1">SUM(L5:P5)</f>
        <v>42543.295220683431</v>
      </c>
      <c r="R5" s="16">
        <f t="shared" ca="1" si="2"/>
        <v>42543.295220683431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77756.14</v>
      </c>
      <c r="I6" s="14"/>
      <c r="J6" s="14"/>
      <c r="K6" s="13"/>
      <c r="L6" s="16">
        <f t="shared" ca="1" si="0"/>
        <v>77756.14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77756.14</v>
      </c>
      <c r="R6" s="16">
        <f t="shared" ca="1" si="2"/>
        <v>77756.14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24811.64</v>
      </c>
      <c r="I7" s="14"/>
      <c r="J7" s="14"/>
      <c r="K7" s="13"/>
      <c r="L7" s="16">
        <f t="shared" ca="1" si="0"/>
        <v>24811.64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24811.64</v>
      </c>
      <c r="R7" s="16">
        <f t="shared" ca="1" si="2"/>
        <v>24811.64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33353.728100597182</v>
      </c>
      <c r="J8" s="14">
        <f ca="1">Q10/J18</f>
        <v>65203.891899402835</v>
      </c>
      <c r="K8" s="13"/>
      <c r="L8" s="16">
        <f t="shared" ca="1" si="0"/>
        <v>98557.620000000024</v>
      </c>
      <c r="M8" s="16"/>
      <c r="N8" s="16">
        <f t="shared" ca="1" si="3"/>
        <v>0</v>
      </c>
      <c r="O8" s="11" cm="1">
        <f t="array" aca="1" ref="O8" ca="1">INDIRECT("'data'!$R$" &amp; $A$1)*parameters!$B$15</f>
        <v>4239.4799999999996</v>
      </c>
      <c r="P8" s="13" cm="1">
        <f t="array" aca="1" ref="P8" ca="1">-INDIRECT("'data'!$S$" &amp; $A$1)*parameters!$B$15</f>
        <v>-229.32</v>
      </c>
      <c r="Q8" s="16">
        <f ca="1">SUM(Q6:Q7)</f>
        <v>102567.78</v>
      </c>
      <c r="R8" s="16">
        <f t="shared" ca="1" si="2"/>
        <v>102567.78000000001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26147.379999999997</v>
      </c>
      <c r="L9" s="16">
        <f t="shared" ca="1" si="0"/>
        <v>26147.379999999997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4961.74</v>
      </c>
      <c r="P9" s="13" cm="1">
        <f t="array" aca="1" ref="P9" ca="1">-INDIRECT("'data'!$V$" &amp; $A$1)*parameters!$B$15</f>
        <v>-981.96</v>
      </c>
      <c r="Q9" s="16" cm="1">
        <f t="array" aca="1" ref="Q9" ca="1">INDIRECT("'data'!$T$" &amp; $A$1)*parameters!$B$15</f>
        <v>30127.16</v>
      </c>
      <c r="R9" s="16">
        <f t="shared" ca="1" si="2"/>
        <v>30127.159999999996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37859.527283072544</v>
      </c>
      <c r="L10" s="16">
        <f t="shared" ca="1" si="0"/>
        <v>37859.527283072544</v>
      </c>
      <c r="M10" s="16"/>
      <c r="N10" s="16">
        <f t="shared" ca="1" si="3"/>
        <v>0</v>
      </c>
      <c r="O10" s="11" cm="1">
        <f t="array" aca="1" ref="O10" ca="1">INDIRECT("'data'!$X$" &amp; $A$1)*parameters!$B$15</f>
        <v>25596.62</v>
      </c>
      <c r="P10" s="13" cm="1">
        <f t="array" aca="1" ref="P10" ca="1">-INDIRECT("'data'!$Y$" &amp; $A$1)*parameters!$B$15</f>
        <v>-4559.9399999999996</v>
      </c>
      <c r="Q10" s="16" cm="1">
        <f t="array" aca="1" ref="Q10" ca="1">INDIRECT("'data'!$W$" &amp; $A$1)*parameters!$B$15</f>
        <v>58896.207283072545</v>
      </c>
      <c r="R10" s="16">
        <f t="shared" ca="1" si="2"/>
        <v>58896.207283072537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43337.370663442387</v>
      </c>
      <c r="N11" s="19"/>
      <c r="O11" s="21" cm="1">
        <f t="array" aca="1" ref="O11" ca="1">INDIRECT("'data'!$Z$" &amp; $A$1)*parameters!$B$15</f>
        <v>21376.739999999998</v>
      </c>
      <c r="P11" s="27" cm="1">
        <f t="array" aca="1" ref="P11" ca="1">-INDIRECT("'data'!$AA$" &amp; $A$1)*parameters!$B$15</f>
        <v>-7576.38</v>
      </c>
      <c r="Q11" s="16">
        <f ca="1">K9*parameters!$B$10+K10*parameters!$B$11</f>
        <v>57137.730663442388</v>
      </c>
      <c r="R11" s="16">
        <f t="shared" ref="R11:R17" ca="1" si="4">SUM(L11:P11)</f>
        <v>57137.730663442388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-469.29420851363102</v>
      </c>
      <c r="D12" s="9">
        <f ca="1">-(D17-Q4)</f>
        <v>0</v>
      </c>
      <c r="E12" s="9">
        <f ca="1">-(E17-Q5)</f>
        <v>-5258.1600834552519</v>
      </c>
      <c r="F12" s="9">
        <f ca="1">-(F17-Q6)</f>
        <v>-5139.5316417910508</v>
      </c>
      <c r="G12" s="9">
        <f ca="1">-(G17-Q7)</f>
        <v>-1114.8385788923733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-11981.824512652307</v>
      </c>
      <c r="M12" s="17"/>
      <c r="N12" s="17"/>
      <c r="O12" s="10"/>
      <c r="P12" s="12"/>
      <c r="Q12" s="9">
        <f t="shared" ref="Q12:Q17" ca="1" si="6">SUM(L12:P12)</f>
        <v>-11981.824512652307</v>
      </c>
      <c r="R12" s="17">
        <f t="shared" ca="1" si="4"/>
        <v>-11981.824512652307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-3226.5681005971819</v>
      </c>
      <c r="J13" s="14">
        <f ca="1">-(J17-Q10)</f>
        <v>-6307.6846163302907</v>
      </c>
      <c r="K13" s="13">
        <f ca="1">-(K17-Q11)</f>
        <v>-6869.1766196301542</v>
      </c>
      <c r="L13" s="14">
        <f t="shared" ca="1" si="5"/>
        <v>-16403.429336557627</v>
      </c>
      <c r="M13" s="16">
        <f ca="1">-E15</f>
        <v>-31398.025967581056</v>
      </c>
      <c r="N13" s="16"/>
      <c r="O13" s="11"/>
      <c r="P13" s="13"/>
      <c r="Q13" s="14">
        <f t="shared" ca="1" si="6"/>
        <v>-47801.455304138683</v>
      </c>
      <c r="R13" s="16">
        <f t="shared" ca="1" si="4"/>
        <v>-47801.455304138683</v>
      </c>
    </row>
    <row r="14" spans="1:20">
      <c r="A14" s="18" t="s">
        <v>78</v>
      </c>
      <c r="B14" s="11"/>
      <c r="C14" s="14"/>
      <c r="D14" s="14"/>
      <c r="E14" s="14">
        <f ca="1">-(I13+J13)-K13</f>
        <v>16403.429336557627</v>
      </c>
      <c r="F14" s="14"/>
      <c r="G14" s="14"/>
      <c r="H14" s="14"/>
      <c r="I14" s="14"/>
      <c r="J14" s="14"/>
      <c r="K14" s="13"/>
      <c r="L14" s="14">
        <f t="shared" ca="1" si="5"/>
        <v>16403.429336557627</v>
      </c>
      <c r="M14" s="16"/>
      <c r="N14" s="16"/>
      <c r="O14" s="11"/>
      <c r="P14" s="13"/>
      <c r="Q14" s="14">
        <f t="shared" ca="1" si="6"/>
        <v>16403.429336557627</v>
      </c>
      <c r="R14" s="16">
        <f t="shared" ca="1" si="4"/>
        <v>16403.429336557627</v>
      </c>
    </row>
    <row r="15" spans="1:20">
      <c r="A15" s="18" t="s">
        <v>79</v>
      </c>
      <c r="B15" s="11"/>
      <c r="C15" s="14"/>
      <c r="D15" s="14"/>
      <c r="E15" s="14">
        <f ca="1">E17-E14</f>
        <v>31398.025967581056</v>
      </c>
      <c r="F15" s="14"/>
      <c r="G15" s="14"/>
      <c r="H15" s="14"/>
      <c r="I15" s="14"/>
      <c r="J15" s="14"/>
      <c r="K15" s="13"/>
      <c r="L15" s="14">
        <f t="shared" ca="1" si="5"/>
        <v>31398.025967581056</v>
      </c>
      <c r="M15" s="16"/>
      <c r="N15" s="16"/>
      <c r="O15" s="11"/>
      <c r="P15" s="13"/>
      <c r="Q15" s="14">
        <f t="shared" ca="1" si="6"/>
        <v>31398.025967581056</v>
      </c>
      <c r="R15" s="16">
        <f t="shared" ca="1" si="4"/>
        <v>31398.025967581056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74491.144208513622</v>
      </c>
      <c r="D17" s="9">
        <f ca="1">SUM(D$2:D$11)</f>
        <v>0</v>
      </c>
      <c r="E17" s="9">
        <f ca="1">$Q$5/parameters!$B$4</f>
        <v>47801.455304138683</v>
      </c>
      <c r="F17" s="9">
        <f t="shared" ref="F17:K17" ca="1" si="7">SUM(F$2:F$11)</f>
        <v>82895.67164179105</v>
      </c>
      <c r="G17" s="9">
        <f t="shared" ca="1" si="7"/>
        <v>25926.478578892373</v>
      </c>
      <c r="H17" s="9">
        <f t="shared" ca="1" si="7"/>
        <v>102567.78</v>
      </c>
      <c r="I17" s="9">
        <f t="shared" ca="1" si="7"/>
        <v>33353.728100597182</v>
      </c>
      <c r="J17" s="9">
        <f t="shared" ca="1" si="7"/>
        <v>65203.891899402835</v>
      </c>
      <c r="K17" s="9">
        <f t="shared" ca="1" si="7"/>
        <v>64006.907283072542</v>
      </c>
      <c r="L17" s="17">
        <f t="shared" ca="1" si="5"/>
        <v>496247.05701640825</v>
      </c>
      <c r="M17" s="17"/>
      <c r="N17" s="17"/>
      <c r="O17" s="9"/>
      <c r="P17" s="14"/>
      <c r="Q17" s="11">
        <f t="shared" ca="1" si="6"/>
        <v>496247.05701640825</v>
      </c>
      <c r="R17" s="17">
        <f t="shared" ca="1" si="4"/>
        <v>496247.05701640825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0.9032621453630123</v>
      </c>
      <c r="J18" s="39">
        <f ca="1">I18</f>
        <v>0.9032621453630123</v>
      </c>
      <c r="K18" s="40">
        <f ca="1">1-(-K13)/K17</f>
        <v>0.8926806978932601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  <row r="27" spans="1:18">
      <c r="F27" s="48"/>
      <c r="G27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21297.448928247959</v>
      </c>
      <c r="D2" s="9">
        <f ca="1">Q4/parameters!$B$3</f>
        <v>1851.6654926034014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23149.114420851362</v>
      </c>
      <c r="M2" s="17"/>
      <c r="N2" s="17">
        <f ca="1">Q2-(L2+O2+P2)</f>
        <v>255.03557914863632</v>
      </c>
      <c r="O2" s="11" cm="1">
        <f t="array" aca="1" ref="O2" ca="1">INDIRECT("'data'!$F$" &amp; $A$1)</f>
        <v>6895.85</v>
      </c>
      <c r="P2" s="13">
        <f ca="1">IF(-(L2-Q2+O2)&lt;0, -(L2-Q2+O2), 0)</f>
        <v>0</v>
      </c>
      <c r="Q2" s="17" cm="1">
        <f t="array" aca="1" ref="Q2" ca="1">INDIRECT("'data'!$D$" &amp; $A$1)</f>
        <v>30300</v>
      </c>
      <c r="R2" s="17">
        <f ca="1">SUM(L2:P2)</f>
        <v>30300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22093.002985074629</v>
      </c>
      <c r="G3" s="14">
        <f ca="1">Q3-O3-P3-F3</f>
        <v>3852.9170149253696</v>
      </c>
      <c r="H3" s="14"/>
      <c r="I3" s="14"/>
      <c r="J3" s="14"/>
      <c r="K3" s="13"/>
      <c r="L3" s="16">
        <f t="shared" ca="1" si="0"/>
        <v>25945.919999999998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62.37</v>
      </c>
      <c r="P3" s="13" cm="1">
        <f t="array" aca="1" ref="P3" ca="1">-INDIRECT("'data'!$I$" &amp; $A$1)*parameters!$B$13</f>
        <v>-4845.0149999999994</v>
      </c>
      <c r="Q3" s="16" cm="1">
        <f t="array" aca="1" ref="Q3" ca="1">INDIRECT("'data'!$G$" &amp; $A$1)*parameters!$B$13</f>
        <v>21163.274999999998</v>
      </c>
      <c r="R3" s="16">
        <f t="shared" ref="R3:R10" ca="1" si="2">SUM(L3:P3)</f>
        <v>21163.274999999998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2897.08</v>
      </c>
      <c r="H4" s="14"/>
      <c r="I4" s="14"/>
      <c r="J4" s="14"/>
      <c r="K4" s="13"/>
      <c r="L4" s="16">
        <f t="shared" ca="1" si="0"/>
        <v>2897.08</v>
      </c>
      <c r="M4" s="16"/>
      <c r="N4" s="16">
        <f t="shared" ca="1" si="1"/>
        <v>0</v>
      </c>
      <c r="O4" s="11" cm="1">
        <f t="array" aca="1" ref="O4" ca="1">INDIRECT("'data'!$K$" &amp; $A$1)*parameters!$B$14</f>
        <v>588.80000000000007</v>
      </c>
      <c r="P4" s="13" cm="1">
        <f t="array" aca="1" ref="P4" ca="1">-INDIRECT("'data'!$L$" &amp; $A$1)*parameters!$B$14</f>
        <v>-1645.88</v>
      </c>
      <c r="Q4" s="16" cm="1">
        <f t="array" aca="1" ref="Q4" ca="1">INDIRECT("'data'!$J$" &amp; $A$1)*parameters!$B$14</f>
        <v>1840</v>
      </c>
      <c r="R4" s="16">
        <f t="shared" ca="1" si="2"/>
        <v>1840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4849.6835820895521</v>
      </c>
      <c r="G5" s="14">
        <f ca="1">Q7/parameters!$B$7-(G3+G4)</f>
        <v>50415.645618303468</v>
      </c>
      <c r="H5" s="14"/>
      <c r="I5" s="14"/>
      <c r="J5" s="14"/>
      <c r="K5" s="13"/>
      <c r="L5" s="16">
        <f t="shared" ca="1" si="0"/>
        <v>55265.329200393018</v>
      </c>
      <c r="M5" s="16"/>
      <c r="N5" s="16"/>
      <c r="O5" s="11" cm="1">
        <f t="array" aca="1" ref="O5" ca="1">INDIRECT("'data'!$M$" &amp; $A$1)*parameters!$B$15</f>
        <v>14715.68</v>
      </c>
      <c r="P5" s="13" cm="1">
        <f t="array" aca="1" ref="P5" ca="1">-INDIRECT("'data'!$N$" &amp; $A$1)*parameters!$B$15</f>
        <v>-4543.28</v>
      </c>
      <c r="Q5" s="16">
        <f ca="1">SUM(L5:P5)</f>
        <v>65437.72920039302</v>
      </c>
      <c r="R5" s="16">
        <f t="shared" ca="1" si="2"/>
        <v>65437.72920039302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25272.239999999998</v>
      </c>
      <c r="I6" s="14"/>
      <c r="J6" s="14"/>
      <c r="K6" s="13"/>
      <c r="L6" s="16">
        <f t="shared" ca="1" si="0"/>
        <v>25272.239999999998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25272.239999999998</v>
      </c>
      <c r="R6" s="16">
        <f t="shared" ca="1" si="2"/>
        <v>25272.239999999998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54707.519999999997</v>
      </c>
      <c r="I7" s="14"/>
      <c r="J7" s="14"/>
      <c r="K7" s="13"/>
      <c r="L7" s="16">
        <f t="shared" ca="1" si="0"/>
        <v>54707.519999999997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54707.519999999997</v>
      </c>
      <c r="R7" s="16">
        <f t="shared" ca="1" si="2"/>
        <v>54707.519999999997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24917.190429306371</v>
      </c>
      <c r="J8" s="14">
        <f ca="1">Q10/J18</f>
        <v>62435.109570693618</v>
      </c>
      <c r="K8" s="13"/>
      <c r="L8" s="16">
        <f t="shared" ca="1" si="0"/>
        <v>87352.299999999988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143.07999999999998</v>
      </c>
      <c r="P8" s="13" cm="1">
        <f t="array" aca="1" ref="P8" ca="1">-INDIRECT("'data'!$S$" &amp; $A$1)*parameters!$B$15</f>
        <v>-7515.62</v>
      </c>
      <c r="Q8" s="16">
        <f ca="1">SUM(Q6:Q7)</f>
        <v>79979.759999999995</v>
      </c>
      <c r="R8" s="16">
        <f t="shared" ca="1" si="2"/>
        <v>79979.759999999995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27611.5</v>
      </c>
      <c r="L9" s="16">
        <f t="shared" ca="1" si="0"/>
        <v>27611.5</v>
      </c>
      <c r="M9" s="16"/>
      <c r="N9" s="16">
        <f t="shared" ca="1" si="3"/>
        <v>0</v>
      </c>
      <c r="O9" s="11" cm="1">
        <f t="array" aca="1" ref="O9" ca="1">INDIRECT("'data'!$U$" &amp; $A$1)*parameters!$B$15</f>
        <v>2066.8200000000002</v>
      </c>
      <c r="P9" s="13" cm="1">
        <f t="array" aca="1" ref="P9" ca="1">-INDIRECT("'data'!$V$" &amp; $A$1)*parameters!$B$15</f>
        <v>-6726.72</v>
      </c>
      <c r="Q9" s="16" cm="1">
        <f t="array" aca="1" ref="Q9" ca="1">INDIRECT("'data'!$T$" &amp; $A$1)*parameters!$B$15</f>
        <v>22951.599999999999</v>
      </c>
      <c r="R9" s="16">
        <f t="shared" ca="1" si="2"/>
        <v>22951.599999999999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63347.781308677098</v>
      </c>
      <c r="L10" s="16">
        <f t="shared" ca="1" si="0"/>
        <v>63347.781308677098</v>
      </c>
      <c r="M10" s="16"/>
      <c r="N10" s="16">
        <f t="shared" ca="1" si="3"/>
        <v>0</v>
      </c>
      <c r="O10" s="11" cm="1">
        <f t="array" aca="1" ref="O10" ca="1">INDIRECT("'data'!$X$" &amp; $A$1)*parameters!$B$15</f>
        <v>6456.24</v>
      </c>
      <c r="P10" s="13" cm="1">
        <f t="array" aca="1" ref="P10" ca="1">-INDIRECT("'data'!$Y$" &amp; $A$1)*parameters!$B$15</f>
        <v>-12294.1</v>
      </c>
      <c r="Q10" s="16" cm="1">
        <f t="array" aca="1" ref="Q10" ca="1">INDIRECT("'data'!$W$" &amp; $A$1)*parameters!$B$15</f>
        <v>57509.921308677098</v>
      </c>
      <c r="R10" s="16">
        <f t="shared" ca="1" si="2"/>
        <v>57509.921308677098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104373.3419254623</v>
      </c>
      <c r="N11" s="19"/>
      <c r="O11" s="21" cm="1">
        <f t="array" aca="1" ref="O11" ca="1">INDIRECT("'data'!$Z$" &amp; $A$1)*parameters!$B$15</f>
        <v>19421.64</v>
      </c>
      <c r="P11" s="27" cm="1">
        <f t="array" aca="1" ref="P11" ca="1">-INDIRECT("'data'!$AA$" &amp; $A$1)*parameters!$B$15</f>
        <v>-43361.08</v>
      </c>
      <c r="Q11" s="16">
        <f ca="1">K9*parameters!$B$10+K10*parameters!$B$11</f>
        <v>80433.901925462298</v>
      </c>
      <c r="R11" s="16">
        <f t="shared" ref="R11:R17" ca="1" si="4">SUM(L11:P11)</f>
        <v>80433.901925462298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-134.17392824796116</v>
      </c>
      <c r="D12" s="9">
        <f ca="1">-(D17-Q4)</f>
        <v>-11.66549260340139</v>
      </c>
      <c r="E12" s="9">
        <f ca="1">-(E17-Q5)</f>
        <v>-8087.8092270148627</v>
      </c>
      <c r="F12" s="9">
        <f ca="1">-(F17-Q6)</f>
        <v>-1670.446567164181</v>
      </c>
      <c r="G12" s="9">
        <f ca="1">-(G17-Q7)</f>
        <v>-2458.1226332288425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-12362.217848259248</v>
      </c>
      <c r="M12" s="17"/>
      <c r="N12" s="17"/>
      <c r="O12" s="10"/>
      <c r="P12" s="12"/>
      <c r="Q12" s="9">
        <f t="shared" ref="Q12:Q17" ca="1" si="6">SUM(L12:P12)</f>
        <v>-12362.217848259248</v>
      </c>
      <c r="R12" s="17">
        <f t="shared" ca="1" si="4"/>
        <v>-12362.217848259248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-1965.5904293063722</v>
      </c>
      <c r="J13" s="14">
        <f ca="1">-(J17-Q10)</f>
        <v>-4925.1882620165197</v>
      </c>
      <c r="K13" s="13">
        <f ca="1">-(K17-Q11)</f>
        <v>-10525.379383214808</v>
      </c>
      <c r="L13" s="14">
        <f t="shared" ca="1" si="5"/>
        <v>-17416.1580745377</v>
      </c>
      <c r="M13" s="16">
        <f ca="1">-E15</f>
        <v>-56109.380352870183</v>
      </c>
      <c r="N13" s="16"/>
      <c r="O13" s="11"/>
      <c r="P13" s="13"/>
      <c r="Q13" s="14">
        <f t="shared" ca="1" si="6"/>
        <v>-73525.538427407882</v>
      </c>
      <c r="R13" s="16">
        <f t="shared" ca="1" si="4"/>
        <v>-73525.538427407882</v>
      </c>
    </row>
    <row r="14" spans="1:20">
      <c r="A14" s="18" t="s">
        <v>78</v>
      </c>
      <c r="B14" s="11"/>
      <c r="C14" s="14"/>
      <c r="D14" s="14"/>
      <c r="E14" s="14">
        <f ca="1">-(I13+J13)-K13</f>
        <v>17416.1580745377</v>
      </c>
      <c r="F14" s="14"/>
      <c r="G14" s="14"/>
      <c r="H14" s="14"/>
      <c r="I14" s="14"/>
      <c r="J14" s="14"/>
      <c r="K14" s="13"/>
      <c r="L14" s="14">
        <f t="shared" ca="1" si="5"/>
        <v>17416.1580745377</v>
      </c>
      <c r="M14" s="16"/>
      <c r="N14" s="16"/>
      <c r="O14" s="11"/>
      <c r="P14" s="13"/>
      <c r="Q14" s="14">
        <f t="shared" ca="1" si="6"/>
        <v>17416.1580745377</v>
      </c>
      <c r="R14" s="16">
        <f t="shared" ca="1" si="4"/>
        <v>17416.1580745377</v>
      </c>
    </row>
    <row r="15" spans="1:20">
      <c r="A15" s="18" t="s">
        <v>79</v>
      </c>
      <c r="B15" s="11"/>
      <c r="C15" s="14"/>
      <c r="D15" s="14"/>
      <c r="E15" s="14">
        <f ca="1">E17-E14</f>
        <v>56109.380352870183</v>
      </c>
      <c r="F15" s="14"/>
      <c r="G15" s="14"/>
      <c r="H15" s="14"/>
      <c r="I15" s="14"/>
      <c r="J15" s="14"/>
      <c r="K15" s="13"/>
      <c r="L15" s="14">
        <f t="shared" ca="1" si="5"/>
        <v>56109.380352870183</v>
      </c>
      <c r="M15" s="16"/>
      <c r="N15" s="16"/>
      <c r="O15" s="11"/>
      <c r="P15" s="13"/>
      <c r="Q15" s="14">
        <f t="shared" ca="1" si="6"/>
        <v>56109.380352870183</v>
      </c>
      <c r="R15" s="16">
        <f t="shared" ca="1" si="4"/>
        <v>56109.380352870183</v>
      </c>
    </row>
    <row r="16" spans="1:20">
      <c r="A16" s="30" t="s">
        <v>89</v>
      </c>
      <c r="B16" s="21">
        <f ca="1">Q2</f>
        <v>30300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30300</v>
      </c>
      <c r="M16" s="19"/>
      <c r="N16" s="19"/>
      <c r="O16" s="21"/>
      <c r="P16" s="27"/>
      <c r="Q16" s="22">
        <f t="shared" ca="1" si="6"/>
        <v>30300</v>
      </c>
      <c r="R16" s="19">
        <f t="shared" ca="1" si="4"/>
        <v>30300</v>
      </c>
    </row>
    <row r="17" spans="1:18">
      <c r="A17" s="29" t="s">
        <v>88</v>
      </c>
      <c r="B17" s="9">
        <f ca="1">B16</f>
        <v>30300</v>
      </c>
      <c r="C17" s="9">
        <f ca="1">SUM(C$2:C$11)</f>
        <v>21297.448928247959</v>
      </c>
      <c r="D17" s="9">
        <f ca="1">SUM(D$2:D$11)</f>
        <v>1851.6654926034014</v>
      </c>
      <c r="E17" s="9">
        <f ca="1">$Q$5/parameters!$B$4</f>
        <v>73525.538427407882</v>
      </c>
      <c r="F17" s="9">
        <f t="shared" ref="F17:K17" ca="1" si="7">SUM(F$2:F$11)</f>
        <v>26942.686567164179</v>
      </c>
      <c r="G17" s="9">
        <f t="shared" ca="1" si="7"/>
        <v>57165.642633228839</v>
      </c>
      <c r="H17" s="9">
        <f t="shared" ca="1" si="7"/>
        <v>79979.759999999995</v>
      </c>
      <c r="I17" s="9">
        <f t="shared" ca="1" si="7"/>
        <v>24917.190429306371</v>
      </c>
      <c r="J17" s="9">
        <f t="shared" ca="1" si="7"/>
        <v>62435.109570693618</v>
      </c>
      <c r="K17" s="9">
        <f t="shared" ca="1" si="7"/>
        <v>90959.281308677106</v>
      </c>
      <c r="L17" s="17">
        <f t="shared" ca="1" si="5"/>
        <v>469374.32335732935</v>
      </c>
      <c r="M17" s="17"/>
      <c r="N17" s="17"/>
      <c r="O17" s="9"/>
      <c r="P17" s="14"/>
      <c r="Q17" s="11">
        <f t="shared" ca="1" si="6"/>
        <v>469374.32335732935</v>
      </c>
      <c r="R17" s="17">
        <f t="shared" ca="1" si="4"/>
        <v>469374.32335732935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0.92111508579255619</v>
      </c>
      <c r="J18" s="39">
        <f ca="1">I18</f>
        <v>0.92111508579255619</v>
      </c>
      <c r="K18" s="40">
        <f ca="1">1-(-K13)/K17</f>
        <v>0.88428471254630803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49485.78041662473</v>
      </c>
      <c r="D2" s="9">
        <f ca="1">Q4/parameters!$B$3</f>
        <v>6704.880748716917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56190.661165341648</v>
      </c>
      <c r="M2" s="17"/>
      <c r="N2" s="17">
        <f ca="1">Q2-(L2+O2+P2)</f>
        <v>0</v>
      </c>
      <c r="O2" s="11" cm="1">
        <f t="array" aca="1" ref="O2" ca="1">INDIRECT("'data'!$F$" &amp; $A$1)</f>
        <v>13676</v>
      </c>
      <c r="P2" s="13">
        <f ca="1">IF(-(L2-Q2+O2)&lt;0, -(L2-Q2+O2), 0)</f>
        <v>-13792.661165341648</v>
      </c>
      <c r="Q2" s="17" cm="1">
        <f t="array" aca="1" ref="Q2" ca="1">INDIRECT("'data'!$D$" &amp; $A$1)</f>
        <v>56074</v>
      </c>
      <c r="R2" s="17">
        <f ca="1">SUM(L2:P2)</f>
        <v>56074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41364.776119402981</v>
      </c>
      <c r="G3" s="14">
        <f ca="1">Q3-O3-P3-F3</f>
        <v>3255.2888805970142</v>
      </c>
      <c r="H3" s="14"/>
      <c r="I3" s="14"/>
      <c r="J3" s="14"/>
      <c r="K3" s="13"/>
      <c r="L3" s="16">
        <f t="shared" ca="1" si="0"/>
        <v>44620.064999999995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4553.9549999999999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49174.02</v>
      </c>
      <c r="R3" s="16">
        <f t="shared" ref="R3:R10" ca="1" si="2">SUM(L3:P3)</f>
        <v>49174.02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4042.48</v>
      </c>
      <c r="H4" s="14"/>
      <c r="I4" s="14"/>
      <c r="J4" s="14"/>
      <c r="K4" s="13"/>
      <c r="L4" s="16">
        <f t="shared" ca="1" si="0"/>
        <v>4042.48</v>
      </c>
      <c r="M4" s="16"/>
      <c r="N4" s="16">
        <f t="shared" ca="1" si="1"/>
        <v>0</v>
      </c>
      <c r="O4" s="11" cm="1">
        <f t="array" aca="1" ref="O4" ca="1">INDIRECT("'data'!$K$" &amp; $A$1)*parameters!$B$14</f>
        <v>2620.1600000000003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6662.64</v>
      </c>
      <c r="R4" s="16">
        <f t="shared" ca="1" si="2"/>
        <v>6662.64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10341.194029850747</v>
      </c>
      <c r="G5" s="14">
        <f ca="1">Q7/parameters!$B$7-(G3+G4)</f>
        <v>15230.966751586897</v>
      </c>
      <c r="H5" s="14"/>
      <c r="I5" s="14"/>
      <c r="J5" s="14"/>
      <c r="K5" s="13"/>
      <c r="L5" s="16">
        <f t="shared" ca="1" si="0"/>
        <v>25572.160781437644</v>
      </c>
      <c r="M5" s="16"/>
      <c r="N5" s="16"/>
      <c r="O5" s="11" cm="1">
        <f t="array" aca="1" ref="O5" ca="1">INDIRECT("'data'!$M$" &amp; $A$1)*parameters!$B$15</f>
        <v>5142.0599999999995</v>
      </c>
      <c r="P5" s="13" cm="1">
        <f t="array" aca="1" ref="P5" ca="1">-INDIRECT("'data'!$N$" &amp; $A$1)*parameters!$B$15</f>
        <v>-739.9</v>
      </c>
      <c r="Q5" s="16">
        <f ca="1">SUM(L5:P5)</f>
        <v>29974.320781437644</v>
      </c>
      <c r="R5" s="16">
        <f t="shared" ca="1" si="2"/>
        <v>29974.320781437644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48500.2</v>
      </c>
      <c r="I6" s="14"/>
      <c r="J6" s="14"/>
      <c r="K6" s="13"/>
      <c r="L6" s="16">
        <f t="shared" ca="1" si="0"/>
        <v>48500.2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48500.2</v>
      </c>
      <c r="R6" s="16">
        <f t="shared" ca="1" si="2"/>
        <v>48500.2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21560</v>
      </c>
      <c r="I7" s="14"/>
      <c r="J7" s="14"/>
      <c r="K7" s="13"/>
      <c r="L7" s="16">
        <f t="shared" ca="1" si="0"/>
        <v>21560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21560</v>
      </c>
      <c r="R7" s="16">
        <f t="shared" ca="1" si="2"/>
        <v>21560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24124.125766007917</v>
      </c>
      <c r="J8" s="14">
        <f ca="1">Q10/J18</f>
        <v>31168.454233992081</v>
      </c>
      <c r="K8" s="13"/>
      <c r="L8" s="16">
        <f t="shared" ca="1" si="0"/>
        <v>55292.58</v>
      </c>
      <c r="M8" s="16"/>
      <c r="N8" s="16">
        <f t="shared" ca="1" si="3"/>
        <v>0</v>
      </c>
      <c r="O8" s="11" cm="1">
        <f t="array" aca="1" ref="O8" ca="1">INDIRECT("'data'!$R$" &amp; $A$1)*parameters!$B$15</f>
        <v>14838.18</v>
      </c>
      <c r="P8" s="13" cm="1">
        <f t="array" aca="1" ref="P8" ca="1">-INDIRECT("'data'!$S$" &amp; $A$1)*parameters!$B$15</f>
        <v>-70.56</v>
      </c>
      <c r="Q8" s="16">
        <f ca="1">SUM(Q6:Q7)</f>
        <v>70060.2</v>
      </c>
      <c r="R8" s="16">
        <f t="shared" ca="1" si="2"/>
        <v>70060.200000000012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17747.8</v>
      </c>
      <c r="L9" s="16">
        <f t="shared" ca="1" si="0"/>
        <v>17747.8</v>
      </c>
      <c r="M9" s="16"/>
      <c r="N9" s="16">
        <f t="shared" ca="1" si="3"/>
        <v>0</v>
      </c>
      <c r="O9" s="11" cm="1">
        <f t="array" aca="1" ref="O9" ca="1">INDIRECT("'data'!$U$" &amp; $A$1)*parameters!$B$15</f>
        <v>4377.66</v>
      </c>
      <c r="P9" s="13" cm="1">
        <f t="array" aca="1" ref="P9" ca="1">-INDIRECT("'data'!$V$" &amp; $A$1)*parameters!$B$15</f>
        <v>-1666</v>
      </c>
      <c r="Q9" s="16" cm="1">
        <f t="array" aca="1" ref="Q9" ca="1">INDIRECT("'data'!$T$" &amp; $A$1)*parameters!$B$15</f>
        <v>20459.46</v>
      </c>
      <c r="R9" s="16">
        <f t="shared" ca="1" si="2"/>
        <v>20459.46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21077.993342816502</v>
      </c>
      <c r="L10" s="16">
        <f t="shared" ca="1" si="0"/>
        <v>21077.993342816502</v>
      </c>
      <c r="M10" s="16"/>
      <c r="N10" s="16">
        <f t="shared" ca="1" si="3"/>
        <v>0</v>
      </c>
      <c r="O10" s="11" cm="1">
        <f t="array" aca="1" ref="O10" ca="1">INDIRECT("'data'!$X$" &amp; $A$1)*parameters!$B$15</f>
        <v>9190.44</v>
      </c>
      <c r="P10" s="13" cm="1">
        <f t="array" aca="1" ref="P10" ca="1">-INDIRECT("'data'!$Y$" &amp; $A$1)*parameters!$B$15</f>
        <v>-3834.74</v>
      </c>
      <c r="Q10" s="16" cm="1">
        <f t="array" aca="1" ref="Q10" ca="1">INDIRECT("'data'!$W$" &amp; $A$1)*parameters!$B$15</f>
        <v>26433.693342816503</v>
      </c>
      <c r="R10" s="16">
        <f t="shared" ca="1" si="2"/>
        <v>26433.693342816507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40846.806274822193</v>
      </c>
      <c r="N11" s="19"/>
      <c r="O11" s="21" cm="1">
        <f t="array" aca="1" ref="O11" ca="1">INDIRECT("'data'!$Z$" &amp; $A$1)*parameters!$B$15</f>
        <v>2002.1399999999999</v>
      </c>
      <c r="P11" s="27" cm="1">
        <f t="array" aca="1" ref="P11" ca="1">-INDIRECT("'data'!$AA$" &amp; $A$1)*parameters!$B$15</f>
        <v>-8038.94</v>
      </c>
      <c r="Q11" s="16">
        <f ca="1">K9*parameters!$B$10+K10*parameters!$B$11</f>
        <v>34810.00627482219</v>
      </c>
      <c r="R11" s="16">
        <f t="shared" ref="R11:R17" ca="1" si="4">SUM(L11:P11)</f>
        <v>34810.00627482219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-311.7604166247329</v>
      </c>
      <c r="D12" s="9">
        <f ca="1">-(D17-Q4)</f>
        <v>-42.240748716916642</v>
      </c>
      <c r="E12" s="9">
        <f ca="1">-(E17-Q5)</f>
        <v>-3704.691332537237</v>
      </c>
      <c r="F12" s="9">
        <f ca="1">-(F17-Q6)</f>
        <v>-3205.7701492537308</v>
      </c>
      <c r="G12" s="9">
        <f ca="1">-(G17-Q7)</f>
        <v>-968.73563218391064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-8233.198279316528</v>
      </c>
      <c r="M12" s="17"/>
      <c r="N12" s="17"/>
      <c r="O12" s="10"/>
      <c r="P12" s="12"/>
      <c r="Q12" s="9">
        <f t="shared" ref="Q12:Q17" ca="1" si="6">SUM(L12:P12)</f>
        <v>-8233.198279316528</v>
      </c>
      <c r="R12" s="17">
        <f t="shared" ca="1" si="4"/>
        <v>-8233.198279316528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-3664.6657660079181</v>
      </c>
      <c r="J13" s="14">
        <f ca="1">-(J17-Q10)</f>
        <v>-4734.7608911755779</v>
      </c>
      <c r="K13" s="13">
        <f ca="1">-(K17-Q11)</f>
        <v>-4015.787067994308</v>
      </c>
      <c r="L13" s="14">
        <f t="shared" ca="1" si="5"/>
        <v>-12415.213725177804</v>
      </c>
      <c r="M13" s="16">
        <f ca="1">-E15</f>
        <v>-21263.798388797077</v>
      </c>
      <c r="N13" s="16"/>
      <c r="O13" s="11"/>
      <c r="P13" s="13"/>
      <c r="Q13" s="14">
        <f t="shared" ca="1" si="6"/>
        <v>-33679.012113974881</v>
      </c>
      <c r="R13" s="16">
        <f t="shared" ca="1" si="4"/>
        <v>-33679.012113974881</v>
      </c>
    </row>
    <row r="14" spans="1:20">
      <c r="A14" s="18" t="s">
        <v>78</v>
      </c>
      <c r="B14" s="11"/>
      <c r="C14" s="14"/>
      <c r="D14" s="14"/>
      <c r="E14" s="14">
        <f ca="1">-(I13+J13)-K13</f>
        <v>12415.213725177804</v>
      </c>
      <c r="F14" s="14"/>
      <c r="G14" s="14"/>
      <c r="H14" s="14"/>
      <c r="I14" s="14"/>
      <c r="J14" s="14"/>
      <c r="K14" s="13"/>
      <c r="L14" s="14">
        <f t="shared" ca="1" si="5"/>
        <v>12415.213725177804</v>
      </c>
      <c r="M14" s="16"/>
      <c r="N14" s="16"/>
      <c r="O14" s="11"/>
      <c r="P14" s="13"/>
      <c r="Q14" s="14">
        <f t="shared" ca="1" si="6"/>
        <v>12415.213725177804</v>
      </c>
      <c r="R14" s="16">
        <f t="shared" ca="1" si="4"/>
        <v>12415.213725177804</v>
      </c>
    </row>
    <row r="15" spans="1:20">
      <c r="A15" s="18" t="s">
        <v>79</v>
      </c>
      <c r="B15" s="11"/>
      <c r="C15" s="14"/>
      <c r="D15" s="14"/>
      <c r="E15" s="14">
        <f ca="1">E17-E14</f>
        <v>21263.798388797077</v>
      </c>
      <c r="F15" s="14"/>
      <c r="G15" s="14"/>
      <c r="H15" s="14"/>
      <c r="I15" s="14"/>
      <c r="J15" s="14"/>
      <c r="K15" s="13"/>
      <c r="L15" s="14">
        <f t="shared" ca="1" si="5"/>
        <v>21263.798388797077</v>
      </c>
      <c r="M15" s="16"/>
      <c r="N15" s="16"/>
      <c r="O15" s="11"/>
      <c r="P15" s="13"/>
      <c r="Q15" s="14">
        <f t="shared" ca="1" si="6"/>
        <v>21263.798388797077</v>
      </c>
      <c r="R15" s="16">
        <f t="shared" ca="1" si="4"/>
        <v>21263.798388797077</v>
      </c>
    </row>
    <row r="16" spans="1:20">
      <c r="A16" s="30" t="s">
        <v>89</v>
      </c>
      <c r="B16" s="21">
        <f ca="1">Q2</f>
        <v>56074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56074</v>
      </c>
      <c r="M16" s="19"/>
      <c r="N16" s="19"/>
      <c r="O16" s="21"/>
      <c r="P16" s="27"/>
      <c r="Q16" s="22">
        <f t="shared" ca="1" si="6"/>
        <v>56074</v>
      </c>
      <c r="R16" s="19">
        <f t="shared" ca="1" si="4"/>
        <v>56074</v>
      </c>
    </row>
    <row r="17" spans="1:18">
      <c r="A17" s="29" t="s">
        <v>88</v>
      </c>
      <c r="B17" s="9">
        <f ca="1">B16</f>
        <v>56074</v>
      </c>
      <c r="C17" s="9">
        <f ca="1">SUM(C$2:C$11)</f>
        <v>49485.78041662473</v>
      </c>
      <c r="D17" s="9">
        <f ca="1">SUM(D$2:D$11)</f>
        <v>6704.880748716917</v>
      </c>
      <c r="E17" s="9">
        <f ca="1">$Q$5/parameters!$B$4</f>
        <v>33679.012113974881</v>
      </c>
      <c r="F17" s="9">
        <f t="shared" ref="F17:K17" ca="1" si="7">SUM(F$2:F$11)</f>
        <v>51705.970149253728</v>
      </c>
      <c r="G17" s="9">
        <f t="shared" ca="1" si="7"/>
        <v>22528.735632183911</v>
      </c>
      <c r="H17" s="9">
        <f t="shared" ca="1" si="7"/>
        <v>70060.2</v>
      </c>
      <c r="I17" s="9">
        <f t="shared" ca="1" si="7"/>
        <v>24124.125766007917</v>
      </c>
      <c r="J17" s="9">
        <f t="shared" ca="1" si="7"/>
        <v>31168.454233992081</v>
      </c>
      <c r="K17" s="9">
        <f t="shared" ca="1" si="7"/>
        <v>38825.793342816498</v>
      </c>
      <c r="L17" s="17">
        <f t="shared" ca="1" si="5"/>
        <v>384356.95240357064</v>
      </c>
      <c r="M17" s="17"/>
      <c r="N17" s="17"/>
      <c r="O17" s="9"/>
      <c r="P17" s="14"/>
      <c r="Q17" s="11">
        <f t="shared" ca="1" si="6"/>
        <v>384356.95240357064</v>
      </c>
      <c r="R17" s="17">
        <f t="shared" ca="1" si="4"/>
        <v>384356.95240357064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0.84809125099274629</v>
      </c>
      <c r="J18" s="39">
        <f ca="1">I18</f>
        <v>0.84809125099274629</v>
      </c>
      <c r="K18" s="40">
        <f ca="1">1-(-K13)/K17</f>
        <v>0.89656909177524113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44764.108885981681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44764.108885981681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-44764.108885981681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39848.59701492537</v>
      </c>
      <c r="G3" s="14">
        <f ca="1">Q3-O3-P3-F3</f>
        <v>4865.0229850746327</v>
      </c>
      <c r="H3" s="14"/>
      <c r="I3" s="14"/>
      <c r="J3" s="14"/>
      <c r="K3" s="13"/>
      <c r="L3" s="16">
        <f t="shared" ca="1" si="0"/>
        <v>44713.62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-231.52499999999998</v>
      </c>
      <c r="Q3" s="16" cm="1">
        <f t="array" aca="1" ref="Q3" ca="1">INDIRECT("'data'!$G$" &amp; $A$1)*parameters!$B$13</f>
        <v>44482.095000000001</v>
      </c>
      <c r="R3" s="16">
        <f t="shared" ref="R3:R10" ca="1" si="2">SUM(L3:P3)</f>
        <v>44482.095000000001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383.64000000000004</v>
      </c>
      <c r="H4" s="14"/>
      <c r="I4" s="14"/>
      <c r="J4" s="14"/>
      <c r="K4" s="13"/>
      <c r="L4" s="16">
        <f t="shared" ca="1" si="0"/>
        <v>383.64000000000004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-383.64000000000004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9962.1492537313443</v>
      </c>
      <c r="G5" s="14">
        <f ca="1">Q7/parameters!$B$7-(G3+G4)</f>
        <v>18666.613921926411</v>
      </c>
      <c r="H5" s="14"/>
      <c r="I5" s="14"/>
      <c r="J5" s="14"/>
      <c r="K5" s="13"/>
      <c r="L5" s="16">
        <f t="shared" ca="1" si="0"/>
        <v>28628.763175657754</v>
      </c>
      <c r="M5" s="16"/>
      <c r="N5" s="16"/>
      <c r="O5" s="11" cm="1">
        <f t="array" aca="1" ref="O5" ca="1">INDIRECT("'data'!$M$" &amp; $A$1)*parameters!$B$15</f>
        <v>608.58000000000004</v>
      </c>
      <c r="P5" s="13" cm="1">
        <f t="array" aca="1" ref="P5" ca="1">-INDIRECT("'data'!$N$" &amp; $A$1)*parameters!$B$15</f>
        <v>-6051.5</v>
      </c>
      <c r="Q5" s="16">
        <f ca="1">SUM(L5:P5)</f>
        <v>23185.843175657756</v>
      </c>
      <c r="R5" s="16">
        <f t="shared" ca="1" si="2"/>
        <v>23185.843175657756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46722.479999999996</v>
      </c>
      <c r="I6" s="14"/>
      <c r="J6" s="14"/>
      <c r="K6" s="13"/>
      <c r="L6" s="16">
        <f t="shared" ca="1" si="0"/>
        <v>46722.479999999996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46722.479999999996</v>
      </c>
      <c r="R6" s="16">
        <f t="shared" ca="1" si="2"/>
        <v>46722.479999999996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22886.92</v>
      </c>
      <c r="I7" s="14"/>
      <c r="J7" s="14"/>
      <c r="K7" s="13"/>
      <c r="L7" s="16">
        <f t="shared" ca="1" si="0"/>
        <v>22886.92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22886.92</v>
      </c>
      <c r="R7" s="16">
        <f t="shared" ca="1" si="2"/>
        <v>22886.92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22556.565609075747</v>
      </c>
      <c r="J8" s="14">
        <f ca="1">Q10/J18</f>
        <v>48462.074390924252</v>
      </c>
      <c r="K8" s="13"/>
      <c r="L8" s="16">
        <f t="shared" ca="1" si="0"/>
        <v>71018.64</v>
      </c>
      <c r="M8" s="16"/>
      <c r="N8" s="16">
        <f t="shared" ca="1" si="3"/>
        <v>0</v>
      </c>
      <c r="O8" s="11" cm="1">
        <f t="array" aca="1" ref="O8" ca="1">INDIRECT("'data'!$R$" &amp; $A$1)*parameters!$B$15</f>
        <v>893.76</v>
      </c>
      <c r="P8" s="13" cm="1">
        <f t="array" aca="1" ref="P8" ca="1">-INDIRECT("'data'!$S$" &amp; $A$1)*parameters!$B$15</f>
        <v>-2303</v>
      </c>
      <c r="Q8" s="16">
        <f ca="1">SUM(Q6:Q7)</f>
        <v>69609.399999999994</v>
      </c>
      <c r="R8" s="16">
        <f t="shared" ca="1" si="2"/>
        <v>69609.399999999994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22940.82</v>
      </c>
      <c r="L9" s="16">
        <f t="shared" ca="1" si="0"/>
        <v>22940.82</v>
      </c>
      <c r="M9" s="16"/>
      <c r="N9" s="16">
        <f t="shared" ca="1" si="3"/>
        <v>0</v>
      </c>
      <c r="O9" s="11" cm="1">
        <f t="array" aca="1" ref="O9" ca="1">INDIRECT("'data'!$U$" &amp; $A$1)*parameters!$B$15</f>
        <v>3418.24</v>
      </c>
      <c r="P9" s="13" cm="1">
        <f t="array" aca="1" ref="P9" ca="1">-INDIRECT("'data'!$V$" &amp; $A$1)*parameters!$B$15</f>
        <v>-5125.3999999999996</v>
      </c>
      <c r="Q9" s="16" cm="1">
        <f t="array" aca="1" ref="Q9" ca="1">INDIRECT("'data'!$T$" &amp; $A$1)*parameters!$B$15</f>
        <v>21233.66</v>
      </c>
      <c r="R9" s="16">
        <f t="shared" ca="1" si="2"/>
        <v>21233.659999999996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33223.833143669988</v>
      </c>
      <c r="L10" s="16">
        <f t="shared" ca="1" si="0"/>
        <v>33223.833143669988</v>
      </c>
      <c r="M10" s="16"/>
      <c r="N10" s="16">
        <f t="shared" ca="1" si="3"/>
        <v>0</v>
      </c>
      <c r="O10" s="11" cm="1">
        <f t="array" aca="1" ref="O10" ca="1">INDIRECT("'data'!$X$" &amp; $A$1)*parameters!$B$15</f>
        <v>23138.78</v>
      </c>
      <c r="P10" s="13" cm="1">
        <f t="array" aca="1" ref="P10" ca="1">-INDIRECT("'data'!$Y$" &amp; $A$1)*parameters!$B$15</f>
        <v>-10742.76</v>
      </c>
      <c r="Q10" s="16" cm="1">
        <f t="array" aca="1" ref="Q10" ca="1">INDIRECT("'data'!$W$" &amp; $A$1)*parameters!$B$15</f>
        <v>45619.853143669985</v>
      </c>
      <c r="R10" s="16">
        <f t="shared" ca="1" si="2"/>
        <v>45619.853143669985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35827.887303556185</v>
      </c>
      <c r="N11" s="19"/>
      <c r="O11" s="21" cm="1">
        <f t="array" aca="1" ref="O11" ca="1">INDIRECT("'data'!$Z$" &amp; $A$1)*parameters!$B$15</f>
        <v>21019.040000000001</v>
      </c>
      <c r="P11" s="27" cm="1">
        <f t="array" aca="1" ref="P11" ca="1">-INDIRECT("'data'!$AA$" &amp; $A$1)*parameters!$B$15</f>
        <v>-6710.0599999999995</v>
      </c>
      <c r="Q11" s="16">
        <f ca="1">K9*parameters!$B$10+K10*parameters!$B$11</f>
        <v>50136.867303556188</v>
      </c>
      <c r="R11" s="16">
        <f t="shared" ref="R11:R17" ca="1" si="4">SUM(L11:P11)</f>
        <v>50136.867303556188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-282.01388598167978</v>
      </c>
      <c r="D12" s="9">
        <f ca="1">-(D17-Q4)</f>
        <v>0</v>
      </c>
      <c r="E12" s="9">
        <f ca="1">-(E17-Q5)</f>
        <v>-2865.6660104745533</v>
      </c>
      <c r="F12" s="9">
        <f ca="1">-(F17-Q6)</f>
        <v>-3088.2662686567201</v>
      </c>
      <c r="G12" s="9">
        <f ca="1">-(G17-Q7)</f>
        <v>-1028.3569070010453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-7264.3030721139985</v>
      </c>
      <c r="M12" s="17"/>
      <c r="N12" s="17"/>
      <c r="O12" s="10"/>
      <c r="P12" s="12"/>
      <c r="Q12" s="9">
        <f t="shared" ref="Q12:Q17" ca="1" si="6">SUM(L12:P12)</f>
        <v>-7264.3030721139985</v>
      </c>
      <c r="R12" s="17">
        <f t="shared" ca="1" si="4"/>
        <v>-7264.3030721139985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-1322.9056090757476</v>
      </c>
      <c r="J13" s="14">
        <f ca="1">-(J17-Q10)</f>
        <v>-2842.2212472542669</v>
      </c>
      <c r="K13" s="13">
        <f ca="1">-(K17-Q11)</f>
        <v>-6027.7858401138001</v>
      </c>
      <c r="L13" s="14">
        <f t="shared" ca="1" si="5"/>
        <v>-10192.912696443815</v>
      </c>
      <c r="M13" s="16">
        <f ca="1">-E15</f>
        <v>-15858.596489688494</v>
      </c>
      <c r="N13" s="16"/>
      <c r="O13" s="11"/>
      <c r="P13" s="13"/>
      <c r="Q13" s="14">
        <f t="shared" ca="1" si="6"/>
        <v>-26051.509186132309</v>
      </c>
      <c r="R13" s="16">
        <f t="shared" ca="1" si="4"/>
        <v>-26051.509186132309</v>
      </c>
    </row>
    <row r="14" spans="1:20">
      <c r="A14" s="18" t="s">
        <v>78</v>
      </c>
      <c r="B14" s="11"/>
      <c r="C14" s="14"/>
      <c r="D14" s="14"/>
      <c r="E14" s="14">
        <f ca="1">-(I13+J13)-K13</f>
        <v>10192.912696443815</v>
      </c>
      <c r="F14" s="14"/>
      <c r="G14" s="14"/>
      <c r="H14" s="14"/>
      <c r="I14" s="14"/>
      <c r="J14" s="14"/>
      <c r="K14" s="13"/>
      <c r="L14" s="14">
        <f t="shared" ca="1" si="5"/>
        <v>10192.912696443815</v>
      </c>
      <c r="M14" s="16"/>
      <c r="N14" s="16"/>
      <c r="O14" s="11"/>
      <c r="P14" s="13"/>
      <c r="Q14" s="14">
        <f t="shared" ca="1" si="6"/>
        <v>10192.912696443815</v>
      </c>
      <c r="R14" s="16">
        <f t="shared" ca="1" si="4"/>
        <v>10192.912696443815</v>
      </c>
    </row>
    <row r="15" spans="1:20">
      <c r="A15" s="18" t="s">
        <v>79</v>
      </c>
      <c r="B15" s="11"/>
      <c r="C15" s="14"/>
      <c r="D15" s="14"/>
      <c r="E15" s="14">
        <f ca="1">E17-E14</f>
        <v>15858.596489688494</v>
      </c>
      <c r="F15" s="14"/>
      <c r="G15" s="14"/>
      <c r="H15" s="14"/>
      <c r="I15" s="14"/>
      <c r="J15" s="14"/>
      <c r="K15" s="13"/>
      <c r="L15" s="14">
        <f t="shared" ca="1" si="5"/>
        <v>15858.596489688494</v>
      </c>
      <c r="M15" s="16"/>
      <c r="N15" s="16"/>
      <c r="O15" s="11"/>
      <c r="P15" s="13"/>
      <c r="Q15" s="14">
        <f t="shared" ca="1" si="6"/>
        <v>15858.596489688494</v>
      </c>
      <c r="R15" s="16">
        <f t="shared" ca="1" si="4"/>
        <v>15858.596489688494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44764.108885981681</v>
      </c>
      <c r="D17" s="9">
        <f ca="1">SUM(D$2:D$11)</f>
        <v>0</v>
      </c>
      <c r="E17" s="9">
        <f ca="1">$Q$5/parameters!$B$4</f>
        <v>26051.509186132309</v>
      </c>
      <c r="F17" s="9">
        <f t="shared" ref="F17:K17" ca="1" si="7">SUM(F$2:F$11)</f>
        <v>49810.746268656716</v>
      </c>
      <c r="G17" s="9">
        <f t="shared" ca="1" si="7"/>
        <v>23915.276907001044</v>
      </c>
      <c r="H17" s="9">
        <f t="shared" ca="1" si="7"/>
        <v>69609.399999999994</v>
      </c>
      <c r="I17" s="9">
        <f t="shared" ca="1" si="7"/>
        <v>22556.565609075747</v>
      </c>
      <c r="J17" s="9">
        <f t="shared" ca="1" si="7"/>
        <v>48462.074390924252</v>
      </c>
      <c r="K17" s="9">
        <f t="shared" ca="1" si="7"/>
        <v>56164.653143669988</v>
      </c>
      <c r="L17" s="17">
        <f t="shared" ca="1" si="5"/>
        <v>341334.33439144172</v>
      </c>
      <c r="M17" s="17"/>
      <c r="N17" s="17"/>
      <c r="O17" s="9"/>
      <c r="P17" s="14"/>
      <c r="Q17" s="11">
        <f t="shared" ca="1" si="6"/>
        <v>341334.33439144172</v>
      </c>
      <c r="R17" s="17">
        <f t="shared" ca="1" si="4"/>
        <v>341334.33439144172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0.94135163872005978</v>
      </c>
      <c r="J18" s="39">
        <f ca="1">I18</f>
        <v>0.94135163872005978</v>
      </c>
      <c r="K18" s="40">
        <f ca="1">1-(-K13)/K17</f>
        <v>0.89267652335189118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26452.772466539194</v>
      </c>
      <c r="D2" s="9">
        <f ca="1">Q4/parameters!$B$3</f>
        <v>555.49964778102037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27008.272114320214</v>
      </c>
      <c r="M2" s="17"/>
      <c r="N2" s="16">
        <v>0</v>
      </c>
      <c r="O2" s="11" cm="1">
        <f t="array" aca="1" ref="O2" ca="1">INDIRECT("'data'!$F$" &amp; $A$1)</f>
        <v>45.5</v>
      </c>
      <c r="P2" s="13">
        <f ca="1">IF(-(L2-Q2+O2)&lt;0, -(L2-Q2+O2), 0)</f>
        <v>-27053.772114320214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25317.014925373136</v>
      </c>
      <c r="G3" s="14">
        <f ca="1">Q3-O3-P3-F3</f>
        <v>1159.0500746268626</v>
      </c>
      <c r="H3" s="14"/>
      <c r="I3" s="14"/>
      <c r="J3" s="14"/>
      <c r="K3" s="13"/>
      <c r="L3" s="16">
        <f t="shared" ca="1" si="0"/>
        <v>26476.064999999999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223.96499999999997</v>
      </c>
      <c r="P3" s="13" cm="1">
        <f t="array" aca="1" ref="P3" ca="1">-INDIRECT("'data'!$I$" &amp; $A$1)*parameters!$B$13</f>
        <v>-413.90999999999997</v>
      </c>
      <c r="Q3" s="16" cm="1">
        <f t="array" aca="1" ref="Q3" ca="1">INDIRECT("'data'!$G$" &amp; $A$1)*parameters!$B$13</f>
        <v>26286.12</v>
      </c>
      <c r="R3" s="16">
        <f t="shared" ref="R3:R10" ca="1" si="2">SUM(L3:P3)</f>
        <v>26286.12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1426.92</v>
      </c>
      <c r="H4" s="14"/>
      <c r="I4" s="14"/>
      <c r="J4" s="14"/>
      <c r="K4" s="13"/>
      <c r="L4" s="16">
        <f t="shared" ca="1" si="0"/>
        <v>1426.92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-874.92000000000007</v>
      </c>
      <c r="Q4" s="16" cm="1">
        <f t="array" aca="1" ref="Q4" ca="1">INDIRECT("'data'!$J$" &amp; $A$1)*parameters!$B$14</f>
        <v>552</v>
      </c>
      <c r="R4" s="16">
        <f t="shared" ca="1" si="2"/>
        <v>552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6329.253731343284</v>
      </c>
      <c r="G5" s="14">
        <f ca="1">Q7/parameters!$B$7-(G3+G4)</f>
        <v>10733.632851182962</v>
      </c>
      <c r="H5" s="14"/>
      <c r="I5" s="14"/>
      <c r="J5" s="14"/>
      <c r="K5" s="13"/>
      <c r="L5" s="16">
        <f t="shared" ca="1" si="0"/>
        <v>17062.886582526247</v>
      </c>
      <c r="M5" s="16"/>
      <c r="N5" s="16"/>
      <c r="O5" s="11" cm="1">
        <f t="array" aca="1" ref="O5" ca="1">INDIRECT("'data'!$M$" &amp; $A$1)*parameters!$B$15</f>
        <v>8010.5199999999995</v>
      </c>
      <c r="P5" s="13" cm="1">
        <f t="array" aca="1" ref="P5" ca="1">-INDIRECT("'data'!$N$" &amp; $A$1)*parameters!$B$15</f>
        <v>-4373.74</v>
      </c>
      <c r="Q5" s="16">
        <f ca="1">SUM(L5:P5)</f>
        <v>20699.666582526246</v>
      </c>
      <c r="R5" s="16">
        <f t="shared" ca="1" si="2"/>
        <v>20699.666582526246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29684.2</v>
      </c>
      <c r="I6" s="14"/>
      <c r="J6" s="14"/>
      <c r="K6" s="13"/>
      <c r="L6" s="16">
        <f t="shared" ca="1" si="0"/>
        <v>29684.2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29684.2</v>
      </c>
      <c r="R6" s="16">
        <f t="shared" ca="1" si="2"/>
        <v>29684.2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12746.86</v>
      </c>
      <c r="I7" s="14"/>
      <c r="J7" s="14"/>
      <c r="K7" s="13"/>
      <c r="L7" s="16">
        <f t="shared" ca="1" si="0"/>
        <v>12746.86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12746.86</v>
      </c>
      <c r="R7" s="16">
        <f t="shared" ca="1" si="2"/>
        <v>12746.86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15842.455491550088</v>
      </c>
      <c r="J8" s="14">
        <f ca="1">Q10/J18</f>
        <v>26942.384508449904</v>
      </c>
      <c r="K8" s="13"/>
      <c r="L8" s="16">
        <f t="shared" ca="1" si="0"/>
        <v>42784.84</v>
      </c>
      <c r="M8" s="16"/>
      <c r="N8" s="16">
        <f t="shared" ca="1" si="3"/>
        <v>0</v>
      </c>
      <c r="O8" s="11" cm="1">
        <f t="array" aca="1" ref="O8" ca="1">INDIRECT("'data'!$R$" &amp; $A$1)*parameters!$B$15</f>
        <v>1853.18</v>
      </c>
      <c r="P8" s="13" cm="1">
        <f t="array" aca="1" ref="P8" ca="1">-INDIRECT("'data'!$S$" &amp; $A$1)*parameters!$B$15</f>
        <v>-2206.96</v>
      </c>
      <c r="Q8" s="16">
        <f ca="1">SUM(Q6:Q7)</f>
        <v>42431.06</v>
      </c>
      <c r="R8" s="16">
        <f t="shared" ca="1" si="2"/>
        <v>42431.06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14178.64</v>
      </c>
      <c r="L9" s="16">
        <f t="shared" ca="1" si="0"/>
        <v>14178.64</v>
      </c>
      <c r="M9" s="16"/>
      <c r="N9" s="16">
        <f t="shared" ca="1" si="3"/>
        <v>0</v>
      </c>
      <c r="O9" s="11" cm="1">
        <f t="array" aca="1" ref="O9" ca="1">INDIRECT("'data'!$U$" &amp; $A$1)*parameters!$B$15</f>
        <v>6929.58</v>
      </c>
      <c r="P9" s="13" cm="1">
        <f t="array" aca="1" ref="P9" ca="1">-INDIRECT("'data'!$V$" &amp; $A$1)*parameters!$B$15</f>
        <v>-7304.92</v>
      </c>
      <c r="Q9" s="16" cm="1">
        <f t="array" aca="1" ref="Q9" ca="1">INDIRECT("'data'!$T$" &amp; $A$1)*parameters!$B$15</f>
        <v>13803.3</v>
      </c>
      <c r="R9" s="16">
        <f t="shared" ca="1" si="2"/>
        <v>13803.300000000001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23729.305974395447</v>
      </c>
      <c r="L10" s="16">
        <f t="shared" ca="1" si="0"/>
        <v>23729.305974395447</v>
      </c>
      <c r="M10" s="16"/>
      <c r="N10" s="16">
        <f t="shared" ca="1" si="3"/>
        <v>0</v>
      </c>
      <c r="O10" s="11" cm="1">
        <f t="array" aca="1" ref="O10" ca="1">INDIRECT("'data'!$X$" &amp; $A$1)*parameters!$B$15</f>
        <v>14401.1</v>
      </c>
      <c r="P10" s="13" cm="1">
        <f t="array" aca="1" ref="P10" ca="1">-INDIRECT("'data'!$Y$" &amp; $A$1)*parameters!$B$15</f>
        <v>-14655.9</v>
      </c>
      <c r="Q10" s="16" cm="1">
        <f t="array" aca="1" ref="Q10" ca="1">INDIRECT("'data'!$W$" &amp; $A$1)*parameters!$B$15</f>
        <v>23474.505974395448</v>
      </c>
      <c r="R10" s="16">
        <f t="shared" ca="1" si="2"/>
        <v>23474.505974395448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23231.484737980078</v>
      </c>
      <c r="N11" s="19"/>
      <c r="O11" s="21" cm="1">
        <f t="array" aca="1" ref="O11" ca="1">INDIRECT("'data'!$Z$" &amp; $A$1)*parameters!$B$15</f>
        <v>35035</v>
      </c>
      <c r="P11" s="27" cm="1">
        <f t="array" aca="1" ref="P11" ca="1">-INDIRECT("'data'!$AA$" &amp; $A$1)*parameters!$B$15</f>
        <v>-24531.360000000001</v>
      </c>
      <c r="Q11" s="16">
        <f ca="1">K9*parameters!$B$10+K10*parameters!$B$11</f>
        <v>33735.124737980077</v>
      </c>
      <c r="R11" s="16">
        <f t="shared" ref="R11:R17" ca="1" si="4">SUM(L11:P11)</f>
        <v>33735.124737980077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-166.6524665391953</v>
      </c>
      <c r="D12" s="9">
        <f ca="1">-(D17-Q4)</f>
        <v>-3.4996477810203714</v>
      </c>
      <c r="E12" s="9">
        <f ca="1">-(E17-Q5)</f>
        <v>-2558.3857573908826</v>
      </c>
      <c r="F12" s="9">
        <f ca="1">-(F17-Q6)</f>
        <v>-1962.0686567164194</v>
      </c>
      <c r="G12" s="9">
        <f ca="1">-(G17-Q7)</f>
        <v>-572.74292580982365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-5263.349454237341</v>
      </c>
      <c r="M12" s="17"/>
      <c r="N12" s="17"/>
      <c r="O12" s="10"/>
      <c r="P12" s="12"/>
      <c r="Q12" s="9">
        <f t="shared" ref="Q12:Q17" ca="1" si="6">SUM(L12:P12)</f>
        <v>-5263.349454237341</v>
      </c>
      <c r="R12" s="17">
        <f t="shared" ca="1" si="4"/>
        <v>-5263.349454237341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-2039.1554915500892</v>
      </c>
      <c r="J13" s="14">
        <f ca="1">-(J17-Q10)</f>
        <v>-3467.8785340544564</v>
      </c>
      <c r="K13" s="13">
        <f ca="1">-(K17-Q11)</f>
        <v>-4172.8212364153733</v>
      </c>
      <c r="L13" s="14">
        <f t="shared" ca="1" si="5"/>
        <v>-9679.8552620199189</v>
      </c>
      <c r="M13" s="16">
        <f ca="1">-E15</f>
        <v>-13578.19707789721</v>
      </c>
      <c r="N13" s="16"/>
      <c r="O13" s="11"/>
      <c r="P13" s="13"/>
      <c r="Q13" s="14">
        <f t="shared" ca="1" si="6"/>
        <v>-23258.052339917129</v>
      </c>
      <c r="R13" s="16">
        <f t="shared" ca="1" si="4"/>
        <v>-23258.052339917129</v>
      </c>
    </row>
    <row r="14" spans="1:20">
      <c r="A14" s="18" t="s">
        <v>78</v>
      </c>
      <c r="B14" s="11"/>
      <c r="C14" s="14"/>
      <c r="D14" s="14"/>
      <c r="E14" s="14">
        <f ca="1">-(I13+J13)-K13</f>
        <v>9679.8552620199189</v>
      </c>
      <c r="F14" s="14"/>
      <c r="G14" s="14"/>
      <c r="H14" s="14"/>
      <c r="I14" s="14"/>
      <c r="J14" s="14"/>
      <c r="K14" s="13"/>
      <c r="L14" s="14">
        <f t="shared" ca="1" si="5"/>
        <v>9679.8552620199189</v>
      </c>
      <c r="M14" s="16"/>
      <c r="N14" s="16"/>
      <c r="O14" s="11"/>
      <c r="P14" s="13"/>
      <c r="Q14" s="14">
        <f t="shared" ca="1" si="6"/>
        <v>9679.8552620199189</v>
      </c>
      <c r="R14" s="16">
        <f t="shared" ca="1" si="4"/>
        <v>9679.8552620199189</v>
      </c>
    </row>
    <row r="15" spans="1:20">
      <c r="A15" s="18" t="s">
        <v>79</v>
      </c>
      <c r="B15" s="11"/>
      <c r="C15" s="14"/>
      <c r="D15" s="14"/>
      <c r="E15" s="14">
        <f ca="1">E17-E14</f>
        <v>13578.19707789721</v>
      </c>
      <c r="F15" s="14"/>
      <c r="G15" s="14"/>
      <c r="H15" s="14"/>
      <c r="I15" s="14"/>
      <c r="J15" s="14"/>
      <c r="K15" s="13"/>
      <c r="L15" s="14">
        <f t="shared" ca="1" si="5"/>
        <v>13578.19707789721</v>
      </c>
      <c r="M15" s="16"/>
      <c r="N15" s="16"/>
      <c r="O15" s="11"/>
      <c r="P15" s="13"/>
      <c r="Q15" s="14">
        <f t="shared" ca="1" si="6"/>
        <v>13578.19707789721</v>
      </c>
      <c r="R15" s="16">
        <f t="shared" ca="1" si="4"/>
        <v>13578.19707789721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26452.772466539194</v>
      </c>
      <c r="D17" s="9">
        <f ca="1">SUM(D$2:D$11)</f>
        <v>555.49964778102037</v>
      </c>
      <c r="E17" s="9">
        <f ca="1">$Q$5/parameters!$B$4</f>
        <v>23258.052339917129</v>
      </c>
      <c r="F17" s="9">
        <f t="shared" ref="F17:K17" ca="1" si="7">SUM(F$2:F$11)</f>
        <v>31646.26865671642</v>
      </c>
      <c r="G17" s="9">
        <f t="shared" ca="1" si="7"/>
        <v>13319.602925809824</v>
      </c>
      <c r="H17" s="9">
        <f t="shared" ca="1" si="7"/>
        <v>42431.06</v>
      </c>
      <c r="I17" s="9">
        <f t="shared" ca="1" si="7"/>
        <v>15842.455491550088</v>
      </c>
      <c r="J17" s="9">
        <f t="shared" ca="1" si="7"/>
        <v>26942.384508449904</v>
      </c>
      <c r="K17" s="9">
        <f t="shared" ca="1" si="7"/>
        <v>37907.94597439545</v>
      </c>
      <c r="L17" s="17">
        <f t="shared" ca="1" si="5"/>
        <v>218356.04201115906</v>
      </c>
      <c r="M17" s="17"/>
      <c r="N17" s="17"/>
      <c r="O17" s="9"/>
      <c r="P17" s="14"/>
      <c r="Q17" s="11">
        <f t="shared" ca="1" si="6"/>
        <v>218356.04201115906</v>
      </c>
      <c r="R17" s="17">
        <f t="shared" ca="1" si="4"/>
        <v>218356.04201115906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0.87128538927329058</v>
      </c>
      <c r="J18" s="39">
        <f ca="1">I18</f>
        <v>0.87128538927329058</v>
      </c>
      <c r="K18" s="40">
        <f ca="1">1-(-K13)/K17</f>
        <v>0.88992225431486416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10070.046291637314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10070.046291637314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-4020.0462916373144</v>
      </c>
      <c r="Q2" s="17" cm="1">
        <f t="array" aca="1" ref="Q2" ca="1">INDIRECT("'data'!$D$" &amp; $A$1)</f>
        <v>6050</v>
      </c>
      <c r="R2" s="17">
        <f ca="1">SUM(L2:P2)</f>
        <v>6050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9662.9253731343306</v>
      </c>
      <c r="G3" s="14">
        <f ca="1">Q3-O3-P3-F3</f>
        <v>1295.2946268656688</v>
      </c>
      <c r="H3" s="14"/>
      <c r="I3" s="14"/>
      <c r="J3" s="14"/>
      <c r="K3" s="13"/>
      <c r="L3" s="16">
        <f t="shared" ca="1" si="0"/>
        <v>10958.22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-956.33999999999992</v>
      </c>
      <c r="Q3" s="16" cm="1">
        <f t="array" aca="1" ref="Q3" ca="1">INDIRECT("'data'!$G$" &amp; $A$1)*parameters!$B$13</f>
        <v>10006.605</v>
      </c>
      <c r="R3" s="16">
        <f t="shared" ref="R3:R10" ca="1" si="2">SUM(L3:P3)</f>
        <v>10006.605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230</v>
      </c>
      <c r="H4" s="14"/>
      <c r="I4" s="14"/>
      <c r="J4" s="14"/>
      <c r="K4" s="13"/>
      <c r="L4" s="16">
        <f t="shared" ca="1" si="0"/>
        <v>230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2415.7313432835826</v>
      </c>
      <c r="G5" s="14">
        <f ca="1">Q7/parameters!$B$7-(G3+G4)</f>
        <v>25061.68551942482</v>
      </c>
      <c r="H5" s="14"/>
      <c r="I5" s="14"/>
      <c r="J5" s="14"/>
      <c r="K5" s="13"/>
      <c r="L5" s="16">
        <f t="shared" ca="1" si="0"/>
        <v>27477.416862708404</v>
      </c>
      <c r="M5" s="16"/>
      <c r="N5" s="16"/>
      <c r="O5" s="11" cm="1">
        <f t="array" aca="1" ref="O5" ca="1">INDIRECT("'data'!$M$" &amp; $A$1)*parameters!$B$15</f>
        <v>168.56</v>
      </c>
      <c r="P5" s="13" cm="1">
        <f t="array" aca="1" ref="P5" ca="1">-INDIRECT("'data'!$N$" &amp; $A$1)*parameters!$B$15</f>
        <v>-20560.399999999998</v>
      </c>
      <c r="Q5" s="16">
        <f ca="1">SUM(L5:P5)</f>
        <v>7085.5768627084071</v>
      </c>
      <c r="R5" s="16">
        <f t="shared" ca="1" si="2"/>
        <v>7085.5768627084071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11329.78</v>
      </c>
      <c r="I6" s="14"/>
      <c r="J6" s="14"/>
      <c r="K6" s="13"/>
      <c r="L6" s="16">
        <f t="shared" ca="1" si="0"/>
        <v>11329.78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11329.78</v>
      </c>
      <c r="R6" s="16">
        <f t="shared" ca="1" si="2"/>
        <v>11329.78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25443.739999999998</v>
      </c>
      <c r="I7" s="14"/>
      <c r="J7" s="14"/>
      <c r="K7" s="13"/>
      <c r="L7" s="16">
        <f t="shared" ca="1" si="0"/>
        <v>25443.739999999998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25443.739999999998</v>
      </c>
      <c r="R7" s="16">
        <f t="shared" ca="1" si="2"/>
        <v>25443.739999999998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27444.646053012017</v>
      </c>
      <c r="J8" s="14">
        <f ca="1">Q10/J18</f>
        <v>13193.993946987977</v>
      </c>
      <c r="K8" s="13"/>
      <c r="L8" s="16">
        <f t="shared" ca="1" si="0"/>
        <v>40638.639999999992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873.18</v>
      </c>
      <c r="P8" s="13" cm="1">
        <f t="array" aca="1" ref="P8" ca="1">-INDIRECT("'data'!$S$" &amp; $A$1)*parameters!$B$15</f>
        <v>-4738.3</v>
      </c>
      <c r="Q8" s="16">
        <f ca="1">SUM(Q6:Q7)</f>
        <v>36773.519999999997</v>
      </c>
      <c r="R8" s="16">
        <f t="shared" ca="1" si="2"/>
        <v>36773.51999999999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18008.48</v>
      </c>
      <c r="L9" s="16">
        <f t="shared" ca="1" si="0"/>
        <v>18008.48</v>
      </c>
      <c r="M9" s="16"/>
      <c r="N9" s="16">
        <f t="shared" ca="1" si="3"/>
        <v>0</v>
      </c>
      <c r="O9" s="11" cm="1">
        <f t="array" aca="1" ref="O9" ca="1">INDIRECT("'data'!$U$" &amp; $A$1)*parameters!$B$15</f>
        <v>9071.86</v>
      </c>
      <c r="P9" s="13" cm="1">
        <f t="array" aca="1" ref="P9" ca="1">-INDIRECT("'data'!$V$" &amp; $A$1)*parameters!$B$15</f>
        <v>-1411.2</v>
      </c>
      <c r="Q9" s="16" cm="1">
        <f t="array" aca="1" ref="Q9" ca="1">INDIRECT("'data'!$T$" &amp; $A$1)*parameters!$B$15</f>
        <v>25669.14</v>
      </c>
      <c r="R9" s="16">
        <f t="shared" ca="1" si="2"/>
        <v>25669.14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16969.940682788052</v>
      </c>
      <c r="L10" s="16">
        <f t="shared" ca="1" si="0"/>
        <v>16969.940682788052</v>
      </c>
      <c r="M10" s="16"/>
      <c r="N10" s="16">
        <f t="shared" ca="1" si="3"/>
        <v>0</v>
      </c>
      <c r="O10" s="11" cm="1">
        <f t="array" aca="1" ref="O10" ca="1">INDIRECT("'data'!$X$" &amp; $A$1)*parameters!$B$15</f>
        <v>4207.1400000000003</v>
      </c>
      <c r="P10" s="13" cm="1">
        <f t="array" aca="1" ref="P10" ca="1">-INDIRECT("'data'!$Y$" &amp; $A$1)*parameters!$B$15</f>
        <v>-8836.66</v>
      </c>
      <c r="Q10" s="16" cm="1">
        <f t="array" aca="1" ref="Q10" ca="1">INDIRECT("'data'!$W$" &amp; $A$1)*parameters!$B$15</f>
        <v>12340.420682788052</v>
      </c>
      <c r="R10" s="16">
        <f t="shared" ca="1" si="2"/>
        <v>12340.420682788052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28963.340187197726</v>
      </c>
      <c r="N11" s="19"/>
      <c r="O11" s="21" cm="1">
        <f t="array" aca="1" ref="O11" ca="1">INDIRECT("'data'!$Z$" &amp; $A$1)*parameters!$B$15</f>
        <v>7146.16</v>
      </c>
      <c r="P11" s="27" cm="1">
        <f t="array" aca="1" ref="P11" ca="1">-INDIRECT("'data'!$AA$" &amp; $A$1)*parameters!$B$15</f>
        <v>-4587.38</v>
      </c>
      <c r="Q11" s="16">
        <f ca="1">K9*parameters!$B$10+K10*parameters!$B$11</f>
        <v>31522.120187197725</v>
      </c>
      <c r="R11" s="16">
        <f t="shared" ref="R11:R17" ca="1" si="4">SUM(L11:P11)</f>
        <v>31522.120187197728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-63.441291637314862</v>
      </c>
      <c r="D12" s="9">
        <f ca="1">-(D17-Q4)</f>
        <v>0</v>
      </c>
      <c r="E12" s="9">
        <f ca="1">-(E17-Q5)</f>
        <v>-875.74545494148879</v>
      </c>
      <c r="F12" s="9">
        <f ca="1">-(F17-Q6)</f>
        <v>-748.87671641791349</v>
      </c>
      <c r="G12" s="9">
        <f ca="1">-(G17-Q7)</f>
        <v>-1143.2401462904891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-2831.3036092872062</v>
      </c>
      <c r="M12" s="17"/>
      <c r="N12" s="17"/>
      <c r="O12" s="10"/>
      <c r="P12" s="12"/>
      <c r="Q12" s="9">
        <f t="shared" ref="Q12:Q17" ca="1" si="6">SUM(L12:P12)</f>
        <v>-2831.3036092872062</v>
      </c>
      <c r="R12" s="17">
        <f t="shared" ca="1" si="4"/>
        <v>-2831.3036092872062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-1775.5060530120172</v>
      </c>
      <c r="J13" s="14">
        <f ca="1">-(J17-Q10)</f>
        <v>-853.57326419992569</v>
      </c>
      <c r="K13" s="13">
        <f ca="1">-(K17-Q11)</f>
        <v>-3456.3004955903307</v>
      </c>
      <c r="L13" s="14">
        <f t="shared" ca="1" si="5"/>
        <v>-6085.3798128022736</v>
      </c>
      <c r="M13" s="16">
        <f ca="1">-E15</f>
        <v>-1875.9425048476223</v>
      </c>
      <c r="N13" s="16"/>
      <c r="O13" s="11"/>
      <c r="P13" s="13"/>
      <c r="Q13" s="14">
        <f t="shared" ca="1" si="6"/>
        <v>-7961.3223176498959</v>
      </c>
      <c r="R13" s="16">
        <f t="shared" ca="1" si="4"/>
        <v>-7961.3223176498959</v>
      </c>
    </row>
    <row r="14" spans="1:20">
      <c r="A14" s="18" t="s">
        <v>78</v>
      </c>
      <c r="B14" s="11"/>
      <c r="C14" s="14"/>
      <c r="D14" s="14"/>
      <c r="E14" s="14">
        <f ca="1">-(I13+J13)-K13</f>
        <v>6085.3798128022736</v>
      </c>
      <c r="F14" s="14"/>
      <c r="G14" s="14"/>
      <c r="H14" s="14"/>
      <c r="I14" s="14"/>
      <c r="J14" s="14"/>
      <c r="K14" s="13"/>
      <c r="L14" s="14">
        <f t="shared" ca="1" si="5"/>
        <v>6085.3798128022736</v>
      </c>
      <c r="M14" s="16"/>
      <c r="N14" s="16"/>
      <c r="O14" s="11"/>
      <c r="P14" s="13"/>
      <c r="Q14" s="14">
        <f t="shared" ca="1" si="6"/>
        <v>6085.3798128022736</v>
      </c>
      <c r="R14" s="16">
        <f t="shared" ca="1" si="4"/>
        <v>6085.3798128022736</v>
      </c>
    </row>
    <row r="15" spans="1:20">
      <c r="A15" s="18" t="s">
        <v>79</v>
      </c>
      <c r="B15" s="11"/>
      <c r="C15" s="14"/>
      <c r="D15" s="14"/>
      <c r="E15" s="14">
        <f ca="1">E17-E14</f>
        <v>1875.9425048476223</v>
      </c>
      <c r="F15" s="14"/>
      <c r="G15" s="14"/>
      <c r="H15" s="14"/>
      <c r="I15" s="14"/>
      <c r="J15" s="14"/>
      <c r="K15" s="13"/>
      <c r="L15" s="14">
        <f t="shared" ca="1" si="5"/>
        <v>1875.9425048476223</v>
      </c>
      <c r="M15" s="16"/>
      <c r="N15" s="16"/>
      <c r="O15" s="11"/>
      <c r="P15" s="13"/>
      <c r="Q15" s="14">
        <f t="shared" ca="1" si="6"/>
        <v>1875.9425048476223</v>
      </c>
      <c r="R15" s="16">
        <f t="shared" ca="1" si="4"/>
        <v>1875.9425048476223</v>
      </c>
    </row>
    <row r="16" spans="1:20">
      <c r="A16" s="30" t="s">
        <v>89</v>
      </c>
      <c r="B16" s="21">
        <f ca="1">Q2</f>
        <v>6050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6050</v>
      </c>
      <c r="M16" s="19"/>
      <c r="N16" s="19"/>
      <c r="O16" s="21"/>
      <c r="P16" s="27"/>
      <c r="Q16" s="22">
        <f t="shared" ca="1" si="6"/>
        <v>6050</v>
      </c>
      <c r="R16" s="19">
        <f t="shared" ca="1" si="4"/>
        <v>6050</v>
      </c>
    </row>
    <row r="17" spans="1:18">
      <c r="A17" s="29" t="s">
        <v>88</v>
      </c>
      <c r="B17" s="9">
        <f ca="1">B16</f>
        <v>6050</v>
      </c>
      <c r="C17" s="9">
        <f ca="1">SUM(C$2:C$11)</f>
        <v>10070.046291637314</v>
      </c>
      <c r="D17" s="9">
        <f ca="1">SUM(D$2:D$11)</f>
        <v>0</v>
      </c>
      <c r="E17" s="9">
        <f ca="1">$Q$5/parameters!$B$4</f>
        <v>7961.3223176498959</v>
      </c>
      <c r="F17" s="9">
        <f t="shared" ref="F17:K17" ca="1" si="7">SUM(F$2:F$11)</f>
        <v>12078.656716417914</v>
      </c>
      <c r="G17" s="9">
        <f t="shared" ca="1" si="7"/>
        <v>26586.980146290487</v>
      </c>
      <c r="H17" s="9">
        <f t="shared" ca="1" si="7"/>
        <v>36773.519999999997</v>
      </c>
      <c r="I17" s="9">
        <f t="shared" ca="1" si="7"/>
        <v>27444.646053012017</v>
      </c>
      <c r="J17" s="9">
        <f t="shared" ca="1" si="7"/>
        <v>13193.993946987977</v>
      </c>
      <c r="K17" s="9">
        <f t="shared" ca="1" si="7"/>
        <v>34978.420682788055</v>
      </c>
      <c r="L17" s="17">
        <f t="shared" ca="1" si="5"/>
        <v>175137.58615478367</v>
      </c>
      <c r="M17" s="17"/>
      <c r="N17" s="17"/>
      <c r="O17" s="9"/>
      <c r="P17" s="14"/>
      <c r="Q17" s="11">
        <f t="shared" ca="1" si="6"/>
        <v>175137.58615478367</v>
      </c>
      <c r="R17" s="17">
        <f t="shared" ca="1" si="4"/>
        <v>175137.58615478367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0.93530592270774948</v>
      </c>
      <c r="J18" s="39">
        <f ca="1">I18</f>
        <v>0.93530592270774948</v>
      </c>
      <c r="K18" s="40">
        <f ca="1">1-(-K13)/K17</f>
        <v>0.90118763431503113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27171.721847640129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27171.721847640129</v>
      </c>
      <c r="M2" s="17"/>
      <c r="N2" s="17">
        <f ca="1">Q2-(L2+O2+P2)</f>
        <v>12529.228152359836</v>
      </c>
      <c r="O2" s="11" cm="1">
        <f t="array" aca="1" ref="O2" ca="1">INDIRECT("'data'!$F$" &amp; $A$1)</f>
        <v>249299.05000000002</v>
      </c>
      <c r="P2" s="13">
        <f ca="1">IF(-(L2-Q2+O2)&lt;0, -(L2-Q2+O2), 0)</f>
        <v>0</v>
      </c>
      <c r="Q2" s="17" cm="1">
        <f t="array" aca="1" ref="Q2" ca="1">INDIRECT("'data'!$D$" &amp; $A$1)</f>
        <v>289000</v>
      </c>
      <c r="R2" s="17">
        <f ca="1">SUM(L2:P2)</f>
        <v>289000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22802.865671641794</v>
      </c>
      <c r="G3" s="14">
        <f ca="1">Q3-O3-P3-F3</f>
        <v>2041.184328358202</v>
      </c>
      <c r="H3" s="14"/>
      <c r="I3" s="14"/>
      <c r="J3" s="14"/>
      <c r="K3" s="13"/>
      <c r="L3" s="16">
        <f t="shared" ca="1" si="0"/>
        <v>24844.049999999996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2156.4899999999998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27000.539999999997</v>
      </c>
      <c r="R3" s="16">
        <f t="shared" ref="R3:R10" ca="1" si="2">SUM(L3:P3)</f>
        <v>27000.539999999994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5700.7164179104484</v>
      </c>
      <c r="G5" s="14">
        <f ca="1">Q7/parameters!$B$7-(G3+G4)</f>
        <v>5633.9462881517247</v>
      </c>
      <c r="H5" s="14"/>
      <c r="I5" s="14"/>
      <c r="J5" s="14"/>
      <c r="K5" s="13"/>
      <c r="L5" s="16">
        <f t="shared" ca="1" si="0"/>
        <v>11334.662706062172</v>
      </c>
      <c r="M5" s="16"/>
      <c r="N5" s="16"/>
      <c r="O5" s="11" cm="1">
        <f t="array" aca="1" ref="O5" ca="1">INDIRECT("'data'!$M$" &amp; $A$1)*parameters!$B$15</f>
        <v>577.22</v>
      </c>
      <c r="P5" s="13" cm="1">
        <f t="array" aca="1" ref="P5" ca="1">-INDIRECT("'data'!$N$" &amp; $A$1)*parameters!$B$15</f>
        <v>-19.600000000000001</v>
      </c>
      <c r="Q5" s="16">
        <f ca="1">SUM(L5:P5)</f>
        <v>11892.282706062171</v>
      </c>
      <c r="R5" s="16">
        <f t="shared" ca="1" si="2"/>
        <v>11892.282706062171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26736.36</v>
      </c>
      <c r="I6" s="14"/>
      <c r="J6" s="14"/>
      <c r="K6" s="13"/>
      <c r="L6" s="16">
        <f t="shared" ca="1" si="0"/>
        <v>26736.36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26736.36</v>
      </c>
      <c r="R6" s="16">
        <f t="shared" ca="1" si="2"/>
        <v>26736.36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7345.0999999999995</v>
      </c>
      <c r="I7" s="14"/>
      <c r="J7" s="14"/>
      <c r="K7" s="13"/>
      <c r="L7" s="16">
        <f t="shared" ca="1" si="0"/>
        <v>7345.0999999999995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7345.0999999999995</v>
      </c>
      <c r="R7" s="16">
        <f t="shared" ca="1" si="2"/>
        <v>7345.0999999999995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10289.325668833555</v>
      </c>
      <c r="J8" s="14">
        <f ca="1">Q10/J18</f>
        <v>14313.574331166445</v>
      </c>
      <c r="K8" s="13"/>
      <c r="L8" s="16">
        <f t="shared" ca="1" si="0"/>
        <v>24602.9</v>
      </c>
      <c r="M8" s="16"/>
      <c r="N8" s="16">
        <f t="shared" ca="1" si="3"/>
        <v>0</v>
      </c>
      <c r="O8" s="11" cm="1">
        <f t="array" aca="1" ref="O8" ca="1">INDIRECT("'data'!$R$" &amp; $A$1)*parameters!$B$15</f>
        <v>9562.84</v>
      </c>
      <c r="P8" s="13" cm="1">
        <f t="array" aca="1" ref="P8" ca="1">-INDIRECT("'data'!$S$" &amp; $A$1)*parameters!$B$15</f>
        <v>-84.28</v>
      </c>
      <c r="Q8" s="16">
        <f ca="1">SUM(Q6:Q7)</f>
        <v>34081.46</v>
      </c>
      <c r="R8" s="16">
        <f t="shared" ca="1" si="2"/>
        <v>34081.460000000006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8081.08</v>
      </c>
      <c r="L9" s="16">
        <f t="shared" ca="1" si="0"/>
        <v>8081.08</v>
      </c>
      <c r="M9" s="16"/>
      <c r="N9" s="16">
        <f t="shared" ca="1" si="3"/>
        <v>0</v>
      </c>
      <c r="O9" s="11" cm="1">
        <f t="array" aca="1" ref="O9" ca="1">INDIRECT("'data'!$U$" &amp; $A$1)*parameters!$B$15</f>
        <v>1825.74</v>
      </c>
      <c r="P9" s="13" cm="1">
        <f t="array" aca="1" ref="P9" ca="1">-INDIRECT("'data'!$V$" &amp; $A$1)*parameters!$B$15</f>
        <v>-539</v>
      </c>
      <c r="Q9" s="16" cm="1">
        <f t="array" aca="1" ref="Q9" ca="1">INDIRECT("'data'!$T$" &amp; $A$1)*parameters!$B$15</f>
        <v>9367.82</v>
      </c>
      <c r="R9" s="16">
        <f t="shared" ca="1" si="2"/>
        <v>9367.82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11009.919431009957</v>
      </c>
      <c r="L10" s="16">
        <f t="shared" ca="1" si="0"/>
        <v>11009.919431009957</v>
      </c>
      <c r="M10" s="16"/>
      <c r="N10" s="16">
        <f t="shared" ca="1" si="3"/>
        <v>0</v>
      </c>
      <c r="O10" s="11" cm="1">
        <f t="array" aca="1" ref="O10" ca="1">INDIRECT("'data'!$X$" &amp; $A$1)*parameters!$B$15</f>
        <v>3520.16</v>
      </c>
      <c r="P10" s="13" cm="1">
        <f t="array" aca="1" ref="P10" ca="1">-INDIRECT("'data'!$Y$" &amp; $A$1)*parameters!$B$15</f>
        <v>-1498.42</v>
      </c>
      <c r="Q10" s="16" cm="1">
        <f t="array" aca="1" ref="Q10" ca="1">INDIRECT("'data'!$W$" &amp; $A$1)*parameters!$B$15</f>
        <v>13031.659431009957</v>
      </c>
      <c r="R10" s="16">
        <f t="shared" ca="1" si="2"/>
        <v>13031.659431009957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16915.785910668565</v>
      </c>
      <c r="N11" s="19"/>
      <c r="O11" s="21" cm="1">
        <f t="array" aca="1" ref="O11" ca="1">INDIRECT("'data'!$Z$" &amp; $A$1)*parameters!$B$15</f>
        <v>2789.08</v>
      </c>
      <c r="P11" s="27" cm="1">
        <f t="array" aca="1" ref="P11" ca="1">-INDIRECT("'data'!$AA$" &amp; $A$1)*parameters!$B$15</f>
        <v>-2640.12</v>
      </c>
      <c r="Q11" s="16">
        <f ca="1">K9*parameters!$B$10+K10*parameters!$B$11</f>
        <v>17064.745910668564</v>
      </c>
      <c r="R11" s="16">
        <f t="shared" ref="R11:R17" ca="1" si="4">SUM(L11:P11)</f>
        <v>17064.745910668567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-171.18184764013131</v>
      </c>
      <c r="D12" s="9">
        <f ca="1">-(D17-Q4)</f>
        <v>0</v>
      </c>
      <c r="E12" s="9">
        <f ca="1">-(E17-Q5)</f>
        <v>-1469.832694007684</v>
      </c>
      <c r="F12" s="9">
        <f ca="1">-(F17-Q6)</f>
        <v>-1767.2220895522405</v>
      </c>
      <c r="G12" s="9">
        <f ca="1">-(G17-Q7)</f>
        <v>-330.03061650992731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-3738.2672477099832</v>
      </c>
      <c r="M12" s="17"/>
      <c r="N12" s="17"/>
      <c r="O12" s="10"/>
      <c r="P12" s="12"/>
      <c r="Q12" s="9">
        <f t="shared" ref="Q12:Q17" ca="1" si="6">SUM(L12:P12)</f>
        <v>-3738.2672477099832</v>
      </c>
      <c r="R12" s="17">
        <f t="shared" ca="1" si="4"/>
        <v>-3738.2672477099832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-921.50566883355532</v>
      </c>
      <c r="J13" s="14">
        <f ca="1">-(J17-Q10)</f>
        <v>-1281.9149001564874</v>
      </c>
      <c r="K13" s="13">
        <f ca="1">-(K17-Q11)</f>
        <v>-2026.2535203413936</v>
      </c>
      <c r="L13" s="14">
        <f t="shared" ca="1" si="5"/>
        <v>-4229.6740893314363</v>
      </c>
      <c r="M13" s="16">
        <f ca="1">-E15</f>
        <v>-9132.4413107384189</v>
      </c>
      <c r="N13" s="16"/>
      <c r="O13" s="11"/>
      <c r="P13" s="13"/>
      <c r="Q13" s="14">
        <f t="shared" ca="1" si="6"/>
        <v>-13362.115400069855</v>
      </c>
      <c r="R13" s="16">
        <f t="shared" ca="1" si="4"/>
        <v>-13362.115400069855</v>
      </c>
    </row>
    <row r="14" spans="1:19">
      <c r="A14" s="18" t="s">
        <v>78</v>
      </c>
      <c r="B14" s="11"/>
      <c r="C14" s="14"/>
      <c r="D14" s="14"/>
      <c r="E14" s="14">
        <f ca="1">-(I13+J13)-K13</f>
        <v>4229.6740893314363</v>
      </c>
      <c r="F14" s="14"/>
      <c r="G14" s="14"/>
      <c r="H14" s="14"/>
      <c r="I14" s="14"/>
      <c r="J14" s="14"/>
      <c r="K14" s="13"/>
      <c r="L14" s="14">
        <f t="shared" ca="1" si="5"/>
        <v>4229.6740893314363</v>
      </c>
      <c r="M14" s="16"/>
      <c r="N14" s="16"/>
      <c r="O14" s="11"/>
      <c r="P14" s="13"/>
      <c r="Q14" s="14">
        <f t="shared" ca="1" si="6"/>
        <v>4229.6740893314363</v>
      </c>
      <c r="R14" s="16">
        <f t="shared" ca="1" si="4"/>
        <v>4229.6740893314363</v>
      </c>
    </row>
    <row r="15" spans="1:19">
      <c r="A15" s="18" t="s">
        <v>79</v>
      </c>
      <c r="B15" s="11"/>
      <c r="C15" s="14"/>
      <c r="D15" s="14"/>
      <c r="E15" s="14">
        <f ca="1">E17-E14</f>
        <v>9132.4413107384189</v>
      </c>
      <c r="F15" s="14"/>
      <c r="G15" s="14"/>
      <c r="H15" s="14"/>
      <c r="I15" s="14"/>
      <c r="J15" s="14"/>
      <c r="K15" s="13"/>
      <c r="L15" s="14">
        <f t="shared" ca="1" si="5"/>
        <v>9132.4413107384189</v>
      </c>
      <c r="M15" s="16"/>
      <c r="N15" s="16"/>
      <c r="O15" s="11"/>
      <c r="P15" s="13"/>
      <c r="Q15" s="14">
        <f t="shared" ca="1" si="6"/>
        <v>9132.4413107384189</v>
      </c>
      <c r="R15" s="16">
        <f t="shared" ca="1" si="4"/>
        <v>9132.4413107384189</v>
      </c>
    </row>
    <row r="16" spans="1:19">
      <c r="A16" s="30" t="s">
        <v>89</v>
      </c>
      <c r="B16" s="21">
        <f ca="1">Q2</f>
        <v>289000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289000</v>
      </c>
      <c r="M16" s="19"/>
      <c r="N16" s="19"/>
      <c r="O16" s="21"/>
      <c r="P16" s="27"/>
      <c r="Q16" s="22">
        <f t="shared" ca="1" si="6"/>
        <v>289000</v>
      </c>
      <c r="R16" s="19">
        <f t="shared" ca="1" si="4"/>
        <v>289000</v>
      </c>
    </row>
    <row r="17" spans="1:18">
      <c r="A17" s="29" t="s">
        <v>88</v>
      </c>
      <c r="B17" s="9">
        <f ca="1">B16</f>
        <v>289000</v>
      </c>
      <c r="C17" s="9">
        <f ca="1">SUM(C$2:C$11)</f>
        <v>27171.721847640129</v>
      </c>
      <c r="D17" s="9">
        <f ca="1">SUM(D$2:D$11)</f>
        <v>0</v>
      </c>
      <c r="E17" s="9">
        <f ca="1">$Q$5/parameters!$B$4</f>
        <v>13362.115400069855</v>
      </c>
      <c r="F17" s="9">
        <f t="shared" ref="F17:K17" ca="1" si="7">SUM(F$2:F$11)</f>
        <v>28503.582089552241</v>
      </c>
      <c r="G17" s="9">
        <f t="shared" ca="1" si="7"/>
        <v>7675.1306165099268</v>
      </c>
      <c r="H17" s="9">
        <f t="shared" ca="1" si="7"/>
        <v>34081.46</v>
      </c>
      <c r="I17" s="9">
        <f t="shared" ca="1" si="7"/>
        <v>10289.325668833555</v>
      </c>
      <c r="J17" s="9">
        <f t="shared" ca="1" si="7"/>
        <v>14313.574331166445</v>
      </c>
      <c r="K17" s="9">
        <f t="shared" ca="1" si="7"/>
        <v>19090.999431009957</v>
      </c>
      <c r="L17" s="17">
        <f t="shared" ca="1" si="5"/>
        <v>443487.90938478219</v>
      </c>
      <c r="M17" s="17"/>
      <c r="N17" s="17"/>
      <c r="O17" s="9"/>
      <c r="P17" s="14"/>
      <c r="Q17" s="11">
        <f t="shared" ca="1" si="6"/>
        <v>443487.90938478219</v>
      </c>
      <c r="R17" s="17">
        <f t="shared" ca="1" si="4"/>
        <v>443487.90938478219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0.91044061598469928</v>
      </c>
      <c r="J18" s="39">
        <f ca="1">I18</f>
        <v>0.91044061598469928</v>
      </c>
      <c r="K18" s="40">
        <f ca="1">1-(-K13)/K17</f>
        <v>0.89386341308825856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1924.0227100301688</v>
      </c>
      <c r="D2" s="9">
        <f ca="1">Q4/parameters!$B$3</f>
        <v>15848.431010188213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17772.453720218382</v>
      </c>
      <c r="M2" s="17"/>
      <c r="N2" s="17">
        <f ca="1">Q2-(L2+O2+P2)</f>
        <v>0</v>
      </c>
      <c r="O2" s="11" cm="1">
        <f t="array" aca="1" ref="O2" ca="1">INDIRECT("'data'!$F$" &amp; $A$1)</f>
        <v>14158.95</v>
      </c>
      <c r="P2" s="13">
        <f ca="1">IF(-(L2-Q2+O2)&lt;0, -(L2-Q2+O2), 0)</f>
        <v>-12343.742009308513</v>
      </c>
      <c r="Q2" s="17" cm="1">
        <f t="array" aca="1" ref="Q2" ca="1">INDIRECT("'data'!$D$" &amp; $A$1)</f>
        <v>19587.66171090987</v>
      </c>
      <c r="R2" s="17">
        <f ca="1">SUM(L2:P2)</f>
        <v>19587.66171090987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1868.0597014925377</v>
      </c>
      <c r="G3" s="14">
        <f ca="1">Q3-O3-P3-F3</f>
        <v>42.896665464441185</v>
      </c>
      <c r="H3" s="14"/>
      <c r="I3" s="14"/>
      <c r="J3" s="14"/>
      <c r="K3" s="13"/>
      <c r="L3" s="16">
        <f t="shared" ca="1" si="0"/>
        <v>1910.9563669569789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1911.9013669569788</v>
      </c>
      <c r="R3" s="16">
        <f t="shared" ref="R3:R10" ca="1" si="2">SUM(L3:P3)</f>
        <v>1911.9013669569788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15743.065894824027</v>
      </c>
      <c r="H4" s="14"/>
      <c r="I4" s="14"/>
      <c r="J4" s="14"/>
      <c r="K4" s="13"/>
      <c r="L4" s="16">
        <f t="shared" ca="1" si="0"/>
        <v>15743.065894824027</v>
      </c>
      <c r="M4" s="16"/>
      <c r="N4" s="16">
        <f t="shared" ca="1" si="1"/>
        <v>0</v>
      </c>
      <c r="O4" s="11" cm="1">
        <f t="array" aca="1" ref="O4" ca="1">INDIRECT("'data'!$K$" &amp; $A$1)*parameters!$B$14</f>
        <v>5.5200000000000005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15748.585894824027</v>
      </c>
      <c r="R4" s="16">
        <f t="shared" ca="1" si="2"/>
        <v>15748.585894824027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467.01492537313447</v>
      </c>
      <c r="G5" s="14">
        <f ca="1">Q7/parameters!$B$7-(G3+G4)</f>
        <v>3670.6727584158161</v>
      </c>
      <c r="H5" s="14"/>
      <c r="I5" s="14"/>
      <c r="J5" s="14"/>
      <c r="K5" s="13"/>
      <c r="L5" s="16">
        <f t="shared" ca="1" si="0"/>
        <v>4137.6876837889504</v>
      </c>
      <c r="M5" s="16"/>
      <c r="N5" s="16"/>
      <c r="O5" s="11" cm="1">
        <f t="array" aca="1" ref="O5" ca="1">INDIRECT("'data'!$M$" &amp; $A$1)*parameters!$B$15</f>
        <v>0.98</v>
      </c>
      <c r="P5" s="13" cm="1">
        <f t="array" aca="1" ref="P5" ca="1">-INDIRECT("'data'!$N$" &amp; $A$1)*parameters!$B$15</f>
        <v>-12.74</v>
      </c>
      <c r="Q5" s="16">
        <f ca="1">SUM(L5:P5)</f>
        <v>4125.9276837889502</v>
      </c>
      <c r="R5" s="16">
        <f t="shared" ca="1" si="2"/>
        <v>4125.9276837889502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2190.3000000000002</v>
      </c>
      <c r="I6" s="14"/>
      <c r="J6" s="14"/>
      <c r="K6" s="13"/>
      <c r="L6" s="16">
        <f t="shared" ca="1" si="0"/>
        <v>2190.3000000000002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2190.3000000000002</v>
      </c>
      <c r="R6" s="16">
        <f t="shared" ca="1" si="2"/>
        <v>2190.3000000000002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18620</v>
      </c>
      <c r="I7" s="14"/>
      <c r="J7" s="14"/>
      <c r="K7" s="13"/>
      <c r="L7" s="16">
        <f t="shared" ca="1" si="0"/>
        <v>18620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18620</v>
      </c>
      <c r="R7" s="16">
        <f t="shared" ca="1" si="2"/>
        <v>18620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8104</v>
      </c>
      <c r="J8" s="14">
        <f ca="1">Q10/J18</f>
        <v>7592.6671408250359</v>
      </c>
      <c r="K8" s="13"/>
      <c r="L8" s="16">
        <f t="shared" ca="1" si="0"/>
        <v>15696.667140825037</v>
      </c>
      <c r="M8" s="16"/>
      <c r="N8" s="16">
        <f t="shared" ca="1" si="3"/>
        <v>-660.52714082503735</v>
      </c>
      <c r="O8" s="11" cm="1">
        <f t="array" aca="1" ref="O8" ca="1">INDIRECT("'data'!$R$" &amp; $A$1)*parameters!$B$15</f>
        <v>5821.2</v>
      </c>
      <c r="P8" s="13" cm="1">
        <f t="array" aca="1" ref="P8" ca="1">-INDIRECT("'data'!$S$" &amp; $A$1)*parameters!$B$15</f>
        <v>-47.04</v>
      </c>
      <c r="Q8" s="16">
        <f ca="1">SUM(Q6:Q7)</f>
        <v>20810.3</v>
      </c>
      <c r="R8" s="16">
        <f t="shared" ca="1" si="2"/>
        <v>20810.3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7649.88</v>
      </c>
      <c r="L9" s="16">
        <f t="shared" ca="1" si="0"/>
        <v>7649.88</v>
      </c>
      <c r="M9" s="16"/>
      <c r="N9" s="16">
        <f t="shared" ca="1" si="3"/>
        <v>0</v>
      </c>
      <c r="O9" s="11" cm="1">
        <f t="array" aca="1" ref="O9" ca="1">INDIRECT("'data'!$U$" &amp; $A$1)*parameters!$B$15</f>
        <v>735</v>
      </c>
      <c r="P9" s="13" cm="1">
        <f t="array" aca="1" ref="P9" ca="1">-INDIRECT("'data'!$V$" &amp; $A$1)*parameters!$B$15</f>
        <v>-442.96</v>
      </c>
      <c r="Q9" s="16" cm="1">
        <f t="array" aca="1" ref="Q9" ca="1">INDIRECT("'data'!$T$" &amp; $A$1)*parameters!$B$15</f>
        <v>7941.92</v>
      </c>
      <c r="R9" s="16">
        <f t="shared" ca="1" si="2"/>
        <v>7941.920000000001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9060.7537980085344</v>
      </c>
      <c r="L10" s="16">
        <f t="shared" ca="1" si="0"/>
        <v>9060.7537980085344</v>
      </c>
      <c r="M10" s="16"/>
      <c r="N10" s="16">
        <f t="shared" ca="1" si="3"/>
        <v>0</v>
      </c>
      <c r="O10" s="11" cm="1">
        <f t="array" aca="1" ref="O10" ca="1">INDIRECT("'data'!$X$" &amp; $A$1)*parameters!$B$15</f>
        <v>614.46</v>
      </c>
      <c r="P10" s="13" cm="1">
        <f t="array" aca="1" ref="P10" ca="1">-INDIRECT("'data'!$Y$" &amp; $A$1)*parameters!$B$15</f>
        <v>-2234.4</v>
      </c>
      <c r="Q10" s="16" cm="1">
        <f t="array" aca="1" ref="Q10" ca="1">INDIRECT("'data'!$W$" &amp; $A$1)*parameters!$B$15</f>
        <v>7440.8137980085348</v>
      </c>
      <c r="R10" s="16">
        <f t="shared" ca="1" si="2"/>
        <v>7440.8137980085357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17047.995466287339</v>
      </c>
      <c r="N11" s="19"/>
      <c r="O11" s="21" cm="1">
        <f t="array" aca="1" ref="O11" ca="1">INDIRECT("'data'!$Z$" &amp; $A$1)*parameters!$B$15</f>
        <v>57.82</v>
      </c>
      <c r="P11" s="27" cm="1">
        <f t="array" aca="1" ref="P11" ca="1">-INDIRECT("'data'!$AA$" &amp; $A$1)*parameters!$B$15</f>
        <v>-2122.6799999999998</v>
      </c>
      <c r="Q11" s="16">
        <f ca="1">K9*parameters!$B$10+K10*parameters!$B$11</f>
        <v>14983.13546628734</v>
      </c>
      <c r="R11" s="16">
        <f t="shared" ref="R11:R17" ca="1" si="4">SUM(L11:P11)</f>
        <v>14983.135466287338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-12.121343073190019</v>
      </c>
      <c r="D12" s="9">
        <f ca="1">-(D17-Q4)</f>
        <v>-99.845115364185403</v>
      </c>
      <c r="E12" s="9">
        <f ca="1">-(E17-Q5)</f>
        <v>-509.94611822110619</v>
      </c>
      <c r="F12" s="9">
        <f ca="1">-(F17-Q6)</f>
        <v>-144.77462686567196</v>
      </c>
      <c r="G12" s="9">
        <f ca="1">-(G17-Q7)</f>
        <v>-836.63531870428415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-1603.3225222284377</v>
      </c>
      <c r="M12" s="17"/>
      <c r="N12" s="17"/>
      <c r="O12" s="10"/>
      <c r="P12" s="12"/>
      <c r="Q12" s="9">
        <f t="shared" ref="Q12:Q17" ca="1" si="6">SUM(L12:P12)</f>
        <v>-1603.3225222284377</v>
      </c>
      <c r="R12" s="17">
        <f t="shared" ca="1" si="4"/>
        <v>-1603.3225222284377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-162.07999999999993</v>
      </c>
      <c r="J13" s="14">
        <f ca="1">-(J17-Q10)</f>
        <v>-151.85334281650103</v>
      </c>
      <c r="K13" s="13">
        <f ca="1">-(K17-Q11)</f>
        <v>-1727.4983317211936</v>
      </c>
      <c r="L13" s="14">
        <f t="shared" ca="1" si="5"/>
        <v>-2041.4316745376946</v>
      </c>
      <c r="M13" s="16">
        <f ca="1">-E15</f>
        <v>-2594.4421274723618</v>
      </c>
      <c r="N13" s="16"/>
      <c r="O13" s="11"/>
      <c r="P13" s="13"/>
      <c r="Q13" s="14">
        <f t="shared" ca="1" si="6"/>
        <v>-4635.8738020100564</v>
      </c>
      <c r="R13" s="16">
        <f t="shared" ca="1" si="4"/>
        <v>-4635.8738020100564</v>
      </c>
    </row>
    <row r="14" spans="1:22">
      <c r="A14" s="18" t="s">
        <v>78</v>
      </c>
      <c r="B14" s="11"/>
      <c r="C14" s="14"/>
      <c r="D14" s="14"/>
      <c r="E14" s="14">
        <f ca="1">-(I13+J13)-K13</f>
        <v>2041.4316745376946</v>
      </c>
      <c r="F14" s="14"/>
      <c r="G14" s="14"/>
      <c r="H14" s="14"/>
      <c r="I14" s="14"/>
      <c r="J14" s="14"/>
      <c r="K14" s="13"/>
      <c r="L14" s="14">
        <f t="shared" ca="1" si="5"/>
        <v>2041.4316745376946</v>
      </c>
      <c r="M14" s="16"/>
      <c r="N14" s="16"/>
      <c r="O14" s="11"/>
      <c r="P14" s="13"/>
      <c r="Q14" s="14">
        <f t="shared" ca="1" si="6"/>
        <v>2041.4316745376946</v>
      </c>
      <c r="R14" s="16">
        <f t="shared" ca="1" si="4"/>
        <v>2041.4316745376946</v>
      </c>
    </row>
    <row r="15" spans="1:22">
      <c r="A15" s="18" t="s">
        <v>79</v>
      </c>
      <c r="B15" s="11"/>
      <c r="C15" s="14"/>
      <c r="D15" s="14"/>
      <c r="E15" s="14">
        <f ca="1">E17-E14</f>
        <v>2594.4421274723618</v>
      </c>
      <c r="F15" s="14"/>
      <c r="G15" s="14"/>
      <c r="H15" s="14"/>
      <c r="I15" s="14"/>
      <c r="J15" s="14"/>
      <c r="K15" s="13"/>
      <c r="L15" s="14">
        <f t="shared" ca="1" si="5"/>
        <v>2594.4421274723618</v>
      </c>
      <c r="M15" s="16"/>
      <c r="N15" s="16"/>
      <c r="O15" s="11"/>
      <c r="P15" s="13"/>
      <c r="Q15" s="14">
        <f t="shared" ca="1" si="6"/>
        <v>2594.4421274723618</v>
      </c>
      <c r="R15" s="16">
        <f t="shared" ca="1" si="4"/>
        <v>2594.4421274723618</v>
      </c>
    </row>
    <row r="16" spans="1:22">
      <c r="A16" s="30" t="s">
        <v>89</v>
      </c>
      <c r="B16" s="21">
        <f ca="1">Q2</f>
        <v>19587.66171090987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19587.66171090987</v>
      </c>
      <c r="M16" s="19"/>
      <c r="N16" s="19"/>
      <c r="O16" s="21"/>
      <c r="P16" s="27"/>
      <c r="Q16" s="22">
        <f t="shared" ca="1" si="6"/>
        <v>19587.66171090987</v>
      </c>
      <c r="R16" s="19">
        <f t="shared" ca="1" si="4"/>
        <v>19587.66171090987</v>
      </c>
    </row>
    <row r="17" spans="1:18">
      <c r="A17" s="29" t="s">
        <v>88</v>
      </c>
      <c r="B17" s="9">
        <f ca="1">B16</f>
        <v>19587.66171090987</v>
      </c>
      <c r="C17" s="9">
        <f ca="1">SUM(C$2:C$11)</f>
        <v>1924.0227100301688</v>
      </c>
      <c r="D17" s="9">
        <f ca="1">SUM(D$2:D$11)</f>
        <v>15848.431010188213</v>
      </c>
      <c r="E17" s="9">
        <f ca="1">$Q$5/parameters!$B$4</f>
        <v>4635.8738020100564</v>
      </c>
      <c r="F17" s="9">
        <f t="shared" ref="F17:K17" ca="1" si="7">SUM(F$2:F$11)</f>
        <v>2335.0746268656721</v>
      </c>
      <c r="G17" s="9">
        <f t="shared" ca="1" si="7"/>
        <v>19456.635318704284</v>
      </c>
      <c r="H17" s="9">
        <f t="shared" ca="1" si="7"/>
        <v>20810.3</v>
      </c>
      <c r="I17" s="9">
        <f t="shared" ca="1" si="7"/>
        <v>8104</v>
      </c>
      <c r="J17" s="9">
        <f t="shared" ca="1" si="7"/>
        <v>7592.6671408250359</v>
      </c>
      <c r="K17" s="9">
        <f t="shared" ca="1" si="7"/>
        <v>16710.633798008534</v>
      </c>
      <c r="L17" s="17">
        <f t="shared" ca="1" si="5"/>
        <v>117005.30011754185</v>
      </c>
      <c r="M17" s="17"/>
      <c r="N17" s="17"/>
      <c r="O17" s="9"/>
      <c r="P17" s="14"/>
      <c r="Q17" s="11">
        <f t="shared" ca="1" si="6"/>
        <v>117005.30011754185</v>
      </c>
      <c r="R17" s="17">
        <f t="shared" ca="1" si="4"/>
        <v>117005.30011754185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0.89662281200087901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4804.4077689443484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4804.4077689443484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-4804.4077689443484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3955.1044776119402</v>
      </c>
      <c r="G3" s="14">
        <f ca="1">Q3-O3-P3-F3</f>
        <v>2338.5955223880596</v>
      </c>
      <c r="H3" s="14"/>
      <c r="I3" s="14"/>
      <c r="J3" s="14"/>
      <c r="K3" s="13"/>
      <c r="L3" s="16">
        <f t="shared" ca="1" si="0"/>
        <v>6293.7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45.36</v>
      </c>
      <c r="P3" s="13" cm="1">
        <f t="array" aca="1" ref="P3" ca="1">-INDIRECT("'data'!$I$" &amp; $A$1)*parameters!$B$13</f>
        <v>-1564.9199999999998</v>
      </c>
      <c r="Q3" s="16" cm="1">
        <f t="array" aca="1" ref="Q3" ca="1">INDIRECT("'data'!$G$" &amp; $A$1)*parameters!$B$13</f>
        <v>4774.1399999999994</v>
      </c>
      <c r="R3" s="16">
        <f t="shared" ref="R3:R10" ca="1" si="2">SUM(L3:P3)</f>
        <v>4774.1399999999994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1033.1600000000001</v>
      </c>
      <c r="H4" s="14"/>
      <c r="I4" s="14"/>
      <c r="J4" s="14"/>
      <c r="K4" s="13"/>
      <c r="L4" s="16">
        <f t="shared" ca="1" si="0"/>
        <v>1033.1600000000001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-1033.1600000000001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988.77611940298505</v>
      </c>
      <c r="G5" s="14">
        <f ca="1">Q7/parameters!$B$7-(G3+G4)</f>
        <v>16428.955031425943</v>
      </c>
      <c r="H5" s="14"/>
      <c r="I5" s="14"/>
      <c r="J5" s="14"/>
      <c r="K5" s="13"/>
      <c r="L5" s="16">
        <f t="shared" ca="1" si="0"/>
        <v>17417.731150828928</v>
      </c>
      <c r="M5" s="16"/>
      <c r="N5" s="16"/>
      <c r="O5" s="11" cm="1">
        <f t="array" aca="1" ref="O5" ca="1">INDIRECT("'data'!$M$" &amp; $A$1)*parameters!$B$15</f>
        <v>417.48</v>
      </c>
      <c r="P5" s="13" cm="1">
        <f t="array" aca="1" ref="P5" ca="1">-INDIRECT("'data'!$N$" &amp; $A$1)*parameters!$B$15</f>
        <v>-5104.82</v>
      </c>
      <c r="Q5" s="16">
        <f ca="1">SUM(L5:P5)</f>
        <v>12730.391150828927</v>
      </c>
      <c r="R5" s="16">
        <f t="shared" ca="1" si="2"/>
        <v>12730.391150828927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4637.3599999999997</v>
      </c>
      <c r="I6" s="14"/>
      <c r="J6" s="14"/>
      <c r="K6" s="13"/>
      <c r="L6" s="16">
        <f t="shared" ca="1" si="0"/>
        <v>4637.3599999999997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4637.3599999999997</v>
      </c>
      <c r="R6" s="16">
        <f t="shared" ca="1" si="2"/>
        <v>4637.3599999999997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18949.28</v>
      </c>
      <c r="I7" s="14"/>
      <c r="J7" s="14"/>
      <c r="K7" s="13"/>
      <c r="L7" s="16">
        <f t="shared" ca="1" si="0"/>
        <v>18949.28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18949.28</v>
      </c>
      <c r="R7" s="16">
        <f t="shared" ca="1" si="2"/>
        <v>18949.28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14154.228835774642</v>
      </c>
      <c r="J8" s="14">
        <f ca="1">Q10/J18</f>
        <v>12515.491164225359</v>
      </c>
      <c r="K8" s="13"/>
      <c r="L8" s="16">
        <f t="shared" ca="1" si="0"/>
        <v>26669.72</v>
      </c>
      <c r="M8" s="16"/>
      <c r="N8" s="16">
        <f t="shared" ca="1" si="3"/>
        <v>0</v>
      </c>
      <c r="O8" s="11" cm="1">
        <f t="array" aca="1" ref="O8" ca="1">INDIRECT("'data'!$R$" &amp; $A$1)*parameters!$B$15</f>
        <v>738.92</v>
      </c>
      <c r="P8" s="13" cm="1">
        <f t="array" aca="1" ref="P8" ca="1">-INDIRECT("'data'!$S$" &amp; $A$1)*parameters!$B$15</f>
        <v>-3822</v>
      </c>
      <c r="Q8" s="16">
        <f ca="1">SUM(Q6:Q7)</f>
        <v>23586.639999999999</v>
      </c>
      <c r="R8" s="16">
        <f t="shared" ca="1" si="2"/>
        <v>23586.639999999999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8873.9</v>
      </c>
      <c r="L9" s="16">
        <f t="shared" ca="1" si="0"/>
        <v>8873.9</v>
      </c>
      <c r="M9" s="16"/>
      <c r="N9" s="16">
        <f t="shared" ca="1" si="3"/>
        <v>0</v>
      </c>
      <c r="O9" s="11" cm="1">
        <f t="array" aca="1" ref="O9" ca="1">INDIRECT("'data'!$U$" &amp; $A$1)*parameters!$B$15</f>
        <v>6144.5999999999995</v>
      </c>
      <c r="P9" s="13" cm="1">
        <f t="array" aca="1" ref="P9" ca="1">-INDIRECT("'data'!$V$" &amp; $A$1)*parameters!$B$15</f>
        <v>-2840.04</v>
      </c>
      <c r="Q9" s="16" cm="1">
        <f t="array" aca="1" ref="Q9" ca="1">INDIRECT("'data'!$T$" &amp; $A$1)*parameters!$B$15</f>
        <v>12178.46</v>
      </c>
      <c r="R9" s="16">
        <f t="shared" ca="1" si="2"/>
        <v>12178.46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15579.291408250356</v>
      </c>
      <c r="L10" s="16">
        <f t="shared" ca="1" si="0"/>
        <v>15579.291408250356</v>
      </c>
      <c r="M10" s="16"/>
      <c r="N10" s="16">
        <f t="shared" ca="1" si="3"/>
        <v>0</v>
      </c>
      <c r="O10" s="11" cm="1">
        <f t="array" aca="1" ref="O10" ca="1">INDIRECT("'data'!$X$" &amp; $A$1)*parameters!$B$15</f>
        <v>7093.24</v>
      </c>
      <c r="P10" s="13" cm="1">
        <f t="array" aca="1" ref="P10" ca="1">-INDIRECT("'data'!$Y$" &amp; $A$1)*parameters!$B$15</f>
        <v>-11904.06</v>
      </c>
      <c r="Q10" s="16" cm="1">
        <f t="array" aca="1" ref="Q10" ca="1">INDIRECT("'data'!$W$" &amp; $A$1)*parameters!$B$15</f>
        <v>10768.471408250356</v>
      </c>
      <c r="R10" s="16">
        <f t="shared" ca="1" si="2"/>
        <v>10768.471408250354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16466.276611095309</v>
      </c>
      <c r="N11" s="19"/>
      <c r="O11" s="21" cm="1">
        <f t="array" aca="1" ref="O11" ca="1">INDIRECT("'data'!$Z$" &amp; $A$1)*parameters!$B$15</f>
        <v>14011.06</v>
      </c>
      <c r="P11" s="27" cm="1">
        <f t="array" aca="1" ref="P11" ca="1">-INDIRECT("'data'!$AA$" &amp; $A$1)*parameters!$B$15</f>
        <v>-8737.68</v>
      </c>
      <c r="Q11" s="16">
        <f ca="1">K9*parameters!$B$10+K10*parameters!$B$11</f>
        <v>21739.656611095306</v>
      </c>
      <c r="R11" s="16">
        <f t="shared" ref="R11:R17" ca="1" si="4">SUM(L11:P11)</f>
        <v>21739.656611095306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-30.267768944348973</v>
      </c>
      <c r="D12" s="9">
        <f ca="1">-(D17-Q4)</f>
        <v>0</v>
      </c>
      <c r="E12" s="9">
        <f ca="1">-(E17-Q5)</f>
        <v>-1573.4191310013284</v>
      </c>
      <c r="F12" s="9">
        <f ca="1">-(F17-Q6)</f>
        <v>-306.52059701492544</v>
      </c>
      <c r="G12" s="9">
        <f ca="1">-(G17-Q7)</f>
        <v>-851.43055381400336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-2761.6380507746062</v>
      </c>
      <c r="M12" s="17"/>
      <c r="N12" s="17"/>
      <c r="O12" s="10"/>
      <c r="P12" s="12"/>
      <c r="Q12" s="9">
        <f t="shared" ref="Q12:Q17" ca="1" si="6">SUM(L12:P12)</f>
        <v>-2761.6380507746062</v>
      </c>
      <c r="R12" s="17">
        <f t="shared" ca="1" si="4"/>
        <v>-2761.6380507746062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-1975.7688357746429</v>
      </c>
      <c r="J13" s="14">
        <f ca="1">-(J17-Q10)</f>
        <v>-1747.0197559750031</v>
      </c>
      <c r="K13" s="13">
        <f ca="1">-(K17-Q11)</f>
        <v>-2713.5347971550509</v>
      </c>
      <c r="L13" s="14">
        <f t="shared" ca="1" si="5"/>
        <v>-6436.3233889046969</v>
      </c>
      <c r="M13" s="16">
        <f ca="1">-E15</f>
        <v>-7867.486892925559</v>
      </c>
      <c r="N13" s="16"/>
      <c r="O13" s="11"/>
      <c r="P13" s="13"/>
      <c r="Q13" s="14">
        <f t="shared" ca="1" si="6"/>
        <v>-14303.810281830256</v>
      </c>
      <c r="R13" s="16">
        <f t="shared" ca="1" si="4"/>
        <v>-14303.810281830256</v>
      </c>
    </row>
    <row r="14" spans="1:20">
      <c r="A14" s="18" t="s">
        <v>78</v>
      </c>
      <c r="B14" s="11"/>
      <c r="C14" s="14"/>
      <c r="D14" s="14"/>
      <c r="E14" s="14">
        <f ca="1">-(I13+J13)-K13</f>
        <v>6436.3233889046969</v>
      </c>
      <c r="F14" s="14"/>
      <c r="G14" s="14"/>
      <c r="H14" s="14"/>
      <c r="I14" s="14"/>
      <c r="J14" s="14"/>
      <c r="K14" s="13"/>
      <c r="L14" s="14">
        <f t="shared" ca="1" si="5"/>
        <v>6436.3233889046969</v>
      </c>
      <c r="M14" s="16"/>
      <c r="N14" s="16"/>
      <c r="O14" s="11"/>
      <c r="P14" s="13"/>
      <c r="Q14" s="14">
        <f t="shared" ca="1" si="6"/>
        <v>6436.3233889046969</v>
      </c>
      <c r="R14" s="16">
        <f t="shared" ca="1" si="4"/>
        <v>6436.3233889046969</v>
      </c>
    </row>
    <row r="15" spans="1:20">
      <c r="A15" s="18" t="s">
        <v>79</v>
      </c>
      <c r="B15" s="11"/>
      <c r="C15" s="14"/>
      <c r="D15" s="14"/>
      <c r="E15" s="14">
        <f ca="1">E17-E14</f>
        <v>7867.486892925559</v>
      </c>
      <c r="F15" s="14"/>
      <c r="G15" s="14"/>
      <c r="H15" s="14"/>
      <c r="I15" s="14"/>
      <c r="J15" s="14"/>
      <c r="K15" s="13"/>
      <c r="L15" s="14">
        <f t="shared" ca="1" si="5"/>
        <v>7867.486892925559</v>
      </c>
      <c r="M15" s="16"/>
      <c r="N15" s="16"/>
      <c r="O15" s="11"/>
      <c r="P15" s="13"/>
      <c r="Q15" s="14">
        <f t="shared" ca="1" si="6"/>
        <v>7867.486892925559</v>
      </c>
      <c r="R15" s="16">
        <f t="shared" ca="1" si="4"/>
        <v>7867.486892925559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4804.4077689443484</v>
      </c>
      <c r="D17" s="9">
        <f ca="1">SUM(D$2:D$11)</f>
        <v>0</v>
      </c>
      <c r="E17" s="9">
        <f ca="1">$Q$5/parameters!$B$4</f>
        <v>14303.810281830256</v>
      </c>
      <c r="F17" s="9">
        <f t="shared" ref="F17:K17" ca="1" si="7">SUM(F$2:F$11)</f>
        <v>4943.8805970149251</v>
      </c>
      <c r="G17" s="9">
        <f t="shared" ca="1" si="7"/>
        <v>19800.710553814002</v>
      </c>
      <c r="H17" s="9">
        <f t="shared" ca="1" si="7"/>
        <v>23586.639999999999</v>
      </c>
      <c r="I17" s="9">
        <f t="shared" ca="1" si="7"/>
        <v>14154.228835774642</v>
      </c>
      <c r="J17" s="9">
        <f t="shared" ca="1" si="7"/>
        <v>12515.491164225359</v>
      </c>
      <c r="K17" s="9">
        <f t="shared" ca="1" si="7"/>
        <v>24453.191408250357</v>
      </c>
      <c r="L17" s="17">
        <f t="shared" ca="1" si="5"/>
        <v>118562.3606098539</v>
      </c>
      <c r="M17" s="17"/>
      <c r="N17" s="17"/>
      <c r="O17" s="9"/>
      <c r="P17" s="14"/>
      <c r="Q17" s="11">
        <f t="shared" ca="1" si="6"/>
        <v>118562.3606098539</v>
      </c>
      <c r="R17" s="17">
        <f t="shared" ca="1" si="4"/>
        <v>118562.3606098539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0.86041141070286276</v>
      </c>
      <c r="J18" s="39">
        <f ca="1">I18</f>
        <v>0.86041141070286276</v>
      </c>
      <c r="K18" s="40">
        <f ca="1">1-(-K13)/K17</f>
        <v>0.8890314662061034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19159.620609842001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19159.620609842001</v>
      </c>
      <c r="M2" s="17"/>
      <c r="N2" s="17">
        <f ca="1">Q2-(L2+O2+P2)</f>
        <v>0</v>
      </c>
      <c r="O2" s="11" cm="1">
        <f t="array" aca="1" ref="O2" ca="1">INDIRECT("'data'!$F$" &amp; $A$1)</f>
        <v>24315.850000000002</v>
      </c>
      <c r="P2" s="13">
        <f ca="1">IF(-(L2-Q2+O2)&lt;0, -(L2-Q2+O2), 0)</f>
        <v>-5575.4706098420029</v>
      </c>
      <c r="Q2" s="17" cm="1">
        <f t="array" aca="1" ref="Q2" ca="1">INDIRECT("'data'!$D$" &amp; $A$1)</f>
        <v>37900</v>
      </c>
      <c r="R2" s="17">
        <f ca="1">SUM(L2:P2)</f>
        <v>37900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16616.119402985078</v>
      </c>
      <c r="G3" s="14">
        <f ca="1">Q3-O3-P3-F3</f>
        <v>210.55059701492064</v>
      </c>
      <c r="H3" s="14"/>
      <c r="I3" s="14"/>
      <c r="J3" s="14"/>
      <c r="K3" s="13"/>
      <c r="L3" s="16">
        <f t="shared" ca="1" si="0"/>
        <v>16826.669999999998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2214.1349999999998</v>
      </c>
      <c r="P3" s="13" cm="1">
        <f t="array" aca="1" ref="P3" ca="1">-INDIRECT("'data'!$I$" &amp; $A$1)*parameters!$B$13</f>
        <v>-1.89</v>
      </c>
      <c r="Q3" s="16" cm="1">
        <f t="array" aca="1" ref="Q3" ca="1">INDIRECT("'data'!$G$" &amp; $A$1)*parameters!$B$13</f>
        <v>19038.914999999997</v>
      </c>
      <c r="R3" s="16">
        <f t="shared" ref="R3:R10" ca="1" si="2">SUM(L3:P3)</f>
        <v>19038.914999999997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1.84</v>
      </c>
      <c r="H4" s="14"/>
      <c r="I4" s="14"/>
      <c r="J4" s="14"/>
      <c r="K4" s="13"/>
      <c r="L4" s="16">
        <f t="shared" ca="1" si="0"/>
        <v>1.84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4154.0298507462694</v>
      </c>
      <c r="G5" s="14">
        <f ca="1">Q7/parameters!$B$7-(G3+G4)</f>
        <v>1267.3377206444316</v>
      </c>
      <c r="H5" s="14"/>
      <c r="I5" s="14"/>
      <c r="J5" s="14"/>
      <c r="K5" s="13"/>
      <c r="L5" s="16">
        <f t="shared" ca="1" si="0"/>
        <v>5421.3675713907014</v>
      </c>
      <c r="M5" s="16"/>
      <c r="N5" s="16"/>
      <c r="O5" s="11" cm="1">
        <f t="array" aca="1" ref="O5" ca="1">INDIRECT("'data'!$M$" &amp; $A$1)*parameters!$B$15</f>
        <v>477.26</v>
      </c>
      <c r="P5" s="13" cm="1">
        <f t="array" aca="1" ref="P5" ca="1">-INDIRECT("'data'!$N$" &amp; $A$1)*parameters!$B$15</f>
        <v>-24.5</v>
      </c>
      <c r="Q5" s="16">
        <f ca="1">SUM(L5:P5)</f>
        <v>5874.1275713907016</v>
      </c>
      <c r="R5" s="16">
        <f t="shared" ca="1" si="2"/>
        <v>5874.1275713907016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19482.400000000001</v>
      </c>
      <c r="I6" s="14"/>
      <c r="J6" s="14"/>
      <c r="K6" s="13"/>
      <c r="L6" s="16">
        <f t="shared" ca="1" si="0"/>
        <v>19482.400000000001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19482.400000000001</v>
      </c>
      <c r="R6" s="16">
        <f t="shared" ca="1" si="2"/>
        <v>19482.400000000001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1416.1</v>
      </c>
      <c r="I7" s="14"/>
      <c r="J7" s="14"/>
      <c r="K7" s="13"/>
      <c r="L7" s="16">
        <f t="shared" ca="1" si="0"/>
        <v>1416.1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1416.1</v>
      </c>
      <c r="R7" s="16">
        <f t="shared" ca="1" si="2"/>
        <v>1416.1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7072.5212504221408</v>
      </c>
      <c r="J8" s="14">
        <f ca="1">Q10/J18</f>
        <v>7608.8587495778602</v>
      </c>
      <c r="K8" s="13"/>
      <c r="L8" s="16">
        <f t="shared" ca="1" si="0"/>
        <v>14681.380000000001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6244.5599999999995</v>
      </c>
      <c r="P8" s="13" cm="1">
        <f t="array" aca="1" ref="P8" ca="1">-INDIRECT("'data'!$S$" &amp; $A$1)*parameters!$B$15</f>
        <v>-27.439999999999998</v>
      </c>
      <c r="Q8" s="16">
        <f ca="1">SUM(Q6:Q7)</f>
        <v>20898.5</v>
      </c>
      <c r="R8" s="16">
        <f t="shared" ca="1" si="2"/>
        <v>20898.500000000004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3230.08</v>
      </c>
      <c r="L9" s="16">
        <f t="shared" ca="1" si="0"/>
        <v>3230.08</v>
      </c>
      <c r="M9" s="16"/>
      <c r="N9" s="16">
        <f t="shared" ca="1" si="3"/>
        <v>0</v>
      </c>
      <c r="O9" s="11" cm="1">
        <f t="array" aca="1" ref="O9" ca="1">INDIRECT("'data'!$U$" &amp; $A$1)*parameters!$B$15</f>
        <v>3184.02</v>
      </c>
      <c r="P9" s="13" cm="1">
        <f t="array" aca="1" ref="P9" ca="1">-INDIRECT("'data'!$V$" &amp; $A$1)*parameters!$B$15</f>
        <v>-470.4</v>
      </c>
      <c r="Q9" s="16" cm="1">
        <f t="array" aca="1" ref="Q9" ca="1">INDIRECT("'data'!$T$" &amp; $A$1)*parameters!$B$15</f>
        <v>5943.7</v>
      </c>
      <c r="R9" s="16">
        <f t="shared" ca="1" si="2"/>
        <v>5943.7000000000007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2305.8744807965859</v>
      </c>
      <c r="L10" s="16">
        <f t="shared" ca="1" si="0"/>
        <v>2305.8744807965859</v>
      </c>
      <c r="M10" s="16"/>
      <c r="N10" s="16">
        <f t="shared" ca="1" si="3"/>
        <v>0</v>
      </c>
      <c r="O10" s="11" cm="1">
        <f t="array" aca="1" ref="O10" ca="1">INDIRECT("'data'!$X$" &amp; $A$1)*parameters!$B$15</f>
        <v>4868.6400000000003</v>
      </c>
      <c r="P10" s="13" cm="1">
        <f t="array" aca="1" ref="P10" ca="1">-INDIRECT("'data'!$Y$" &amp; $A$1)*parameters!$B$15</f>
        <v>-780.08</v>
      </c>
      <c r="Q10" s="16" cm="1">
        <f t="array" aca="1" ref="Q10" ca="1">INDIRECT("'data'!$W$" &amp; $A$1)*parameters!$B$15</f>
        <v>6394.4344807965863</v>
      </c>
      <c r="R10" s="16">
        <f t="shared" ca="1" si="2"/>
        <v>6394.4344807965863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5688.6672534850641</v>
      </c>
      <c r="N11" s="19"/>
      <c r="O11" s="21" cm="1">
        <f t="array" aca="1" ref="O11" ca="1">INDIRECT("'data'!$Z$" &amp; $A$1)*parameters!$B$15</f>
        <v>889.84</v>
      </c>
      <c r="P11" s="27" cm="1">
        <f t="array" aca="1" ref="P11" ca="1">-INDIRECT("'data'!$AA$" &amp; $A$1)*parameters!$B$15</f>
        <v>-1559.18</v>
      </c>
      <c r="Q11" s="16">
        <f ca="1">K9*parameters!$B$10+K10*parameters!$B$11</f>
        <v>5019.3272534850639</v>
      </c>
      <c r="R11" s="16">
        <f t="shared" ref="R11:R17" ca="1" si="4">SUM(L11:P11)</f>
        <v>5019.3272534850639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-120.70560984200347</v>
      </c>
      <c r="D12" s="9">
        <f ca="1">-(D17-Q4)</f>
        <v>0</v>
      </c>
      <c r="E12" s="9">
        <f ca="1">-(E17-Q5)</f>
        <v>-726.01576725053565</v>
      </c>
      <c r="F12" s="9">
        <f ca="1">-(F17-Q6)</f>
        <v>-1287.7492537313447</v>
      </c>
      <c r="G12" s="9">
        <f ca="1">-(G17-Q7)</f>
        <v>-63.628317659352206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-2198.0989484832362</v>
      </c>
      <c r="M12" s="17"/>
      <c r="N12" s="17"/>
      <c r="O12" s="10"/>
      <c r="P12" s="12"/>
      <c r="Q12" s="9">
        <f t="shared" ref="Q12:Q17" ca="1" si="6">SUM(L12:P12)</f>
        <v>-2198.0989484832362</v>
      </c>
      <c r="R12" s="17">
        <f t="shared" ca="1" si="4"/>
        <v>-2198.0989484832362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-1128.821250422141</v>
      </c>
      <c r="J13" s="14">
        <f ca="1">-(J17-Q10)</f>
        <v>-1214.4242687812739</v>
      </c>
      <c r="K13" s="13">
        <f ca="1">-(K17-Q11)</f>
        <v>-516.62722731152189</v>
      </c>
      <c r="L13" s="14">
        <f t="shared" ca="1" si="5"/>
        <v>-2859.8727465149368</v>
      </c>
      <c r="M13" s="16">
        <f ca="1">-E15</f>
        <v>-3740.2705921263005</v>
      </c>
      <c r="N13" s="16"/>
      <c r="O13" s="11"/>
      <c r="P13" s="13"/>
      <c r="Q13" s="14">
        <f t="shared" ca="1" si="6"/>
        <v>-6600.1433386412373</v>
      </c>
      <c r="R13" s="16">
        <f t="shared" ca="1" si="4"/>
        <v>-6600.1433386412373</v>
      </c>
    </row>
    <row r="14" spans="1:20">
      <c r="A14" s="18" t="s">
        <v>78</v>
      </c>
      <c r="B14" s="11"/>
      <c r="C14" s="14"/>
      <c r="D14" s="14"/>
      <c r="E14" s="14">
        <f ca="1">-(I13+J13)-K13</f>
        <v>2859.8727465149368</v>
      </c>
      <c r="F14" s="14"/>
      <c r="G14" s="14"/>
      <c r="H14" s="14"/>
      <c r="I14" s="14"/>
      <c r="J14" s="14"/>
      <c r="K14" s="13"/>
      <c r="L14" s="14">
        <f t="shared" ca="1" si="5"/>
        <v>2859.8727465149368</v>
      </c>
      <c r="M14" s="16"/>
      <c r="N14" s="16"/>
      <c r="O14" s="11"/>
      <c r="P14" s="13"/>
      <c r="Q14" s="14">
        <f t="shared" ca="1" si="6"/>
        <v>2859.8727465149368</v>
      </c>
      <c r="R14" s="16">
        <f t="shared" ca="1" si="4"/>
        <v>2859.8727465149368</v>
      </c>
    </row>
    <row r="15" spans="1:20">
      <c r="A15" s="18" t="s">
        <v>79</v>
      </c>
      <c r="B15" s="11"/>
      <c r="C15" s="14"/>
      <c r="D15" s="14"/>
      <c r="E15" s="14">
        <f ca="1">E17-E14</f>
        <v>3740.2705921263005</v>
      </c>
      <c r="F15" s="14"/>
      <c r="G15" s="14"/>
      <c r="H15" s="14"/>
      <c r="I15" s="14"/>
      <c r="J15" s="14"/>
      <c r="K15" s="13"/>
      <c r="L15" s="14">
        <f t="shared" ca="1" si="5"/>
        <v>3740.2705921263005</v>
      </c>
      <c r="M15" s="16"/>
      <c r="N15" s="16"/>
      <c r="O15" s="11"/>
      <c r="P15" s="13"/>
      <c r="Q15" s="14">
        <f t="shared" ca="1" si="6"/>
        <v>3740.2705921263005</v>
      </c>
      <c r="R15" s="16">
        <f t="shared" ca="1" si="4"/>
        <v>3740.2705921263005</v>
      </c>
    </row>
    <row r="16" spans="1:20">
      <c r="A16" s="30" t="s">
        <v>89</v>
      </c>
      <c r="B16" s="21">
        <f ca="1">Q2</f>
        <v>37900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37900</v>
      </c>
      <c r="M16" s="19"/>
      <c r="N16" s="19"/>
      <c r="O16" s="21"/>
      <c r="P16" s="27"/>
      <c r="Q16" s="22">
        <f t="shared" ca="1" si="6"/>
        <v>37900</v>
      </c>
      <c r="R16" s="19">
        <f t="shared" ca="1" si="4"/>
        <v>37900</v>
      </c>
    </row>
    <row r="17" spans="1:18">
      <c r="A17" s="29" t="s">
        <v>88</v>
      </c>
      <c r="B17" s="9">
        <f ca="1">B16</f>
        <v>37900</v>
      </c>
      <c r="C17" s="9">
        <f ca="1">SUM(C$2:C$11)</f>
        <v>19159.620609842001</v>
      </c>
      <c r="D17" s="9">
        <f ca="1">SUM(D$2:D$11)</f>
        <v>0</v>
      </c>
      <c r="E17" s="9">
        <f ca="1">$Q$5/parameters!$B$4</f>
        <v>6600.1433386412373</v>
      </c>
      <c r="F17" s="9">
        <f t="shared" ref="F17:K17" ca="1" si="7">SUM(F$2:F$11)</f>
        <v>20770.149253731346</v>
      </c>
      <c r="G17" s="9">
        <f t="shared" ca="1" si="7"/>
        <v>1479.7283176593521</v>
      </c>
      <c r="H17" s="9">
        <f t="shared" ca="1" si="7"/>
        <v>20898.5</v>
      </c>
      <c r="I17" s="9">
        <f t="shared" ca="1" si="7"/>
        <v>7072.5212504221408</v>
      </c>
      <c r="J17" s="9">
        <f t="shared" ca="1" si="7"/>
        <v>7608.8587495778602</v>
      </c>
      <c r="K17" s="9">
        <f t="shared" ca="1" si="7"/>
        <v>5535.9544807965858</v>
      </c>
      <c r="L17" s="17">
        <f t="shared" ca="1" si="5"/>
        <v>127025.47600067052</v>
      </c>
      <c r="M17" s="17"/>
      <c r="N17" s="17"/>
      <c r="O17" s="9"/>
      <c r="P17" s="14"/>
      <c r="Q17" s="11">
        <f t="shared" ca="1" si="6"/>
        <v>127025.47600067052</v>
      </c>
      <c r="R17" s="17">
        <f t="shared" ca="1" si="4"/>
        <v>127025.47600067052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0.84039337451905649</v>
      </c>
      <c r="J18" s="39">
        <f ca="1">I18</f>
        <v>0.84039337451905649</v>
      </c>
      <c r="K18" s="40">
        <f ca="1">1-(-K13)/K17</f>
        <v>0.906677840451249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4036.9578343564453</v>
      </c>
      <c r="D2" s="9">
        <f ca="1">Q4/parameters!$B$3</f>
        <v>5565.180638019523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9602.1384723759693</v>
      </c>
      <c r="M2" s="17"/>
      <c r="N2" s="17">
        <f ca="1">Q2-(L2+O2+P2)</f>
        <v>2036.7615276240304</v>
      </c>
      <c r="O2" s="11" cm="1">
        <f t="array" aca="1" ref="O2" ca="1">INDIRECT("'data'!$F$" &amp; $A$1)</f>
        <v>74.100000000000009</v>
      </c>
      <c r="P2" s="13">
        <f ca="1">IF(-(L2-Q2+O2)&lt;0, -(L2-Q2+O2), 0)</f>
        <v>0</v>
      </c>
      <c r="Q2" s="17" cm="1">
        <f t="array" aca="1" ref="Q2" ca="1">INDIRECT("'data'!$D$" &amp; $A$1)</f>
        <v>11713</v>
      </c>
      <c r="R2" s="17">
        <f ca="1">SUM(L2:P2)</f>
        <v>11713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3945.9104477611945</v>
      </c>
      <c r="G3" s="14">
        <f ca="1">Q3-O3-P3-F3</f>
        <v>288.63455223880555</v>
      </c>
      <c r="H3" s="14"/>
      <c r="I3" s="14"/>
      <c r="J3" s="14"/>
      <c r="K3" s="13"/>
      <c r="L3" s="16">
        <f t="shared" ca="1" si="0"/>
        <v>4234.5450000000001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-223.01999999999998</v>
      </c>
      <c r="Q3" s="16" cm="1">
        <f t="array" aca="1" ref="Q3" ca="1">INDIRECT("'data'!$G$" &amp; $A$1)*parameters!$B$13</f>
        <v>4011.5249999999996</v>
      </c>
      <c r="R3" s="16">
        <f t="shared" ref="R3:R10" ca="1" si="2">SUM(L3:P3)</f>
        <v>4011.5250000000001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6060.96</v>
      </c>
      <c r="H4" s="14"/>
      <c r="I4" s="14"/>
      <c r="J4" s="14"/>
      <c r="K4" s="13"/>
      <c r="L4" s="16">
        <f t="shared" ca="1" si="0"/>
        <v>6060.96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-530.84</v>
      </c>
      <c r="Q4" s="16" cm="1">
        <f t="array" aca="1" ref="Q4" ca="1">INDIRECT("'data'!$J$" &amp; $A$1)*parameters!$B$14</f>
        <v>5530.12</v>
      </c>
      <c r="R4" s="16">
        <f t="shared" ca="1" si="2"/>
        <v>5530.12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986.47761194029863</v>
      </c>
      <c r="G5" s="14">
        <f ca="1">Q7/parameters!$B$7-(G3+G4)</f>
        <v>9250.5308396107248</v>
      </c>
      <c r="H5" s="14"/>
      <c r="I5" s="14"/>
      <c r="J5" s="14"/>
      <c r="K5" s="13"/>
      <c r="L5" s="16">
        <f t="shared" ca="1" si="0"/>
        <v>10237.008451551024</v>
      </c>
      <c r="M5" s="16"/>
      <c r="N5" s="16"/>
      <c r="O5" s="11" cm="1">
        <f t="array" aca="1" ref="O5" ca="1">INDIRECT("'data'!$M$" &amp; $A$1)*parameters!$B$15</f>
        <v>613.48</v>
      </c>
      <c r="P5" s="13" cm="1">
        <f t="array" aca="1" ref="P5" ca="1">-INDIRECT("'data'!$N$" &amp; $A$1)*parameters!$B$15</f>
        <v>-1746.36</v>
      </c>
      <c r="Q5" s="16">
        <f ca="1">SUM(L5:P5)</f>
        <v>9104.1284515510233</v>
      </c>
      <c r="R5" s="16">
        <f t="shared" ca="1" si="2"/>
        <v>9104.1284515510233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4626.58</v>
      </c>
      <c r="I6" s="14"/>
      <c r="J6" s="14"/>
      <c r="K6" s="13"/>
      <c r="L6" s="16">
        <f t="shared" ca="1" si="0"/>
        <v>4626.58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4626.58</v>
      </c>
      <c r="R6" s="16">
        <f t="shared" ca="1" si="2"/>
        <v>4626.58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14929.32</v>
      </c>
      <c r="I7" s="14"/>
      <c r="J7" s="14"/>
      <c r="K7" s="13"/>
      <c r="L7" s="16">
        <f t="shared" ca="1" si="0"/>
        <v>14929.32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14929.32</v>
      </c>
      <c r="R7" s="16">
        <f t="shared" ca="1" si="2"/>
        <v>14929.32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10009.996961217972</v>
      </c>
      <c r="J8" s="14">
        <f ca="1">Q10/J18</f>
        <v>9074.523038782032</v>
      </c>
      <c r="K8" s="13"/>
      <c r="L8" s="16">
        <f t="shared" ca="1" si="0"/>
        <v>19084.520000000004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1016.26</v>
      </c>
      <c r="P8" s="13" cm="1">
        <f t="array" aca="1" ref="P8" ca="1">-INDIRECT("'data'!$S$" &amp; $A$1)*parameters!$B$15</f>
        <v>-544.88</v>
      </c>
      <c r="Q8" s="16">
        <f ca="1">SUM(Q6:Q7)</f>
        <v>19555.900000000001</v>
      </c>
      <c r="R8" s="16">
        <f t="shared" ca="1" si="2"/>
        <v>19555.900000000001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9967.58</v>
      </c>
      <c r="L9" s="16">
        <f t="shared" ca="1" si="0"/>
        <v>9967.58</v>
      </c>
      <c r="M9" s="16"/>
      <c r="N9" s="16">
        <f t="shared" ca="1" si="3"/>
        <v>0</v>
      </c>
      <c r="O9" s="11" cm="1">
        <f t="array" aca="1" ref="O9" ca="1">INDIRECT("'data'!$U$" &amp; $A$1)*parameters!$B$15</f>
        <v>1275.96</v>
      </c>
      <c r="P9" s="13" cm="1">
        <f t="array" aca="1" ref="P9" ca="1">-INDIRECT("'data'!$V$" &amp; $A$1)*parameters!$B$15</f>
        <v>-1766.94</v>
      </c>
      <c r="Q9" s="16" cm="1">
        <f t="array" aca="1" ref="Q9" ca="1">INDIRECT("'data'!$T$" &amp; $A$1)*parameters!$B$15</f>
        <v>9476.6</v>
      </c>
      <c r="R9" s="16">
        <f t="shared" ca="1" si="2"/>
        <v>9476.6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15451.954139402562</v>
      </c>
      <c r="L10" s="16">
        <f t="shared" ca="1" si="0"/>
        <v>15451.954139402562</v>
      </c>
      <c r="M10" s="16"/>
      <c r="N10" s="16">
        <f t="shared" ca="1" si="3"/>
        <v>0</v>
      </c>
      <c r="O10" s="11" cm="1">
        <f t="array" aca="1" ref="O10" ca="1">INDIRECT("'data'!$X$" &amp; $A$1)*parameters!$B$15</f>
        <v>1107.4000000000001</v>
      </c>
      <c r="P10" s="13" cm="1">
        <f t="array" aca="1" ref="P10" ca="1">-INDIRECT("'data'!$Y$" &amp; $A$1)*parameters!$B$15</f>
        <v>-7968.38</v>
      </c>
      <c r="Q10" s="16" cm="1">
        <f t="array" aca="1" ref="Q10" ca="1">INDIRECT("'data'!$W$" &amp; $A$1)*parameters!$B$15</f>
        <v>8590.9741394025605</v>
      </c>
      <c r="R10" s="16">
        <f t="shared" ca="1" si="2"/>
        <v>8590.9741394025623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19660.385759886201</v>
      </c>
      <c r="N11" s="19"/>
      <c r="O11" s="21" cm="1">
        <f t="array" aca="1" ref="O11" ca="1">INDIRECT("'data'!$Z$" &amp; $A$1)*parameters!$B$15</f>
        <v>14280.56</v>
      </c>
      <c r="P11" s="27" cm="1">
        <f t="array" aca="1" ref="P11" ca="1">-INDIRECT("'data'!$AA$" &amp; $A$1)*parameters!$B$15</f>
        <v>-11282.74</v>
      </c>
      <c r="Q11" s="16">
        <f ca="1">K9*parameters!$B$10+K10*parameters!$B$11</f>
        <v>22658.205759886201</v>
      </c>
      <c r="R11" s="16">
        <f t="shared" ref="R11:R17" ca="1" si="4">SUM(L11:P11)</f>
        <v>22658.205759886201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-25.43283435644571</v>
      </c>
      <c r="D12" s="9">
        <f ca="1">-(D17-Q4)</f>
        <v>-35.06063801952314</v>
      </c>
      <c r="E12" s="9">
        <f ca="1">-(E17-Q5)</f>
        <v>-1125.2293591804628</v>
      </c>
      <c r="F12" s="9">
        <f ca="1">-(F17-Q6)</f>
        <v>-305.80805970149322</v>
      </c>
      <c r="G12" s="9">
        <f ca="1">-(G17-Q7)</f>
        <v>-670.80539184953159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-2162.3362831074564</v>
      </c>
      <c r="M12" s="17"/>
      <c r="N12" s="17"/>
      <c r="O12" s="10"/>
      <c r="P12" s="12"/>
      <c r="Q12" s="9">
        <f t="shared" ref="Q12:Q17" ca="1" si="6">SUM(L12:P12)</f>
        <v>-2162.3362831074564</v>
      </c>
      <c r="R12" s="17">
        <f t="shared" ca="1" si="4"/>
        <v>-2162.3362831074564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-533.39696121797169</v>
      </c>
      <c r="J13" s="14">
        <f ca="1">-(J17-Q10)</f>
        <v>-483.54889937947155</v>
      </c>
      <c r="K13" s="13">
        <f ca="1">-(K17-Q11)</f>
        <v>-2761.3283795163588</v>
      </c>
      <c r="L13" s="14">
        <f t="shared" ca="1" si="5"/>
        <v>-3778.2742401138021</v>
      </c>
      <c r="M13" s="16">
        <f ca="1">-E15</f>
        <v>-6451.083570617684</v>
      </c>
      <c r="N13" s="16"/>
      <c r="O13" s="11"/>
      <c r="P13" s="13"/>
      <c r="Q13" s="14">
        <f t="shared" ca="1" si="6"/>
        <v>-10229.357810731486</v>
      </c>
      <c r="R13" s="16">
        <f t="shared" ca="1" si="4"/>
        <v>-10229.357810731486</v>
      </c>
    </row>
    <row r="14" spans="1:20">
      <c r="A14" s="18" t="s">
        <v>78</v>
      </c>
      <c r="B14" s="11"/>
      <c r="C14" s="14"/>
      <c r="D14" s="14"/>
      <c r="E14" s="14">
        <f ca="1">-(I13+J13)-K13</f>
        <v>3778.2742401138021</v>
      </c>
      <c r="F14" s="14"/>
      <c r="G14" s="14"/>
      <c r="H14" s="14"/>
      <c r="I14" s="14"/>
      <c r="J14" s="14"/>
      <c r="K14" s="13"/>
      <c r="L14" s="14">
        <f t="shared" ca="1" si="5"/>
        <v>3778.2742401138021</v>
      </c>
      <c r="M14" s="16"/>
      <c r="N14" s="16"/>
      <c r="O14" s="11"/>
      <c r="P14" s="13"/>
      <c r="Q14" s="14">
        <f t="shared" ca="1" si="6"/>
        <v>3778.2742401138021</v>
      </c>
      <c r="R14" s="16">
        <f t="shared" ca="1" si="4"/>
        <v>3778.2742401138021</v>
      </c>
    </row>
    <row r="15" spans="1:20">
      <c r="A15" s="18" t="s">
        <v>79</v>
      </c>
      <c r="B15" s="11"/>
      <c r="C15" s="14"/>
      <c r="D15" s="14"/>
      <c r="E15" s="14">
        <f ca="1">E17-E14</f>
        <v>6451.083570617684</v>
      </c>
      <c r="F15" s="14"/>
      <c r="G15" s="14"/>
      <c r="H15" s="14"/>
      <c r="I15" s="14"/>
      <c r="J15" s="14"/>
      <c r="K15" s="13"/>
      <c r="L15" s="14">
        <f t="shared" ca="1" si="5"/>
        <v>6451.083570617684</v>
      </c>
      <c r="M15" s="16"/>
      <c r="N15" s="16"/>
      <c r="O15" s="11"/>
      <c r="P15" s="13"/>
      <c r="Q15" s="14">
        <f t="shared" ca="1" si="6"/>
        <v>6451.083570617684</v>
      </c>
      <c r="R15" s="16">
        <f t="shared" ca="1" si="4"/>
        <v>6451.083570617684</v>
      </c>
    </row>
    <row r="16" spans="1:20">
      <c r="A16" s="30" t="s">
        <v>89</v>
      </c>
      <c r="B16" s="21">
        <f ca="1">Q2</f>
        <v>11713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11713</v>
      </c>
      <c r="M16" s="19"/>
      <c r="N16" s="19"/>
      <c r="O16" s="21"/>
      <c r="P16" s="27"/>
      <c r="Q16" s="22">
        <f t="shared" ca="1" si="6"/>
        <v>11713</v>
      </c>
      <c r="R16" s="19">
        <f t="shared" ca="1" si="4"/>
        <v>11713</v>
      </c>
    </row>
    <row r="17" spans="1:18">
      <c r="A17" s="29" t="s">
        <v>88</v>
      </c>
      <c r="B17" s="9">
        <f ca="1">B16</f>
        <v>11713</v>
      </c>
      <c r="C17" s="9">
        <f ca="1">SUM(C$2:C$11)</f>
        <v>4036.9578343564453</v>
      </c>
      <c r="D17" s="9">
        <f ca="1">SUM(D$2:D$11)</f>
        <v>5565.180638019523</v>
      </c>
      <c r="E17" s="9">
        <f ca="1">$Q$5/parameters!$B$4</f>
        <v>10229.357810731486</v>
      </c>
      <c r="F17" s="9">
        <f t="shared" ref="F17:K17" ca="1" si="7">SUM(F$2:F$11)</f>
        <v>4932.3880597014931</v>
      </c>
      <c r="G17" s="9">
        <f t="shared" ca="1" si="7"/>
        <v>15600.125391849531</v>
      </c>
      <c r="H17" s="9">
        <f t="shared" ca="1" si="7"/>
        <v>19555.900000000001</v>
      </c>
      <c r="I17" s="9">
        <f t="shared" ca="1" si="7"/>
        <v>10009.996961217972</v>
      </c>
      <c r="J17" s="9">
        <f t="shared" ca="1" si="7"/>
        <v>9074.523038782032</v>
      </c>
      <c r="K17" s="9">
        <f t="shared" ca="1" si="7"/>
        <v>25419.53413940256</v>
      </c>
      <c r="L17" s="17">
        <f t="shared" ca="1" si="5"/>
        <v>116136.96387406105</v>
      </c>
      <c r="M17" s="17"/>
      <c r="N17" s="17"/>
      <c r="O17" s="9"/>
      <c r="P17" s="14"/>
      <c r="Q17" s="11">
        <f t="shared" ca="1" si="6"/>
        <v>116136.96387406105</v>
      </c>
      <c r="R17" s="17">
        <f t="shared" ca="1" si="4"/>
        <v>116136.96387406105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0.94671357411150803</v>
      </c>
      <c r="J18" s="39">
        <f ca="1">I18</f>
        <v>0.94671357411150803</v>
      </c>
      <c r="K18" s="40">
        <f ca="1">1-(-K13)/K17</f>
        <v>0.89136982745737847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4041.7127905806578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4041.7127905806578</v>
      </c>
      <c r="M2" s="17"/>
      <c r="N2" s="17">
        <f ca="1">Q2-(L2+O2+P2)</f>
        <v>0</v>
      </c>
      <c r="O2" s="11" cm="1">
        <f t="array" aca="1" ref="O2" ca="1">INDIRECT("'data'!$F$" &amp; $A$1)</f>
        <v>2283.4500000000003</v>
      </c>
      <c r="P2" s="13">
        <f ca="1">IF(-(L2-Q2+O2)&lt;0, -(L2-Q2+O2), 0)</f>
        <v>-3405.1627905806581</v>
      </c>
      <c r="Q2" s="17" cm="1">
        <f t="array" aca="1" ref="Q2" ca="1">INDIRECT("'data'!$D$" &amp; $A$1)</f>
        <v>2920</v>
      </c>
      <c r="R2" s="17">
        <f ca="1">SUM(L2:P2)</f>
        <v>2920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3356.6567164179105</v>
      </c>
      <c r="G3" s="14">
        <f ca="1">Q3-O3-P3-F3</f>
        <v>682.27328358208933</v>
      </c>
      <c r="H3" s="14"/>
      <c r="I3" s="14"/>
      <c r="J3" s="14"/>
      <c r="K3" s="13"/>
      <c r="L3" s="16">
        <f t="shared" ca="1" si="0"/>
        <v>4038.93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34.019999999999996</v>
      </c>
      <c r="P3" s="13" cm="1">
        <f t="array" aca="1" ref="P3" ca="1">-INDIRECT("'data'!$I$" &amp; $A$1)*parameters!$B$13</f>
        <v>-56.699999999999996</v>
      </c>
      <c r="Q3" s="16" cm="1">
        <f t="array" aca="1" ref="Q3" ca="1">INDIRECT("'data'!$G$" &amp; $A$1)*parameters!$B$13</f>
        <v>4016.25</v>
      </c>
      <c r="R3" s="16">
        <f t="shared" ref="R3:R10" ca="1" si="2">SUM(L3:P3)</f>
        <v>4016.25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839.16417910447763</v>
      </c>
      <c r="G5" s="14">
        <f ca="1">Q7/parameters!$B$7-(G3+G4)</f>
        <v>6953.9440622904294</v>
      </c>
      <c r="H5" s="14"/>
      <c r="I5" s="14"/>
      <c r="J5" s="14"/>
      <c r="K5" s="13"/>
      <c r="L5" s="16">
        <f t="shared" ca="1" si="0"/>
        <v>7793.1082413949071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-4459</v>
      </c>
      <c r="Q5" s="16">
        <f ca="1">SUM(L5:P5)</f>
        <v>3334.1082413949071</v>
      </c>
      <c r="R5" s="16">
        <f t="shared" ca="1" si="2"/>
        <v>3334.1082413949071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3935.68</v>
      </c>
      <c r="I6" s="14"/>
      <c r="J6" s="14"/>
      <c r="K6" s="13"/>
      <c r="L6" s="16">
        <f t="shared" ca="1" si="0"/>
        <v>3935.68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3935.68</v>
      </c>
      <c r="R6" s="16">
        <f t="shared" ca="1" si="2"/>
        <v>3935.68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7307.86</v>
      </c>
      <c r="I7" s="14"/>
      <c r="J7" s="14"/>
      <c r="K7" s="13"/>
      <c r="L7" s="16">
        <f t="shared" ca="1" si="0"/>
        <v>7307.86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7307.86</v>
      </c>
      <c r="R7" s="16">
        <f t="shared" ca="1" si="2"/>
        <v>7307.86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9695.472853976371</v>
      </c>
      <c r="J8" s="14">
        <f ca="1">Q10/J18</f>
        <v>1307.9671460236282</v>
      </c>
      <c r="K8" s="13"/>
      <c r="L8" s="16">
        <f t="shared" ca="1" si="0"/>
        <v>11003.439999999999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640.91999999999996</v>
      </c>
      <c r="P8" s="13" cm="1">
        <f t="array" aca="1" ref="P8" ca="1">-INDIRECT("'data'!$S$" &amp; $A$1)*parameters!$B$15</f>
        <v>-400.82</v>
      </c>
      <c r="Q8" s="16">
        <f ca="1">SUM(Q6:Q7)</f>
        <v>11243.539999999999</v>
      </c>
      <c r="R8" s="16">
        <f t="shared" ca="1" si="2"/>
        <v>11243.539999999999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11013.24</v>
      </c>
      <c r="L9" s="16">
        <f t="shared" ca="1" si="0"/>
        <v>11013.24</v>
      </c>
      <c r="M9" s="16"/>
      <c r="N9" s="16">
        <f t="shared" ca="1" si="3"/>
        <v>0</v>
      </c>
      <c r="O9" s="11" cm="1">
        <f t="array" aca="1" ref="O9" ca="1">INDIRECT("'data'!$U$" &amp; $A$1)*parameters!$B$15</f>
        <v>533.12</v>
      </c>
      <c r="P9" s="13" cm="1">
        <f t="array" aca="1" ref="P9" ca="1">-INDIRECT("'data'!$V$" &amp; $A$1)*parameters!$B$15</f>
        <v>-1820.84</v>
      </c>
      <c r="Q9" s="16" cm="1">
        <f t="array" aca="1" ref="Q9" ca="1">INDIRECT("'data'!$T$" &amp; $A$1)*parameters!$B$15</f>
        <v>9725.52</v>
      </c>
      <c r="R9" s="16">
        <f t="shared" ca="1" si="2"/>
        <v>9725.52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12348.780654338549</v>
      </c>
      <c r="L10" s="16">
        <f t="shared" ca="1" si="0"/>
        <v>12348.780654338549</v>
      </c>
      <c r="M10" s="16"/>
      <c r="N10" s="16">
        <f t="shared" ca="1" si="3"/>
        <v>0</v>
      </c>
      <c r="O10" s="11" cm="1">
        <f t="array" aca="1" ref="O10" ca="1">INDIRECT("'data'!$X$" &amp; $A$1)*parameters!$B$15</f>
        <v>2279.48</v>
      </c>
      <c r="P10" s="13" cm="1">
        <f t="array" aca="1" ref="P10" ca="1">-INDIRECT("'data'!$Y$" &amp; $A$1)*parameters!$B$15</f>
        <v>-13316.24</v>
      </c>
      <c r="Q10" s="16" cm="1">
        <f t="array" aca="1" ref="Q10" ca="1">INDIRECT("'data'!$W$" &amp; $A$1)*parameters!$B$15</f>
        <v>1312.0206543385491</v>
      </c>
      <c r="R10" s="16">
        <f t="shared" ca="1" si="2"/>
        <v>1312.0206543385484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22006.296962731154</v>
      </c>
      <c r="N11" s="19"/>
      <c r="O11" s="21" cm="1">
        <f t="array" aca="1" ref="O11" ca="1">INDIRECT("'data'!$Z$" &amp; $A$1)*parameters!$B$15</f>
        <v>1088.78</v>
      </c>
      <c r="P11" s="27" cm="1">
        <f t="array" aca="1" ref="P11" ca="1">-INDIRECT("'data'!$AA$" &amp; $A$1)*parameters!$B$15</f>
        <v>-2122.6799999999998</v>
      </c>
      <c r="Q11" s="16">
        <f ca="1">K9*parameters!$B$10+K10*parameters!$B$11</f>
        <v>20972.396962731153</v>
      </c>
      <c r="R11" s="16">
        <f t="shared" ref="R11:R17" ca="1" si="4">SUM(L11:P11)</f>
        <v>20972.396962731153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-25.462790580657838</v>
      </c>
      <c r="D12" s="9">
        <f ca="1">-(D17-Q4)</f>
        <v>0</v>
      </c>
      <c r="E12" s="9">
        <f ca="1">-(E17-Q5)</f>
        <v>-412.08079388026954</v>
      </c>
      <c r="F12" s="9">
        <f ca="1">-(F17-Q6)</f>
        <v>-260.14089552238829</v>
      </c>
      <c r="G12" s="9">
        <f ca="1">-(G17-Q7)</f>
        <v>-328.35734587251955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-1026.0418258558352</v>
      </c>
      <c r="M12" s="17"/>
      <c r="N12" s="17"/>
      <c r="O12" s="10"/>
      <c r="P12" s="12"/>
      <c r="Q12" s="9">
        <f t="shared" ref="Q12:Q17" ca="1" si="6">SUM(L12:P12)</f>
        <v>-1026.0418258558352</v>
      </c>
      <c r="R12" s="17">
        <f t="shared" ca="1" si="4"/>
        <v>-1026.0418258558352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30.047146023629466</v>
      </c>
      <c r="J13" s="14">
        <f ca="1">-(J17-Q10)</f>
        <v>4.0535083149209186</v>
      </c>
      <c r="K13" s="13">
        <f ca="1">-(K17-Q11)</f>
        <v>-2389.6236916073976</v>
      </c>
      <c r="L13" s="14">
        <f t="shared" ca="1" si="5"/>
        <v>-2355.5230372688475</v>
      </c>
      <c r="M13" s="16">
        <f ca="1">-E15</f>
        <v>-1390.6659980063291</v>
      </c>
      <c r="N13" s="16"/>
      <c r="O13" s="11"/>
      <c r="P13" s="13"/>
      <c r="Q13" s="14">
        <f t="shared" ca="1" si="6"/>
        <v>-3746.1890352751766</v>
      </c>
      <c r="R13" s="16">
        <f t="shared" ca="1" si="4"/>
        <v>-3746.1890352751766</v>
      </c>
    </row>
    <row r="14" spans="1:20">
      <c r="A14" s="18" t="s">
        <v>78</v>
      </c>
      <c r="B14" s="11"/>
      <c r="C14" s="14"/>
      <c r="D14" s="14"/>
      <c r="E14" s="14">
        <f ca="1">-(I13+J13)-K13</f>
        <v>2355.5230372688475</v>
      </c>
      <c r="F14" s="14"/>
      <c r="G14" s="14"/>
      <c r="H14" s="14"/>
      <c r="I14" s="14"/>
      <c r="J14" s="14"/>
      <c r="K14" s="13"/>
      <c r="L14" s="14">
        <f t="shared" ca="1" si="5"/>
        <v>2355.5230372688475</v>
      </c>
      <c r="M14" s="16"/>
      <c r="N14" s="16"/>
      <c r="O14" s="11"/>
      <c r="P14" s="13"/>
      <c r="Q14" s="14">
        <f t="shared" ca="1" si="6"/>
        <v>2355.5230372688475</v>
      </c>
      <c r="R14" s="16">
        <f t="shared" ca="1" si="4"/>
        <v>2355.5230372688475</v>
      </c>
    </row>
    <row r="15" spans="1:20">
      <c r="A15" s="18" t="s">
        <v>79</v>
      </c>
      <c r="B15" s="11"/>
      <c r="C15" s="14"/>
      <c r="D15" s="14"/>
      <c r="E15" s="14">
        <f ca="1">E17-E14</f>
        <v>1390.6659980063291</v>
      </c>
      <c r="F15" s="14"/>
      <c r="G15" s="14"/>
      <c r="H15" s="14"/>
      <c r="I15" s="14"/>
      <c r="J15" s="14"/>
      <c r="K15" s="13"/>
      <c r="L15" s="14">
        <f t="shared" ca="1" si="5"/>
        <v>1390.6659980063291</v>
      </c>
      <c r="M15" s="16"/>
      <c r="N15" s="16"/>
      <c r="O15" s="11"/>
      <c r="P15" s="13"/>
      <c r="Q15" s="14">
        <f t="shared" ca="1" si="6"/>
        <v>1390.6659980063291</v>
      </c>
      <c r="R15" s="16">
        <f t="shared" ca="1" si="4"/>
        <v>1390.6659980063291</v>
      </c>
    </row>
    <row r="16" spans="1:20">
      <c r="A16" s="30" t="s">
        <v>89</v>
      </c>
      <c r="B16" s="21">
        <f ca="1">Q2</f>
        <v>2920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2920</v>
      </c>
      <c r="M16" s="19"/>
      <c r="N16" s="19"/>
      <c r="O16" s="21"/>
      <c r="P16" s="27"/>
      <c r="Q16" s="22">
        <f t="shared" ca="1" si="6"/>
        <v>2920</v>
      </c>
      <c r="R16" s="19">
        <f t="shared" ca="1" si="4"/>
        <v>2920</v>
      </c>
    </row>
    <row r="17" spans="1:18">
      <c r="A17" s="29" t="s">
        <v>88</v>
      </c>
      <c r="B17" s="9">
        <f ca="1">B16</f>
        <v>2920</v>
      </c>
      <c r="C17" s="9">
        <f ca="1">SUM(C$2:C$11)</f>
        <v>4041.7127905806578</v>
      </c>
      <c r="D17" s="9">
        <f ca="1">SUM(D$2:D$11)</f>
        <v>0</v>
      </c>
      <c r="E17" s="9">
        <f ca="1">$Q$5/parameters!$B$4</f>
        <v>3746.1890352751766</v>
      </c>
      <c r="F17" s="9">
        <f t="shared" ref="F17:K17" ca="1" si="7">SUM(F$2:F$11)</f>
        <v>4195.8208955223881</v>
      </c>
      <c r="G17" s="9">
        <f t="shared" ca="1" si="7"/>
        <v>7636.2173458725192</v>
      </c>
      <c r="H17" s="9">
        <f t="shared" ca="1" si="7"/>
        <v>11243.539999999999</v>
      </c>
      <c r="I17" s="9">
        <f t="shared" ca="1" si="7"/>
        <v>9695.472853976371</v>
      </c>
      <c r="J17" s="9">
        <f t="shared" ca="1" si="7"/>
        <v>1307.9671460236282</v>
      </c>
      <c r="K17" s="9">
        <f t="shared" ca="1" si="7"/>
        <v>23362.02065433855</v>
      </c>
      <c r="L17" s="17">
        <f t="shared" ca="1" si="5"/>
        <v>68148.940721589286</v>
      </c>
      <c r="M17" s="17"/>
      <c r="N17" s="17"/>
      <c r="O17" s="9"/>
      <c r="P17" s="14"/>
      <c r="Q17" s="11">
        <f t="shared" ca="1" si="6"/>
        <v>68148.940721589286</v>
      </c>
      <c r="R17" s="17">
        <f t="shared" ca="1" si="4"/>
        <v>68148.940721589286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1.0030990903152606</v>
      </c>
      <c r="J18" s="39">
        <f ca="1">I18</f>
        <v>1.0030990903152606</v>
      </c>
      <c r="K18" s="40">
        <f ca="1">1-(-K13)/K17</f>
        <v>0.89771331311773228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10154.684512428297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10154.684512428297</v>
      </c>
      <c r="M2" s="17"/>
      <c r="N2" s="17">
        <f ca="1">Q2-(L2+O2+P2)</f>
        <v>0</v>
      </c>
      <c r="O2" s="11" cm="1">
        <f t="array" aca="1" ref="O2" ca="1">INDIRECT("'data'!$F$" &amp; $A$1)</f>
        <v>11.700000000000001</v>
      </c>
      <c r="P2" s="13">
        <f ca="1">IF(-(L2-Q2+O2)&lt;0, -(L2-Q2+O2), 0)</f>
        <v>-10166.384512428298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8913.1940298507452</v>
      </c>
      <c r="G3" s="14">
        <f ca="1">Q3-O3-P3-F3</f>
        <v>1258.7859701492544</v>
      </c>
      <c r="H3" s="14"/>
      <c r="I3" s="14"/>
      <c r="J3" s="14"/>
      <c r="K3" s="13"/>
      <c r="L3" s="16">
        <f t="shared" ca="1" si="0"/>
        <v>10171.98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46.305</v>
      </c>
      <c r="P3" s="13" cm="1">
        <f t="array" aca="1" ref="P3" ca="1">-INDIRECT("'data'!$I$" &amp; $A$1)*parameters!$B$13</f>
        <v>-127.57499999999999</v>
      </c>
      <c r="Q3" s="16" cm="1">
        <f t="array" aca="1" ref="Q3" ca="1">INDIRECT("'data'!$G$" &amp; $A$1)*parameters!$B$13</f>
        <v>10090.709999999999</v>
      </c>
      <c r="R3" s="16">
        <f t="shared" ref="R3:R10" ca="1" si="2">SUM(L3:P3)</f>
        <v>10090.709999999999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182.16</v>
      </c>
      <c r="H4" s="14"/>
      <c r="I4" s="14"/>
      <c r="J4" s="14"/>
      <c r="K4" s="13"/>
      <c r="L4" s="16">
        <f t="shared" ca="1" si="0"/>
        <v>182.16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-182.16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2228.2985074626863</v>
      </c>
      <c r="G5" s="14">
        <f ca="1">Q7/parameters!$B$7-(G3+G4)</f>
        <v>3515.3758689312053</v>
      </c>
      <c r="H5" s="14"/>
      <c r="I5" s="14"/>
      <c r="J5" s="14"/>
      <c r="K5" s="13"/>
      <c r="L5" s="16">
        <f t="shared" ca="1" si="0"/>
        <v>5743.6743763938921</v>
      </c>
      <c r="M5" s="16"/>
      <c r="N5" s="16"/>
      <c r="O5" s="11" cm="1">
        <f t="array" aca="1" ref="O5" ca="1">INDIRECT("'data'!$M$" &amp; $A$1)*parameters!$B$15</f>
        <v>6052.48</v>
      </c>
      <c r="P5" s="13" cm="1">
        <f t="array" aca="1" ref="P5" ca="1">-INDIRECT("'data'!$N$" &amp; $A$1)*parameters!$B$15</f>
        <v>-1870.82</v>
      </c>
      <c r="Q5" s="16">
        <f ca="1">SUM(L5:P5)</f>
        <v>9925.3343763938919</v>
      </c>
      <c r="R5" s="16">
        <f t="shared" ca="1" si="2"/>
        <v>9925.3343763938919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10450.719999999999</v>
      </c>
      <c r="I6" s="14"/>
      <c r="J6" s="14"/>
      <c r="K6" s="13"/>
      <c r="L6" s="16">
        <f t="shared" ca="1" si="0"/>
        <v>10450.719999999999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10450.719999999999</v>
      </c>
      <c r="R6" s="16">
        <f t="shared" ca="1" si="2"/>
        <v>10450.719999999999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4743.2</v>
      </c>
      <c r="I7" s="14"/>
      <c r="J7" s="14"/>
      <c r="K7" s="13"/>
      <c r="L7" s="16">
        <f t="shared" ca="1" si="0"/>
        <v>4743.2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4743.2</v>
      </c>
      <c r="R7" s="16">
        <f t="shared" ca="1" si="2"/>
        <v>4743.2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4592.631207893206</v>
      </c>
      <c r="J8" s="14">
        <f ca="1">Q10/J18</f>
        <v>11240.248792106793</v>
      </c>
      <c r="K8" s="13"/>
      <c r="L8" s="16">
        <f t="shared" ca="1" si="0"/>
        <v>15832.88</v>
      </c>
      <c r="M8" s="16"/>
      <c r="N8" s="16">
        <f t="shared" ca="1" si="3"/>
        <v>0</v>
      </c>
      <c r="O8" s="11" cm="1">
        <f t="array" aca="1" ref="O8" ca="1">INDIRECT("'data'!$R$" &amp; $A$1)*parameters!$B$15</f>
        <v>1153.46</v>
      </c>
      <c r="P8" s="13" cm="1">
        <f t="array" aca="1" ref="P8" ca="1">-INDIRECT("'data'!$S$" &amp; $A$1)*parameters!$B$15</f>
        <v>-1792.42</v>
      </c>
      <c r="Q8" s="16">
        <f ca="1">SUM(Q6:Q7)</f>
        <v>15193.919999999998</v>
      </c>
      <c r="R8" s="16">
        <f t="shared" ca="1" si="2"/>
        <v>15193.92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5113.6399999999994</v>
      </c>
      <c r="L9" s="16">
        <f t="shared" ca="1" si="0"/>
        <v>5113.6399999999994</v>
      </c>
      <c r="M9" s="16"/>
      <c r="N9" s="16">
        <f t="shared" ca="1" si="3"/>
        <v>0</v>
      </c>
      <c r="O9" s="11" cm="1">
        <f t="array" aca="1" ref="O9" ca="1">INDIRECT("'data'!$U$" &amp; $A$1)*parameters!$B$15</f>
        <v>2443.14</v>
      </c>
      <c r="P9" s="13" cm="1">
        <f t="array" aca="1" ref="P9" ca="1">-INDIRECT("'data'!$V$" &amp; $A$1)*parameters!$B$15</f>
        <v>-3277.12</v>
      </c>
      <c r="Q9" s="16" cm="1">
        <f t="array" aca="1" ref="Q9" ca="1">INDIRECT("'data'!$T$" &amp; $A$1)*parameters!$B$15</f>
        <v>4279.66</v>
      </c>
      <c r="R9" s="16">
        <f t="shared" ca="1" si="2"/>
        <v>4279.6599999999989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8384.9064864864868</v>
      </c>
      <c r="L10" s="16">
        <f t="shared" ca="1" si="0"/>
        <v>8384.9064864864868</v>
      </c>
      <c r="M10" s="16"/>
      <c r="N10" s="16">
        <f t="shared" ca="1" si="3"/>
        <v>0</v>
      </c>
      <c r="O10" s="11" cm="1">
        <f t="array" aca="1" ref="O10" ca="1">INDIRECT("'data'!$X$" &amp; $A$1)*parameters!$B$15</f>
        <v>10356.64</v>
      </c>
      <c r="P10" s="13" cm="1">
        <f t="array" aca="1" ref="P10" ca="1">-INDIRECT("'data'!$Y$" &amp; $A$1)*parameters!$B$15</f>
        <v>-8267.2800000000007</v>
      </c>
      <c r="Q10" s="16" cm="1">
        <f t="array" aca="1" ref="Q10" ca="1">INDIRECT("'data'!$W$" &amp; $A$1)*parameters!$B$15</f>
        <v>10474.266486486486</v>
      </c>
      <c r="R10" s="16">
        <f t="shared" ca="1" si="2"/>
        <v>10474.266486486484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16221.061178378377</v>
      </c>
      <c r="N11" s="19"/>
      <c r="O11" s="21" cm="1">
        <f t="array" aca="1" ref="O11" ca="1">INDIRECT("'data'!$Z$" &amp; $A$1)*parameters!$B$15</f>
        <v>8267.2800000000007</v>
      </c>
      <c r="P11" s="27" cm="1">
        <f t="array" aca="1" ref="P11" ca="1">-INDIRECT("'data'!$AA$" &amp; $A$1)*parameters!$B$15</f>
        <v>-12470.5</v>
      </c>
      <c r="Q11" s="16">
        <f ca="1">K9*parameters!$B$10+K10*parameters!$B$11</f>
        <v>12017.841178378378</v>
      </c>
      <c r="R11" s="16">
        <f t="shared" ref="R11:R17" ca="1" si="4">SUM(L11:P11)</f>
        <v>12017.841178378378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-63.974512428298112</v>
      </c>
      <c r="D12" s="9">
        <f ca="1">-(D17-Q4)</f>
        <v>0</v>
      </c>
      <c r="E12" s="9">
        <f ca="1">-(E17-Q5)</f>
        <v>-1226.7267206778961</v>
      </c>
      <c r="F12" s="9">
        <f ca="1">-(F17-Q6)</f>
        <v>-690.77253731343262</v>
      </c>
      <c r="G12" s="9">
        <f ca="1">-(G17-Q7)</f>
        <v>-213.12183908045972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-2194.5956095000865</v>
      </c>
      <c r="M12" s="17"/>
      <c r="N12" s="17"/>
      <c r="O12" s="10"/>
      <c r="P12" s="12"/>
      <c r="Q12" s="9">
        <f t="shared" ref="Q12:Q17" ca="1" si="6">SUM(L12:P12)</f>
        <v>-2194.5956095000865</v>
      </c>
      <c r="R12" s="17">
        <f t="shared" ca="1" si="4"/>
        <v>-2194.5956095000865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-312.97120789320616</v>
      </c>
      <c r="J13" s="14">
        <f ca="1">-(J17-Q10)</f>
        <v>-765.98230562030767</v>
      </c>
      <c r="K13" s="13">
        <f ca="1">-(K17-Q11)</f>
        <v>-1480.7053081081085</v>
      </c>
      <c r="L13" s="14">
        <f t="shared" ca="1" si="5"/>
        <v>-2559.6588216216223</v>
      </c>
      <c r="M13" s="16">
        <f ca="1">-E15</f>
        <v>-8592.4022754501657</v>
      </c>
      <c r="N13" s="16"/>
      <c r="O13" s="11"/>
      <c r="P13" s="13"/>
      <c r="Q13" s="14">
        <f t="shared" ca="1" si="6"/>
        <v>-11152.061097071788</v>
      </c>
      <c r="R13" s="16">
        <f t="shared" ca="1" si="4"/>
        <v>-11152.061097071788</v>
      </c>
    </row>
    <row r="14" spans="1:20">
      <c r="A14" s="18" t="s">
        <v>78</v>
      </c>
      <c r="B14" s="11"/>
      <c r="C14" s="14"/>
      <c r="D14" s="14"/>
      <c r="E14" s="14">
        <f ca="1">-(I13+J13)-K13</f>
        <v>2559.6588216216223</v>
      </c>
      <c r="F14" s="14"/>
      <c r="G14" s="14"/>
      <c r="H14" s="14"/>
      <c r="I14" s="14"/>
      <c r="J14" s="14"/>
      <c r="K14" s="13"/>
      <c r="L14" s="14">
        <f t="shared" ca="1" si="5"/>
        <v>2559.6588216216223</v>
      </c>
      <c r="M14" s="16"/>
      <c r="N14" s="16"/>
      <c r="O14" s="11"/>
      <c r="P14" s="13"/>
      <c r="Q14" s="14">
        <f t="shared" ca="1" si="6"/>
        <v>2559.6588216216223</v>
      </c>
      <c r="R14" s="16">
        <f t="shared" ca="1" si="4"/>
        <v>2559.6588216216223</v>
      </c>
    </row>
    <row r="15" spans="1:20">
      <c r="A15" s="18" t="s">
        <v>79</v>
      </c>
      <c r="B15" s="11"/>
      <c r="C15" s="14"/>
      <c r="D15" s="14"/>
      <c r="E15" s="14">
        <f ca="1">E17-E14</f>
        <v>8592.4022754501657</v>
      </c>
      <c r="F15" s="14"/>
      <c r="G15" s="14"/>
      <c r="H15" s="14"/>
      <c r="I15" s="14"/>
      <c r="J15" s="14"/>
      <c r="K15" s="13"/>
      <c r="L15" s="14">
        <f t="shared" ca="1" si="5"/>
        <v>8592.4022754501657</v>
      </c>
      <c r="M15" s="16"/>
      <c r="N15" s="16"/>
      <c r="O15" s="11"/>
      <c r="P15" s="13"/>
      <c r="Q15" s="14">
        <f t="shared" ca="1" si="6"/>
        <v>8592.4022754501657</v>
      </c>
      <c r="R15" s="16">
        <f t="shared" ca="1" si="4"/>
        <v>8592.4022754501657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10154.684512428297</v>
      </c>
      <c r="D17" s="9">
        <f ca="1">SUM(D$2:D$11)</f>
        <v>0</v>
      </c>
      <c r="E17" s="9">
        <f ca="1">$Q$5/parameters!$B$4</f>
        <v>11152.061097071788</v>
      </c>
      <c r="F17" s="9">
        <f t="shared" ref="F17:K17" ca="1" si="7">SUM(F$2:F$11)</f>
        <v>11141.492537313432</v>
      </c>
      <c r="G17" s="9">
        <f t="shared" ca="1" si="7"/>
        <v>4956.3218390804595</v>
      </c>
      <c r="H17" s="9">
        <f t="shared" ca="1" si="7"/>
        <v>15193.919999999998</v>
      </c>
      <c r="I17" s="9">
        <f t="shared" ca="1" si="7"/>
        <v>4592.631207893206</v>
      </c>
      <c r="J17" s="9">
        <f t="shared" ca="1" si="7"/>
        <v>11240.248792106793</v>
      </c>
      <c r="K17" s="9">
        <f t="shared" ca="1" si="7"/>
        <v>13498.546486486486</v>
      </c>
      <c r="L17" s="17">
        <f t="shared" ca="1" si="5"/>
        <v>81929.906472380462</v>
      </c>
      <c r="M17" s="17"/>
      <c r="N17" s="17"/>
      <c r="O17" s="9"/>
      <c r="P17" s="14"/>
      <c r="Q17" s="11">
        <f t="shared" ca="1" si="6"/>
        <v>81929.906472380462</v>
      </c>
      <c r="R17" s="17">
        <f t="shared" ca="1" si="4"/>
        <v>81929.906472380462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0.93185361642900633</v>
      </c>
      <c r="J18" s="39">
        <f ca="1">I18</f>
        <v>0.93185361642900633</v>
      </c>
      <c r="K18" s="40">
        <f ca="1">1-(-K13)/K17</f>
        <v>0.89030631486208867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4243.3229344872698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4243.3229344872698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-4243.3229344872698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4029.4925373134329</v>
      </c>
      <c r="G3" s="14">
        <f ca="1">Q3-O3-P3-F3</f>
        <v>360.97746268656738</v>
      </c>
      <c r="H3" s="14"/>
      <c r="I3" s="14"/>
      <c r="J3" s="14"/>
      <c r="K3" s="13"/>
      <c r="L3" s="16">
        <f t="shared" ca="1" si="0"/>
        <v>4390.47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12.285</v>
      </c>
      <c r="P3" s="13" cm="1">
        <f t="array" aca="1" ref="P3" ca="1">-INDIRECT("'data'!$I$" &amp; $A$1)*parameters!$B$13</f>
        <v>-186.16499999999999</v>
      </c>
      <c r="Q3" s="16" cm="1">
        <f t="array" aca="1" ref="Q3" ca="1">INDIRECT("'data'!$G$" &amp; $A$1)*parameters!$B$13</f>
        <v>4216.59</v>
      </c>
      <c r="R3" s="16">
        <f t="shared" ref="R3:R10" ca="1" si="2">SUM(L3:P3)</f>
        <v>4216.59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391.92</v>
      </c>
      <c r="H4" s="14"/>
      <c r="I4" s="14"/>
      <c r="J4" s="14"/>
      <c r="K4" s="13"/>
      <c r="L4" s="16">
        <f t="shared" ca="1" si="0"/>
        <v>391.92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-391.92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1007.3731343283582</v>
      </c>
      <c r="G5" s="14">
        <f ca="1">Q7/parameters!$B$7-(G3+G4)</f>
        <v>9098.3042092047599</v>
      </c>
      <c r="H5" s="14"/>
      <c r="I5" s="14"/>
      <c r="J5" s="14"/>
      <c r="K5" s="13"/>
      <c r="L5" s="16">
        <f t="shared" ca="1" si="0"/>
        <v>10105.677343533118</v>
      </c>
      <c r="M5" s="16"/>
      <c r="N5" s="16"/>
      <c r="O5" s="11" cm="1">
        <f t="array" aca="1" ref="O5" ca="1">INDIRECT("'data'!$M$" &amp; $A$1)*parameters!$B$15</f>
        <v>390.04</v>
      </c>
      <c r="P5" s="13" cm="1">
        <f t="array" aca="1" ref="P5" ca="1">-INDIRECT("'data'!$N$" &amp; $A$1)*parameters!$B$15</f>
        <v>-4018.98</v>
      </c>
      <c r="Q5" s="16">
        <f ca="1">SUM(L5:P5)</f>
        <v>6476.7373435331192</v>
      </c>
      <c r="R5" s="16">
        <f t="shared" ca="1" si="2"/>
        <v>6476.7373435331192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4724.58</v>
      </c>
      <c r="I6" s="14"/>
      <c r="J6" s="14"/>
      <c r="K6" s="13"/>
      <c r="L6" s="16">
        <f t="shared" ca="1" si="0"/>
        <v>4724.58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4724.58</v>
      </c>
      <c r="R6" s="16">
        <f t="shared" ca="1" si="2"/>
        <v>4724.58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9427.6</v>
      </c>
      <c r="I7" s="14"/>
      <c r="J7" s="14"/>
      <c r="K7" s="13"/>
      <c r="L7" s="16">
        <f t="shared" ca="1" si="0"/>
        <v>9427.6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9427.6</v>
      </c>
      <c r="R7" s="16">
        <f t="shared" ca="1" si="2"/>
        <v>9427.6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9809.2350282302468</v>
      </c>
      <c r="J8" s="14">
        <f ca="1">Q10/J18</f>
        <v>5000.5249717697543</v>
      </c>
      <c r="K8" s="13"/>
      <c r="L8" s="16">
        <f t="shared" ca="1" si="0"/>
        <v>14809.760000000002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288.12</v>
      </c>
      <c r="P8" s="13" cm="1">
        <f t="array" aca="1" ref="P8" ca="1">-INDIRECT("'data'!$S$" &amp; $A$1)*parameters!$B$15</f>
        <v>-945.69999999999993</v>
      </c>
      <c r="Q8" s="16">
        <f ca="1">SUM(Q6:Q7)</f>
        <v>14152.18</v>
      </c>
      <c r="R8" s="16">
        <f t="shared" ca="1" si="2"/>
        <v>14152.180000000002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4725.5599999999995</v>
      </c>
      <c r="L9" s="16">
        <f t="shared" ca="1" si="0"/>
        <v>4725.5599999999995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5521.32</v>
      </c>
      <c r="P9" s="13" cm="1">
        <f t="array" aca="1" ref="P9" ca="1">-INDIRECT("'data'!$V$" &amp; $A$1)*parameters!$B$15</f>
        <v>-1281.8399999999999</v>
      </c>
      <c r="Q9" s="16" cm="1">
        <f t="array" aca="1" ref="Q9" ca="1">INDIRECT("'data'!$T$" &amp; $A$1)*parameters!$B$15</f>
        <v>8965.0399999999991</v>
      </c>
      <c r="R9" s="16">
        <f t="shared" ca="1" si="2"/>
        <v>8965.0399999999991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9465.2735419630153</v>
      </c>
      <c r="L10" s="16">
        <f t="shared" ca="1" si="0"/>
        <v>9465.2735419630153</v>
      </c>
      <c r="M10" s="16"/>
      <c r="N10" s="16">
        <f t="shared" ca="1" si="3"/>
        <v>0</v>
      </c>
      <c r="O10" s="11" cm="1">
        <f t="array" aca="1" ref="O10" ca="1">INDIRECT("'data'!$X$" &amp; $A$1)*parameters!$B$15</f>
        <v>1992.34</v>
      </c>
      <c r="P10" s="13" cm="1">
        <f t="array" aca="1" ref="P10" ca="1">-INDIRECT("'data'!$Y$" &amp; $A$1)*parameters!$B$15</f>
        <v>-6887.44</v>
      </c>
      <c r="Q10" s="16" cm="1">
        <f t="array" aca="1" ref="Q10" ca="1">INDIRECT("'data'!$W$" &amp; $A$1)*parameters!$B$15</f>
        <v>4570.1735419630159</v>
      </c>
      <c r="R10" s="16">
        <f t="shared" ca="1" si="2"/>
        <v>4570.1735419630159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10381.081646088192</v>
      </c>
      <c r="N11" s="19"/>
      <c r="O11" s="21" cm="1">
        <f t="array" aca="1" ref="O11" ca="1">INDIRECT("'data'!$Z$" &amp; $A$1)*parameters!$B$15</f>
        <v>9726.5</v>
      </c>
      <c r="P11" s="27" cm="1">
        <f t="array" aca="1" ref="P11" ca="1">-INDIRECT("'data'!$AA$" &amp; $A$1)*parameters!$B$15</f>
        <v>-7525.42</v>
      </c>
      <c r="Q11" s="16">
        <f ca="1">K9*parameters!$B$10+K10*parameters!$B$11</f>
        <v>12582.161646088192</v>
      </c>
      <c r="R11" s="16">
        <f t="shared" ref="R11:R17" ca="1" si="4">SUM(L11:P11)</f>
        <v>12582.161646088191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-26.732934487269631</v>
      </c>
      <c r="D12" s="9">
        <f ca="1">-(D17-Q4)</f>
        <v>0</v>
      </c>
      <c r="E12" s="9">
        <f ca="1">-(E17-Q5)</f>
        <v>-800.49562672881257</v>
      </c>
      <c r="F12" s="9">
        <f ca="1">-(F17-Q6)</f>
        <v>-312.28567164179094</v>
      </c>
      <c r="G12" s="9">
        <f ca="1">-(G17-Q7)</f>
        <v>-423.60167189132699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-1563.1159047492001</v>
      </c>
      <c r="M12" s="17"/>
      <c r="N12" s="17"/>
      <c r="O12" s="10"/>
      <c r="P12" s="12"/>
      <c r="Q12" s="9">
        <f t="shared" ref="Q12:Q17" ca="1" si="6">SUM(L12:P12)</f>
        <v>-1563.1159047492001</v>
      </c>
      <c r="R12" s="17">
        <f t="shared" ca="1" si="4"/>
        <v>-1563.1159047492001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-844.19502823024777</v>
      </c>
      <c r="J13" s="14">
        <f ca="1">-(J17-Q10)</f>
        <v>-430.35142980673845</v>
      </c>
      <c r="K13" s="13">
        <f ca="1">-(K17-Q11)</f>
        <v>-1608.6718958748224</v>
      </c>
      <c r="L13" s="14">
        <f t="shared" ca="1" si="5"/>
        <v>-2883.2183539118087</v>
      </c>
      <c r="M13" s="16">
        <f ca="1">-E15</f>
        <v>-4394.0146163501231</v>
      </c>
      <c r="N13" s="16"/>
      <c r="O13" s="11"/>
      <c r="P13" s="13"/>
      <c r="Q13" s="14">
        <f t="shared" ca="1" si="6"/>
        <v>-7277.2329702619318</v>
      </c>
      <c r="R13" s="16">
        <f t="shared" ca="1" si="4"/>
        <v>-7277.2329702619318</v>
      </c>
    </row>
    <row r="14" spans="1:20">
      <c r="A14" s="18" t="s">
        <v>78</v>
      </c>
      <c r="B14" s="11"/>
      <c r="C14" s="14"/>
      <c r="D14" s="14"/>
      <c r="E14" s="14">
        <f ca="1">-(I13+J13)-K13</f>
        <v>2883.2183539118087</v>
      </c>
      <c r="F14" s="14"/>
      <c r="G14" s="14"/>
      <c r="H14" s="14"/>
      <c r="I14" s="14"/>
      <c r="J14" s="14"/>
      <c r="K14" s="13"/>
      <c r="L14" s="14">
        <f t="shared" ca="1" si="5"/>
        <v>2883.2183539118087</v>
      </c>
      <c r="M14" s="16"/>
      <c r="N14" s="16"/>
      <c r="O14" s="11"/>
      <c r="P14" s="13"/>
      <c r="Q14" s="14">
        <f t="shared" ca="1" si="6"/>
        <v>2883.2183539118087</v>
      </c>
      <c r="R14" s="16">
        <f t="shared" ca="1" si="4"/>
        <v>2883.2183539118087</v>
      </c>
    </row>
    <row r="15" spans="1:20">
      <c r="A15" s="18" t="s">
        <v>79</v>
      </c>
      <c r="B15" s="11"/>
      <c r="C15" s="14"/>
      <c r="D15" s="14"/>
      <c r="E15" s="14">
        <f ca="1">E17-E14</f>
        <v>4394.0146163501231</v>
      </c>
      <c r="F15" s="14"/>
      <c r="G15" s="14"/>
      <c r="H15" s="14"/>
      <c r="I15" s="14"/>
      <c r="J15" s="14"/>
      <c r="K15" s="13"/>
      <c r="L15" s="14">
        <f t="shared" ca="1" si="5"/>
        <v>4394.0146163501231</v>
      </c>
      <c r="M15" s="16"/>
      <c r="N15" s="16"/>
      <c r="O15" s="11"/>
      <c r="P15" s="13"/>
      <c r="Q15" s="14">
        <f t="shared" ca="1" si="6"/>
        <v>4394.0146163501231</v>
      </c>
      <c r="R15" s="16">
        <f t="shared" ca="1" si="4"/>
        <v>4394.0146163501231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4243.3229344872698</v>
      </c>
      <c r="D17" s="9">
        <f ca="1">SUM(D$2:D$11)</f>
        <v>0</v>
      </c>
      <c r="E17" s="9">
        <f ca="1">$Q$5/parameters!$B$4</f>
        <v>7277.2329702619318</v>
      </c>
      <c r="F17" s="9">
        <f t="shared" ref="F17:K17" ca="1" si="7">SUM(F$2:F$11)</f>
        <v>5036.8656716417909</v>
      </c>
      <c r="G17" s="9">
        <f t="shared" ca="1" si="7"/>
        <v>9851.2016718913274</v>
      </c>
      <c r="H17" s="9">
        <f t="shared" ca="1" si="7"/>
        <v>14152.18</v>
      </c>
      <c r="I17" s="9">
        <f t="shared" ca="1" si="7"/>
        <v>9809.2350282302468</v>
      </c>
      <c r="J17" s="9">
        <f t="shared" ca="1" si="7"/>
        <v>5000.5249717697543</v>
      </c>
      <c r="K17" s="9">
        <f t="shared" ca="1" si="7"/>
        <v>14190.833541963015</v>
      </c>
      <c r="L17" s="17">
        <f t="shared" ca="1" si="5"/>
        <v>69561.39679024533</v>
      </c>
      <c r="M17" s="17"/>
      <c r="N17" s="17"/>
      <c r="O17" s="9"/>
      <c r="P17" s="14"/>
      <c r="Q17" s="11">
        <f t="shared" ca="1" si="6"/>
        <v>69561.39679024533</v>
      </c>
      <c r="R17" s="17">
        <f t="shared" ca="1" si="4"/>
        <v>69561.39679024533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0.91393874998399793</v>
      </c>
      <c r="J18" s="39">
        <f ca="1">I18</f>
        <v>0.91393874998399793</v>
      </c>
      <c r="K18" s="40">
        <f ca="1">1-(-K13)/K17</f>
        <v>0.88664007007637025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L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5996.9507899768541</v>
      </c>
      <c r="D2" s="9">
        <f ca="1">Q4/parameters!$B$3</f>
        <v>1488.7390560531348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7485.689846029989</v>
      </c>
      <c r="M2" s="17"/>
      <c r="N2" s="17">
        <f ca="1">Q2-(L2+O2+P2)</f>
        <v>0</v>
      </c>
      <c r="O2" s="11" cm="1">
        <f t="array" aca="1" ref="O2" ca="1">INDIRECT("'data'!$F$" &amp; $A$1)</f>
        <v>26763.100000000002</v>
      </c>
      <c r="P2" s="13">
        <f ca="1">IF(-(L2-Q2+O2)&lt;0, -(L2-Q2+O2), 0)</f>
        <v>-4048.7898460299912</v>
      </c>
      <c r="Q2" s="17" cm="1">
        <f t="array" aca="1" ref="Q2" ca="1">INDIRECT("'data'!$D$" &amp; $A$1)</f>
        <v>30200</v>
      </c>
      <c r="R2" s="17">
        <f ca="1">SUM(L2:P2)</f>
        <v>30200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5925.3223880597016</v>
      </c>
      <c r="G3" s="14">
        <f ca="1">Q3-O3-P3-F3</f>
        <v>53.692611940298775</v>
      </c>
      <c r="H3" s="14"/>
      <c r="I3" s="14"/>
      <c r="J3" s="14"/>
      <c r="K3" s="13"/>
      <c r="L3" s="16">
        <f t="shared" ca="1" si="0"/>
        <v>5979.0150000000003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37.799999999999997</v>
      </c>
      <c r="P3" s="13" cm="1">
        <f t="array" aca="1" ref="P3" ca="1">-INDIRECT("'data'!$I$" &amp; $A$1)*parameters!$B$13</f>
        <v>-57.644999999999996</v>
      </c>
      <c r="Q3" s="16" cm="1">
        <f t="array" aca="1" ref="Q3" ca="1">INDIRECT("'data'!$G$" &amp; $A$1)*parameters!$B$13</f>
        <v>5959.17</v>
      </c>
      <c r="R3" s="16">
        <f t="shared" ref="R3:R10" ca="1" si="2">SUM(L3:P3)</f>
        <v>5959.17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1479.3600000000001</v>
      </c>
      <c r="H4" s="14"/>
      <c r="I4" s="14"/>
      <c r="J4" s="14"/>
      <c r="K4" s="13"/>
      <c r="L4" s="16">
        <f t="shared" ca="1" si="0"/>
        <v>1479.3600000000001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1479.3600000000001</v>
      </c>
      <c r="R4" s="16">
        <f t="shared" ca="1" si="2"/>
        <v>1479.3600000000001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Q6/parameters!$B$5*22%</f>
        <v>1671.244776119403</v>
      </c>
      <c r="G5" s="14">
        <f ca="1">Q7/parameters!$B$7-(G3+G4)</f>
        <v>4546.6339084358769</v>
      </c>
      <c r="H5" s="14"/>
      <c r="I5" s="14"/>
      <c r="J5" s="14"/>
      <c r="K5" s="13"/>
      <c r="L5" s="16">
        <f t="shared" ca="1" si="0"/>
        <v>6217.8786845552804</v>
      </c>
      <c r="M5" s="16"/>
      <c r="N5" s="16"/>
      <c r="O5" s="11" cm="1">
        <f t="array" aca="1" ref="O5" ca="1">INDIRECT("'data'!$M$" &amp; $A$1)*parameters!$B$15</f>
        <v>4320.82</v>
      </c>
      <c r="P5" s="13" cm="1">
        <f t="array" aca="1" ref="P5" ca="1">-INDIRECT("'data'!$N$" &amp; $A$1)*parameters!$B$15</f>
        <v>-2072.6999999999998</v>
      </c>
      <c r="Q5" s="16">
        <f ca="1">SUM(L5:P5)</f>
        <v>8465.9986845552812</v>
      </c>
      <c r="R5" s="16">
        <f t="shared" ca="1" si="2"/>
        <v>8465.9986845552812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7125.58</v>
      </c>
      <c r="I6" s="14"/>
      <c r="J6" s="14"/>
      <c r="K6" s="13"/>
      <c r="L6" s="16">
        <f t="shared" ca="1" si="0"/>
        <v>7125.58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7125.58</v>
      </c>
      <c r="R6" s="16">
        <f t="shared" ca="1" si="2"/>
        <v>7125.58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5818.26</v>
      </c>
      <c r="I7" s="14"/>
      <c r="J7" s="14"/>
      <c r="K7" s="13"/>
      <c r="L7" s="16">
        <f t="shared" ca="1" si="0"/>
        <v>5818.26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5818.26</v>
      </c>
      <c r="R7" s="16">
        <f t="shared" ca="1" si="2"/>
        <v>5818.26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3280.666313072511</v>
      </c>
      <c r="J8" s="14">
        <f ca="1">Q10/J18</f>
        <v>9976.7736869274904</v>
      </c>
      <c r="K8" s="13"/>
      <c r="L8" s="16">
        <f t="shared" ca="1" si="0"/>
        <v>13257.440000000002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250.88</v>
      </c>
      <c r="P8" s="13" cm="1">
        <f t="array" aca="1" ref="P8" ca="1">-INDIRECT("'data'!$S$" &amp; $A$1)*parameters!$B$15</f>
        <v>-564.48</v>
      </c>
      <c r="Q8" s="16">
        <f ca="1">SUM(Q6:Q7)</f>
        <v>12943.84</v>
      </c>
      <c r="R8" s="16">
        <f t="shared" ca="1" si="2"/>
        <v>12943.840000000002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3903.34</v>
      </c>
      <c r="L9" s="16">
        <f t="shared" ca="1" si="0"/>
        <v>3903.34</v>
      </c>
      <c r="M9" s="16"/>
      <c r="N9" s="16">
        <f t="shared" ca="1" si="3"/>
        <v>0</v>
      </c>
      <c r="O9" s="11" cm="1">
        <f t="array" aca="1" ref="O9" ca="1">INDIRECT("'data'!$U$" &amp; $A$1)*parameters!$B$15</f>
        <v>1616.02</v>
      </c>
      <c r="P9" s="13" cm="1">
        <f t="array" aca="1" ref="P9" ca="1">-INDIRECT("'data'!$V$" &amp; $A$1)*parameters!$B$15</f>
        <v>-2702.84</v>
      </c>
      <c r="Q9" s="16" cm="1">
        <f t="array" aca="1" ref="Q9" ca="1">INDIRECT("'data'!$T$" &amp; $A$1)*parameters!$B$15</f>
        <v>2816.52</v>
      </c>
      <c r="R9" s="16">
        <f t="shared" ca="1" si="2"/>
        <v>2816.5200000000004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8781.8469132290193</v>
      </c>
      <c r="L10" s="16">
        <f t="shared" ca="1" si="0"/>
        <v>8781.8469132290193</v>
      </c>
      <c r="M10" s="16"/>
      <c r="N10" s="16">
        <f t="shared" ca="1" si="3"/>
        <v>0</v>
      </c>
      <c r="O10" s="11" cm="1">
        <f t="array" aca="1" ref="O10" ca="1">INDIRECT("'data'!$X$" &amp; $A$1)*parameters!$B$15</f>
        <v>3509.38</v>
      </c>
      <c r="P10" s="13" cm="1">
        <f t="array" aca="1" ref="P10" ca="1">-INDIRECT("'data'!$Y$" &amp; $A$1)*parameters!$B$15</f>
        <v>-3725.96</v>
      </c>
      <c r="Q10" s="16" cm="1">
        <f t="array" aca="1" ref="Q10" ca="1">INDIRECT("'data'!$W$" &amp; $A$1)*parameters!$B$15</f>
        <v>8565.2669132290193</v>
      </c>
      <c r="R10" s="16">
        <f t="shared" ca="1" si="2"/>
        <v>8565.2669132290212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16205.807945376957</v>
      </c>
      <c r="N11" s="19"/>
      <c r="O11" s="21" cm="1">
        <f t="array" aca="1" ref="O11" ca="1">INDIRECT("'data'!$Z$" &amp; $A$1)*parameters!$B$15</f>
        <v>5854.5199999999995</v>
      </c>
      <c r="P11" s="27" cm="1">
        <f t="array" aca="1" ref="P11" ca="1">-INDIRECT("'data'!$AA$" &amp; $A$1)*parameters!$B$15</f>
        <v>-10838.8</v>
      </c>
      <c r="Q11" s="16">
        <f ca="1">K9*parameters!$B$10+K10*parameters!$B$11</f>
        <v>11221.527945376956</v>
      </c>
      <c r="R11" s="16">
        <f t="shared" ref="R11:R17" ca="1" si="4">SUM(L11:P11)</f>
        <v>11221.527945376958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-37.780789976854066</v>
      </c>
      <c r="D12" s="9">
        <f ca="1">-(D17-Q4)</f>
        <v>-9.3790560531347182</v>
      </c>
      <c r="E12" s="9">
        <f ca="1">-(E17-Q5)</f>
        <v>-1046.3593879787422</v>
      </c>
      <c r="F12" s="9">
        <f ca="1">-(F17-Q6)</f>
        <v>-470.98716417910509</v>
      </c>
      <c r="G12" s="9">
        <f ca="1">-(G17-Q7)</f>
        <v>-261.42652037617518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-1825.9329185640113</v>
      </c>
      <c r="M12" s="17"/>
      <c r="N12" s="17"/>
      <c r="O12" s="10"/>
      <c r="P12" s="12"/>
      <c r="Q12" s="9">
        <f t="shared" ref="Q12:Q17" ca="1" si="6">SUM(L12:P12)</f>
        <v>-1825.9329185640113</v>
      </c>
      <c r="R12" s="17">
        <f t="shared" ca="1" si="4"/>
        <v>-1825.9329185640113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-464.14631307251102</v>
      </c>
      <c r="J13" s="14">
        <f ca="1">-(J17-Q10)</f>
        <v>-1411.5067736984711</v>
      </c>
      <c r="K13" s="13">
        <f ca="1">-(K17-Q11)</f>
        <v>-1463.6589678520631</v>
      </c>
      <c r="L13" s="14">
        <f t="shared" ca="1" si="5"/>
        <v>-3339.3120546230452</v>
      </c>
      <c r="M13" s="16">
        <f ca="1">-E15</f>
        <v>-6173.0460179109778</v>
      </c>
      <c r="N13" s="16"/>
      <c r="O13" s="11"/>
      <c r="P13" s="13"/>
      <c r="Q13" s="14">
        <f t="shared" ca="1" si="6"/>
        <v>-9512.3580725340234</v>
      </c>
      <c r="R13" s="16">
        <f t="shared" ca="1" si="4"/>
        <v>-9512.3580725340234</v>
      </c>
    </row>
    <row r="14" spans="1:20">
      <c r="A14" s="18" t="s">
        <v>78</v>
      </c>
      <c r="B14" s="11"/>
      <c r="C14" s="14"/>
      <c r="D14" s="14"/>
      <c r="E14" s="14">
        <f ca="1">-(I13+J13)-K13</f>
        <v>3339.3120546230452</v>
      </c>
      <c r="F14" s="14"/>
      <c r="G14" s="14"/>
      <c r="H14" s="14"/>
      <c r="I14" s="14"/>
      <c r="J14" s="14"/>
      <c r="K14" s="13"/>
      <c r="L14" s="14">
        <f t="shared" ca="1" si="5"/>
        <v>3339.3120546230452</v>
      </c>
      <c r="M14" s="16"/>
      <c r="N14" s="16"/>
      <c r="O14" s="11"/>
      <c r="P14" s="13"/>
      <c r="Q14" s="14">
        <f t="shared" ca="1" si="6"/>
        <v>3339.3120546230452</v>
      </c>
      <c r="R14" s="16">
        <f t="shared" ca="1" si="4"/>
        <v>3339.3120546230452</v>
      </c>
    </row>
    <row r="15" spans="1:20">
      <c r="A15" s="18" t="s">
        <v>79</v>
      </c>
      <c r="B15" s="11"/>
      <c r="C15" s="14"/>
      <c r="D15" s="14"/>
      <c r="E15" s="14">
        <f ca="1">E17-E14</f>
        <v>6173.0460179109778</v>
      </c>
      <c r="F15" s="14"/>
      <c r="G15" s="14"/>
      <c r="H15" s="14"/>
      <c r="I15" s="14"/>
      <c r="J15" s="14"/>
      <c r="K15" s="13"/>
      <c r="L15" s="14">
        <f t="shared" ca="1" si="5"/>
        <v>6173.0460179109778</v>
      </c>
      <c r="M15" s="16"/>
      <c r="N15" s="16"/>
      <c r="O15" s="11"/>
      <c r="P15" s="13"/>
      <c r="Q15" s="14">
        <f t="shared" ca="1" si="6"/>
        <v>6173.0460179109778</v>
      </c>
      <c r="R15" s="16">
        <f t="shared" ca="1" si="4"/>
        <v>6173.0460179109778</v>
      </c>
    </row>
    <row r="16" spans="1:20">
      <c r="A16" s="30" t="s">
        <v>89</v>
      </c>
      <c r="B16" s="21">
        <f ca="1">Q2</f>
        <v>30200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30200</v>
      </c>
      <c r="M16" s="19"/>
      <c r="N16" s="19"/>
      <c r="O16" s="21"/>
      <c r="P16" s="27"/>
      <c r="Q16" s="22">
        <f t="shared" ca="1" si="6"/>
        <v>30200</v>
      </c>
      <c r="R16" s="19">
        <f t="shared" ca="1" si="4"/>
        <v>30200</v>
      </c>
    </row>
    <row r="17" spans="1:18">
      <c r="A17" s="29" t="s">
        <v>88</v>
      </c>
      <c r="B17" s="9">
        <f ca="1">B16</f>
        <v>30200</v>
      </c>
      <c r="C17" s="9">
        <f ca="1">SUM(C$2:C$11)</f>
        <v>5996.9507899768541</v>
      </c>
      <c r="D17" s="9">
        <f ca="1">SUM(D$2:D$11)</f>
        <v>1488.7390560531348</v>
      </c>
      <c r="E17" s="9">
        <f ca="1">$Q$5/parameters!$B$4</f>
        <v>9512.3580725340234</v>
      </c>
      <c r="F17" s="9">
        <f t="shared" ref="F17:K17" ca="1" si="7">SUM(F$2:F$11)</f>
        <v>7596.567164179105</v>
      </c>
      <c r="G17" s="9">
        <f t="shared" ca="1" si="7"/>
        <v>6079.6865203761754</v>
      </c>
      <c r="H17" s="9">
        <f t="shared" ca="1" si="7"/>
        <v>12943.84</v>
      </c>
      <c r="I17" s="9">
        <f t="shared" ca="1" si="7"/>
        <v>3280.666313072511</v>
      </c>
      <c r="J17" s="9">
        <f t="shared" ca="1" si="7"/>
        <v>9976.7736869274904</v>
      </c>
      <c r="K17" s="9">
        <f t="shared" ca="1" si="7"/>
        <v>12685.186913229019</v>
      </c>
      <c r="L17" s="17">
        <f t="shared" ca="1" si="5"/>
        <v>99760.768516348311</v>
      </c>
      <c r="M17" s="17"/>
      <c r="N17" s="17"/>
      <c r="O17" s="9"/>
      <c r="P17" s="14"/>
      <c r="Q17" s="11">
        <f t="shared" ca="1" si="6"/>
        <v>99760.768516348311</v>
      </c>
      <c r="R17" s="17">
        <f t="shared" ca="1" si="4"/>
        <v>99760.768516348311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0.85852071842143118</v>
      </c>
      <c r="J18" s="39">
        <f ca="1">I18</f>
        <v>0.85852071842143118</v>
      </c>
      <c r="K18" s="40">
        <f ca="1">1-(-K13)/K17</f>
        <v>0.88461668102614599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tabSelected="1"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2520.1267988326458</v>
      </c>
      <c r="D2" s="9">
        <f ca="1">Q4/parameters!$B$3</f>
        <v>20.368320418637417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2540.4951192512831</v>
      </c>
      <c r="M2" s="17"/>
      <c r="N2" s="17">
        <f ca="1">Q2-(L2+O2+P2)</f>
        <v>0</v>
      </c>
      <c r="O2" s="11" cm="1">
        <f t="array" aca="1" ref="O2" ca="1">INDIRECT("'data'!$F$" &amp; $A$1)</f>
        <v>1299.3500000000001</v>
      </c>
      <c r="P2" s="13">
        <f ca="1">IF(-(L2-Q2+O2)&lt;0, -(L2-Q2+O2), 0)</f>
        <v>-2739.845119251283</v>
      </c>
      <c r="Q2" s="17" cm="1">
        <f t="array" aca="1" ref="Q2" ca="1">INDIRECT("'data'!$D$" &amp; $A$1)</f>
        <v>1100</v>
      </c>
      <c r="R2" s="17">
        <f ca="1">SUM(L2:P2)</f>
        <v>1100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2381.2119402985072</v>
      </c>
      <c r="G3" s="14">
        <f ca="1">Q3-O3-P3-F3</f>
        <v>65.393059701492803</v>
      </c>
      <c r="H3" s="14"/>
      <c r="I3" s="14"/>
      <c r="J3" s="14"/>
      <c r="K3" s="13"/>
      <c r="L3" s="16">
        <f t="shared" ca="1" si="0"/>
        <v>2446.605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132.29999999999998</v>
      </c>
      <c r="P3" s="13" cm="1">
        <f t="array" aca="1" ref="P3" ca="1">-INDIRECT("'data'!$I$" &amp; $A$1)*parameters!$B$13</f>
        <v>-74.655000000000001</v>
      </c>
      <c r="Q3" s="16" cm="1">
        <f t="array" aca="1" ref="Q3" ca="1">INDIRECT("'data'!$G$" &amp; $A$1)*parameters!$B$13</f>
        <v>2504.25</v>
      </c>
      <c r="R3" s="16">
        <f t="shared" ref="R3:R10" ca="1" si="2">SUM(L3:P3)</f>
        <v>2504.25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73.599999999999994</v>
      </c>
      <c r="H4" s="14"/>
      <c r="I4" s="14"/>
      <c r="J4" s="14"/>
      <c r="K4" s="13"/>
      <c r="L4" s="16">
        <f t="shared" ca="1" si="0"/>
        <v>73.599999999999994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-54.28</v>
      </c>
      <c r="Q4" s="16" cm="1">
        <f t="array" aca="1" ref="Q4" ca="1">INDIRECT("'data'!$J$" &amp; $A$1)*parameters!$B$14</f>
        <v>20.240000000000002</v>
      </c>
      <c r="R4" s="16">
        <f t="shared" ca="1" si="2"/>
        <v>20.239999999999995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Q6/parameters!$B$5*22%</f>
        <v>671.62388059701493</v>
      </c>
      <c r="G5" s="14">
        <f ca="1">Q7/parameters!$B$7-(G3+G4)</f>
        <v>2189.6589779160622</v>
      </c>
      <c r="H5" s="14"/>
      <c r="I5" s="14"/>
      <c r="J5" s="14"/>
      <c r="K5" s="13"/>
      <c r="L5" s="16">
        <f t="shared" ca="1" si="0"/>
        <v>2861.2828585130774</v>
      </c>
      <c r="M5" s="16"/>
      <c r="N5" s="49">
        <f ca="1">$E$14*parameters!$B$4-$P$5-$L$5-$O$5</f>
        <v>679.56593514837539</v>
      </c>
      <c r="O5" s="11" cm="1">
        <f t="array" aca="1" ref="O5" ca="1">INDIRECT("'data'!$M$" &amp; $A$1)*parameters!$B$15</f>
        <v>68.599999999999994</v>
      </c>
      <c r="P5" s="13" cm="1">
        <f t="array" aca="1" ref="P5" ca="1">-INDIRECT("'data'!$N$" &amp; $A$1)*parameters!$B$15</f>
        <v>-1819.86</v>
      </c>
      <c r="Q5" s="16">
        <f ca="1">SUM(L5:P5)</f>
        <v>1789.5887936614529</v>
      </c>
      <c r="R5" s="16">
        <f t="shared" ca="1" si="2"/>
        <v>1789.5887936614529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2863.56</v>
      </c>
      <c r="I6" s="14"/>
      <c r="J6" s="14"/>
      <c r="K6" s="13"/>
      <c r="L6" s="16">
        <f t="shared" ca="1" si="0"/>
        <v>2863.56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2863.56</v>
      </c>
      <c r="R6" s="16">
        <f t="shared" ca="1" si="2"/>
        <v>2863.56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2228.52</v>
      </c>
      <c r="I7" s="14"/>
      <c r="J7" s="14"/>
      <c r="K7" s="13"/>
      <c r="L7" s="16">
        <f t="shared" ca="1" si="0"/>
        <v>2228.52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2228.52</v>
      </c>
      <c r="R7" s="16">
        <f t="shared" ca="1" si="2"/>
        <v>2228.52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3784.9732034315416</v>
      </c>
      <c r="J8" s="14">
        <f ca="1">Q10/J18</f>
        <v>4375.4867965684598</v>
      </c>
      <c r="K8" s="13"/>
      <c r="L8" s="16">
        <f t="shared" ca="1" si="0"/>
        <v>8160.4600000000009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1006.46</v>
      </c>
      <c r="P8" s="13" cm="1">
        <f t="array" aca="1" ref="P8" ca="1">-INDIRECT("'data'!$S$" &amp; $A$1)*parameters!$B$15</f>
        <v>-4074.84</v>
      </c>
      <c r="Q8" s="16">
        <f ca="1">SUM(Q6:Q7)</f>
        <v>5092.08</v>
      </c>
      <c r="R8" s="16">
        <f t="shared" ca="1" si="2"/>
        <v>5092.0800000000017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4877.46</v>
      </c>
      <c r="L9" s="16">
        <f t="shared" ca="1" si="0"/>
        <v>4877.46</v>
      </c>
      <c r="M9" s="16"/>
      <c r="N9" s="16">
        <f t="shared" ca="1" si="3"/>
        <v>0</v>
      </c>
      <c r="O9" s="11" cm="1">
        <f t="array" aca="1" ref="O9" ca="1">INDIRECT("'data'!$U$" &amp; $A$1)*parameters!$B$15</f>
        <v>175.42</v>
      </c>
      <c r="P9" s="13" cm="1">
        <f t="array" aca="1" ref="P9" ca="1">-INDIRECT("'data'!$V$" &amp; $A$1)*parameters!$B$15</f>
        <v>-1532.72</v>
      </c>
      <c r="Q9" s="16" cm="1">
        <f t="array" aca="1" ref="Q9" ca="1">INDIRECT("'data'!$T$" &amp; $A$1)*parameters!$B$15</f>
        <v>3520.16</v>
      </c>
      <c r="R9" s="16">
        <f t="shared" ca="1" si="2"/>
        <v>3520.16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8194.1786913229007</v>
      </c>
      <c r="L10" s="16">
        <f t="shared" ca="1" si="0"/>
        <v>8194.1786913229007</v>
      </c>
      <c r="M10" s="16"/>
      <c r="N10" s="16">
        <f t="shared" ca="1" si="3"/>
        <v>0</v>
      </c>
      <c r="O10" s="11" cm="1">
        <f t="array" aca="1" ref="O10" ca="1">INDIRECT("'data'!$X$" &amp; $A$1)*parameters!$B$15</f>
        <v>908.46</v>
      </c>
      <c r="P10" s="13" cm="1">
        <f t="array" aca="1" ref="P10" ca="1">-INDIRECT("'data'!$Y$" &amp; $A$1)*parameters!$B$15</f>
        <v>-5033.28</v>
      </c>
      <c r="Q10" s="16" cm="1">
        <f t="array" aca="1" ref="Q10" ca="1">INDIRECT("'data'!$W$" &amp; $A$1)*parameters!$B$15</f>
        <v>4069.3586913229014</v>
      </c>
      <c r="R10" s="16">
        <f t="shared" ca="1" si="2"/>
        <v>4069.3586913229001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16301.506074537694</v>
      </c>
      <c r="N11" s="19"/>
      <c r="O11" s="21" cm="1">
        <f t="array" aca="1" ref="O11" ca="1">INDIRECT("'data'!$Z$" &amp; $A$1)*parameters!$B$15</f>
        <v>1279.8799999999999</v>
      </c>
      <c r="P11" s="27" cm="1">
        <f t="array" aca="1" ref="P11" ca="1">-INDIRECT("'data'!$AA$" &amp; $A$1)*parameters!$B$15</f>
        <v>-5949.58</v>
      </c>
      <c r="Q11" s="16">
        <f ca="1">K9*parameters!$B$10+K10*parameters!$B$11</f>
        <v>11631.806074537693</v>
      </c>
      <c r="R11" s="16">
        <f t="shared" ref="R11:R17" ca="1" si="4">SUM(L11:P11)</f>
        <v>11631.806074537695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-15.876798832645818</v>
      </c>
      <c r="D12" s="9">
        <f ca="1">-(D17-Q4)</f>
        <v>-0.12832041863741495</v>
      </c>
      <c r="E12" s="9">
        <f ca="1">-(E17-Q5)</f>
        <v>-221.1851318008537</v>
      </c>
      <c r="F12" s="9">
        <f ca="1">-(F17-Q6)</f>
        <v>-189.27582089552243</v>
      </c>
      <c r="G12" s="9">
        <f ca="1">-(G17-Q7)</f>
        <v>-100.13203761755494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-526.59810956521437</v>
      </c>
      <c r="M12" s="17"/>
      <c r="N12" s="17"/>
      <c r="O12" s="10"/>
      <c r="P12" s="12"/>
      <c r="Q12" s="9">
        <f t="shared" ref="Q12:Q17" ca="1" si="6">SUM(L12:P12)</f>
        <v>-526.59810956521437</v>
      </c>
      <c r="R12" s="17">
        <f t="shared" ca="1" si="4"/>
        <v>-526.59810956521437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-264.81320343154175</v>
      </c>
      <c r="J13" s="14">
        <f ca="1">-(J17-Q10)</f>
        <v>-306.12810524555834</v>
      </c>
      <c r="K13" s="13">
        <f ca="1">-(K17-Q11)</f>
        <v>-1439.8326167852065</v>
      </c>
      <c r="L13" s="14">
        <f t="shared" ca="1" si="5"/>
        <v>-2010.7739254623066</v>
      </c>
      <c r="M13" s="16">
        <f ca="1">-E15</f>
        <v>0</v>
      </c>
      <c r="N13" s="16"/>
      <c r="O13" s="11"/>
      <c r="P13" s="13"/>
      <c r="Q13" s="14">
        <f t="shared" ca="1" si="6"/>
        <v>-2010.7739254623066</v>
      </c>
      <c r="R13" s="16">
        <f t="shared" ca="1" si="4"/>
        <v>-2010.7739254623066</v>
      </c>
    </row>
    <row r="14" spans="1:19">
      <c r="A14" s="18" t="s">
        <v>78</v>
      </c>
      <c r="B14" s="11"/>
      <c r="C14" s="14"/>
      <c r="D14" s="14"/>
      <c r="E14" s="14">
        <f ca="1">-(I13+J13)-K13</f>
        <v>2010.7739254623066</v>
      </c>
      <c r="F14" s="14"/>
      <c r="G14" s="14"/>
      <c r="H14" s="14"/>
      <c r="I14" s="14"/>
      <c r="J14" s="14"/>
      <c r="K14" s="13"/>
      <c r="L14" s="14">
        <f t="shared" ca="1" si="5"/>
        <v>2010.7739254623066</v>
      </c>
      <c r="M14" s="16"/>
      <c r="N14" s="16"/>
      <c r="O14" s="11"/>
      <c r="P14" s="13"/>
      <c r="Q14" s="14">
        <f t="shared" ca="1" si="6"/>
        <v>2010.7739254623066</v>
      </c>
      <c r="R14" s="16">
        <f t="shared" ca="1" si="4"/>
        <v>2010.7739254623066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1100</v>
      </c>
      <c r="M16" s="19"/>
      <c r="N16" s="19"/>
      <c r="O16" s="21"/>
      <c r="P16" s="27"/>
      <c r="Q16" s="22">
        <f t="shared" ca="1" si="6"/>
        <v>1100</v>
      </c>
      <c r="R16" s="19">
        <f t="shared" ca="1" si="4"/>
        <v>1100</v>
      </c>
    </row>
    <row r="17" spans="1:18">
      <c r="A17" s="29" t="s">
        <v>88</v>
      </c>
      <c r="B17" s="9">
        <f ca="1">B16</f>
        <v>1100</v>
      </c>
      <c r="C17" s="9">
        <f ca="1">SUM(C$2:C$11)</f>
        <v>2520.1267988326458</v>
      </c>
      <c r="D17" s="9">
        <f ca="1">SUM(D$2:D$11)</f>
        <v>20.368320418637417</v>
      </c>
      <c r="E17" s="9">
        <f ca="1">$Q$5/parameters!$B$4</f>
        <v>2010.7739254623066</v>
      </c>
      <c r="F17" s="9">
        <f t="shared" ref="F17:K17" ca="1" si="7">SUM(F$2:F$11)</f>
        <v>3052.8358208955224</v>
      </c>
      <c r="G17" s="9">
        <f t="shared" ca="1" si="7"/>
        <v>2328.6520376175549</v>
      </c>
      <c r="H17" s="9">
        <f t="shared" ca="1" si="7"/>
        <v>5092.08</v>
      </c>
      <c r="I17" s="9">
        <f t="shared" ca="1" si="7"/>
        <v>3784.9732034315416</v>
      </c>
      <c r="J17" s="9">
        <f t="shared" ca="1" si="7"/>
        <v>4375.4867965684598</v>
      </c>
      <c r="K17" s="9">
        <f t="shared" ca="1" si="7"/>
        <v>13071.6386913229</v>
      </c>
      <c r="L17" s="17">
        <f t="shared" ca="1" si="5"/>
        <v>37356.935594549563</v>
      </c>
      <c r="M17" s="17"/>
      <c r="N17" s="17"/>
      <c r="O17" s="9"/>
      <c r="P17" s="14"/>
      <c r="Q17" s="11">
        <f t="shared" ca="1" si="6"/>
        <v>37356.935594549563</v>
      </c>
      <c r="R17" s="17">
        <f t="shared" ca="1" si="4"/>
        <v>37356.935594549563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0.93003564643695336</v>
      </c>
      <c r="J18" s="39">
        <f ca="1">I18</f>
        <v>0.93003564643695336</v>
      </c>
      <c r="K18" s="40">
        <f ca="1">1-(-K13)/K17</f>
        <v>0.88985064146999537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G3" sqref="G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4898.5559021837571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4898.5559021837571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-4898.5559021837571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4769.1940298507461</v>
      </c>
      <c r="G3" s="14">
        <f ca="1">Q3-O3-P3-F3</f>
        <v>324.35597014925315</v>
      </c>
      <c r="H3" s="14"/>
      <c r="I3" s="14"/>
      <c r="J3" s="14"/>
      <c r="K3" s="13"/>
      <c r="L3" s="16">
        <f t="shared" ca="1" si="0"/>
        <v>5093.5499999999993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-225.85499999999999</v>
      </c>
      <c r="Q3" s="16" cm="1">
        <f t="array" aca="1" ref="Q3" ca="1">INDIRECT("'data'!$G$" &amp; $A$1)*parameters!$B$13</f>
        <v>4867.6949999999997</v>
      </c>
      <c r="R3" s="16">
        <f t="shared" ref="R3:R10" ca="1" si="2">SUM(L3:P3)</f>
        <v>4867.6949999999997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1192.2985074626865</v>
      </c>
      <c r="G5" s="14">
        <f ca="1">Q7/parameters!$B$7-(G3+G4)</f>
        <v>4412.8227132363263</v>
      </c>
      <c r="H5" s="14"/>
      <c r="I5" s="14"/>
      <c r="J5" s="14"/>
      <c r="K5" s="13"/>
      <c r="L5" s="16">
        <f t="shared" ca="1" si="0"/>
        <v>5605.1212206990131</v>
      </c>
      <c r="M5" s="16"/>
      <c r="N5" s="16"/>
      <c r="O5" s="11" cm="1">
        <f t="array" aca="1" ref="O5" ca="1">INDIRECT("'data'!$M$" &amp; $A$1)*parameters!$B$15</f>
        <v>1369.06</v>
      </c>
      <c r="P5" s="13" cm="1">
        <f t="array" aca="1" ref="P5" ca="1">-INDIRECT("'data'!$N$" &amp; $A$1)*parameters!$B$15</f>
        <v>-789.88</v>
      </c>
      <c r="Q5" s="16">
        <f ca="1">SUM(L5:P5)</f>
        <v>6184.3012206990124</v>
      </c>
      <c r="R5" s="16">
        <f t="shared" ca="1" si="2"/>
        <v>6184.3012206990124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5591.88</v>
      </c>
      <c r="I6" s="14"/>
      <c r="J6" s="14"/>
      <c r="K6" s="13"/>
      <c r="L6" s="16">
        <f t="shared" ca="1" si="0"/>
        <v>5591.88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5591.88</v>
      </c>
      <c r="R6" s="16">
        <f t="shared" ca="1" si="2"/>
        <v>5591.88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4533.4799999999996</v>
      </c>
      <c r="I7" s="14"/>
      <c r="J7" s="14"/>
      <c r="K7" s="13"/>
      <c r="L7" s="16">
        <f t="shared" ca="1" si="0"/>
        <v>4533.4799999999996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4533.4799999999996</v>
      </c>
      <c r="R7" s="16">
        <f t="shared" ca="1" si="2"/>
        <v>4533.4799999999996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6196.2387544676558</v>
      </c>
      <c r="J8" s="14">
        <f ca="1">Q10/J18</f>
        <v>3712.5412455323462</v>
      </c>
      <c r="K8" s="13"/>
      <c r="L8" s="16">
        <f t="shared" ca="1" si="0"/>
        <v>9908.7800000000025</v>
      </c>
      <c r="M8" s="16"/>
      <c r="N8" s="16">
        <f t="shared" ca="1" si="3"/>
        <v>0</v>
      </c>
      <c r="O8" s="11" cm="1">
        <f t="array" aca="1" ref="O8" ca="1">INDIRECT("'data'!$R$" &amp; $A$1)*parameters!$B$15</f>
        <v>549.78</v>
      </c>
      <c r="P8" s="13" cm="1">
        <f t="array" aca="1" ref="P8" ca="1">-INDIRECT("'data'!$S$" &amp; $A$1)*parameters!$B$15</f>
        <v>-333.2</v>
      </c>
      <c r="Q8" s="16">
        <f ca="1">SUM(Q6:Q7)</f>
        <v>10125.36</v>
      </c>
      <c r="R8" s="16">
        <f t="shared" ca="1" si="2"/>
        <v>10125.360000000002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5081.3000000000011</v>
      </c>
      <c r="L9" s="16">
        <f t="shared" ca="1" si="0"/>
        <v>5081.3000000000011</v>
      </c>
      <c r="M9" s="16"/>
      <c r="N9" s="16">
        <f t="shared" ca="1" si="3"/>
        <v>0</v>
      </c>
      <c r="O9" s="11" cm="1">
        <f t="array" aca="1" ref="O9" ca="1">INDIRECT("'data'!$U$" &amp; $A$1)*parameters!$B$15</f>
        <v>2734.2</v>
      </c>
      <c r="P9" s="13" cm="1">
        <f t="array" aca="1" ref="P9" ca="1">-INDIRECT("'data'!$V$" &amp; $A$1)*parameters!$B$15</f>
        <v>-2336.3200000000002</v>
      </c>
      <c r="Q9" s="16" cm="1">
        <f t="array" aca="1" ref="Q9" ca="1">INDIRECT("'data'!$T$" &amp; $A$1)*parameters!$B$15</f>
        <v>5479.18</v>
      </c>
      <c r="R9" s="16">
        <f t="shared" ca="1" si="2"/>
        <v>5479.18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7912.4279943100992</v>
      </c>
      <c r="L10" s="16">
        <f t="shared" ca="1" si="0"/>
        <v>7912.4279943100992</v>
      </c>
      <c r="M10" s="16"/>
      <c r="N10" s="16">
        <f t="shared" ca="1" si="3"/>
        <v>0</v>
      </c>
      <c r="O10" s="11" cm="1">
        <f t="array" aca="1" ref="O10" ca="1">INDIRECT("'data'!$X$" &amp; $A$1)*parameters!$B$15</f>
        <v>2207.94</v>
      </c>
      <c r="P10" s="13" cm="1">
        <f t="array" aca="1" ref="P10" ca="1">-INDIRECT("'data'!$Y$" &amp; $A$1)*parameters!$B$15</f>
        <v>-6837.46</v>
      </c>
      <c r="Q10" s="16" cm="1">
        <f t="array" aca="1" ref="Q10" ca="1">INDIRECT("'data'!$W$" &amp; $A$1)*parameters!$B$15</f>
        <v>3282.9079943100996</v>
      </c>
      <c r="R10" s="16">
        <f t="shared" ca="1" si="2"/>
        <v>3282.9079943100996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8754.7900751066863</v>
      </c>
      <c r="N11" s="19"/>
      <c r="O11" s="21" cm="1">
        <f t="array" aca="1" ref="O11" ca="1">INDIRECT("'data'!$Z$" &amp; $A$1)*parameters!$B$15</f>
        <v>8836.66</v>
      </c>
      <c r="P11" s="27" cm="1">
        <f t="array" aca="1" ref="P11" ca="1">-INDIRECT("'data'!$AA$" &amp; $A$1)*parameters!$B$15</f>
        <v>-6010.34</v>
      </c>
      <c r="Q11" s="16">
        <f ca="1">K9*parameters!$B$10+K10*parameters!$B$11</f>
        <v>11581.110075106686</v>
      </c>
      <c r="R11" s="16">
        <f t="shared" ref="R11:R17" ca="1" si="4">SUM(L11:P11)</f>
        <v>11581.110075106688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-30.860902183757389</v>
      </c>
      <c r="D12" s="9">
        <f ca="1">-(D17-Q4)</f>
        <v>0</v>
      </c>
      <c r="E12" s="9">
        <f ca="1">-(E17-Q5)</f>
        <v>-764.35183626616981</v>
      </c>
      <c r="F12" s="9">
        <f ca="1">-(F17-Q6)</f>
        <v>-369.61253731343277</v>
      </c>
      <c r="G12" s="9">
        <f ca="1">-(G17-Q7)</f>
        <v>-203.6986833855799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-1368.5239591489399</v>
      </c>
      <c r="M12" s="17"/>
      <c r="N12" s="17"/>
      <c r="O12" s="10"/>
      <c r="P12" s="12"/>
      <c r="Q12" s="9">
        <f t="shared" ref="Q12:Q17" ca="1" si="6">SUM(L12:P12)</f>
        <v>-1368.5239591489399</v>
      </c>
      <c r="R12" s="17">
        <f t="shared" ca="1" si="4"/>
        <v>-1368.5239591489399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-717.05875446765549</v>
      </c>
      <c r="J13" s="14">
        <f ca="1">-(J17-Q10)</f>
        <v>-429.6332512222466</v>
      </c>
      <c r="K13" s="13">
        <f ca="1">-(K17-Q11)</f>
        <v>-1412.6179192034142</v>
      </c>
      <c r="L13" s="14">
        <f t="shared" ca="1" si="5"/>
        <v>-2559.3099248933163</v>
      </c>
      <c r="M13" s="16">
        <f ca="1">-E15</f>
        <v>-4389.3431320718664</v>
      </c>
      <c r="N13" s="16"/>
      <c r="O13" s="11"/>
      <c r="P13" s="13"/>
      <c r="Q13" s="14">
        <f t="shared" ca="1" si="6"/>
        <v>-6948.6530569651823</v>
      </c>
      <c r="R13" s="16">
        <f t="shared" ca="1" si="4"/>
        <v>-6948.6530569651823</v>
      </c>
    </row>
    <row r="14" spans="1:20">
      <c r="A14" s="18" t="s">
        <v>78</v>
      </c>
      <c r="B14" s="11"/>
      <c r="C14" s="14"/>
      <c r="D14" s="14"/>
      <c r="E14" s="14">
        <f ca="1">-(I13+J13)-K13</f>
        <v>2559.3099248933163</v>
      </c>
      <c r="F14" s="14"/>
      <c r="G14" s="14"/>
      <c r="H14" s="14"/>
      <c r="I14" s="14"/>
      <c r="J14" s="14"/>
      <c r="K14" s="13"/>
      <c r="L14" s="14">
        <f t="shared" ca="1" si="5"/>
        <v>2559.3099248933163</v>
      </c>
      <c r="M14" s="16"/>
      <c r="N14" s="16"/>
      <c r="O14" s="11"/>
      <c r="P14" s="13"/>
      <c r="Q14" s="14">
        <f t="shared" ca="1" si="6"/>
        <v>2559.3099248933163</v>
      </c>
      <c r="R14" s="16">
        <f t="shared" ca="1" si="4"/>
        <v>2559.3099248933163</v>
      </c>
    </row>
    <row r="15" spans="1:20">
      <c r="A15" s="18" t="s">
        <v>79</v>
      </c>
      <c r="B15" s="11"/>
      <c r="C15" s="14"/>
      <c r="D15" s="14"/>
      <c r="E15" s="14">
        <f ca="1">E17-E14</f>
        <v>4389.3431320718664</v>
      </c>
      <c r="F15" s="14"/>
      <c r="G15" s="14"/>
      <c r="H15" s="14"/>
      <c r="I15" s="14"/>
      <c r="J15" s="14"/>
      <c r="K15" s="13"/>
      <c r="L15" s="14">
        <f t="shared" ca="1" si="5"/>
        <v>4389.3431320718664</v>
      </c>
      <c r="M15" s="16"/>
      <c r="N15" s="16"/>
      <c r="O15" s="11"/>
      <c r="P15" s="13"/>
      <c r="Q15" s="14">
        <f t="shared" ca="1" si="6"/>
        <v>4389.3431320718664</v>
      </c>
      <c r="R15" s="16">
        <f t="shared" ca="1" si="4"/>
        <v>4389.3431320718664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4898.5559021837571</v>
      </c>
      <c r="D17" s="9">
        <f ca="1">SUM(D$2:D$11)</f>
        <v>0</v>
      </c>
      <c r="E17" s="9">
        <f ca="1">$Q$5/parameters!$B$4</f>
        <v>6948.6530569651823</v>
      </c>
      <c r="F17" s="9">
        <f t="shared" ref="F17:K17" ca="1" si="7">SUM(F$2:F$11)</f>
        <v>5961.4925373134329</v>
      </c>
      <c r="G17" s="9">
        <f t="shared" ca="1" si="7"/>
        <v>4737.1786833855795</v>
      </c>
      <c r="H17" s="9">
        <f t="shared" ca="1" si="7"/>
        <v>10125.36</v>
      </c>
      <c r="I17" s="9">
        <f t="shared" ca="1" si="7"/>
        <v>6196.2387544676558</v>
      </c>
      <c r="J17" s="9">
        <f t="shared" ca="1" si="7"/>
        <v>3712.5412455323462</v>
      </c>
      <c r="K17" s="9">
        <f t="shared" ca="1" si="7"/>
        <v>12993.7279943101</v>
      </c>
      <c r="L17" s="17">
        <f t="shared" ca="1" si="5"/>
        <v>55573.748174158056</v>
      </c>
      <c r="M17" s="17"/>
      <c r="N17" s="17"/>
      <c r="O17" s="9"/>
      <c r="P17" s="14"/>
      <c r="Q17" s="11">
        <f t="shared" ca="1" si="6"/>
        <v>55573.748174158056</v>
      </c>
      <c r="R17" s="17">
        <f t="shared" ca="1" si="4"/>
        <v>55573.748174158056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0.88427515741696738</v>
      </c>
      <c r="J18" s="39">
        <f ca="1">I18</f>
        <v>0.88427515741696738</v>
      </c>
      <c r="K18" s="40">
        <f ca="1">1-(-K13)/K17</f>
        <v>0.89128463210696773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475.49562242125387</v>
      </c>
      <c r="D2" s="9">
        <f ca="1">Q4/parameters!$B$3</f>
        <v>4320.8614269900372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4796.357049411291</v>
      </c>
      <c r="M2" s="17"/>
      <c r="N2" s="17">
        <f ca="1">Q2-(L2+O2+P2)</f>
        <v>0</v>
      </c>
      <c r="O2" s="11" cm="1">
        <f t="array" aca="1" ref="O2" ca="1">INDIRECT("'data'!$F$" &amp; $A$1)</f>
        <v>16.25</v>
      </c>
      <c r="P2" s="13">
        <f ca="1">IF(-(L2-Q2+O2)&lt;0, -(L2-Q2+O2), 0)</f>
        <v>-4459.607049411291</v>
      </c>
      <c r="Q2" s="17" cm="1">
        <f t="array" aca="1" ref="Q2" ca="1">INDIRECT("'data'!$D$" &amp; $A$1)</f>
        <v>353</v>
      </c>
      <c r="R2" s="17">
        <f ca="1">SUM(L2:P2)</f>
        <v>353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476.4179104477613</v>
      </c>
      <c r="G3" s="14">
        <f ca="1">Q3-O3-P3-F3</f>
        <v>5.5320895522386877</v>
      </c>
      <c r="H3" s="14"/>
      <c r="I3" s="14"/>
      <c r="J3" s="14"/>
      <c r="K3" s="13"/>
      <c r="L3" s="16">
        <f t="shared" ca="1" si="0"/>
        <v>481.95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-9.4499999999999993</v>
      </c>
      <c r="Q3" s="16" cm="1">
        <f t="array" aca="1" ref="Q3" ca="1">INDIRECT("'data'!$G$" &amp; $A$1)*parameters!$B$13</f>
        <v>472.5</v>
      </c>
      <c r="R3" s="16">
        <f t="shared" ref="R3:R10" ca="1" si="2">SUM(L3:P3)</f>
        <v>472.5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2661.2886117324883</v>
      </c>
      <c r="H4" s="14"/>
      <c r="I4" s="14"/>
      <c r="J4" s="14"/>
      <c r="K4" s="13"/>
      <c r="L4" s="16">
        <f t="shared" ca="1" si="0"/>
        <v>2661.2886117324883</v>
      </c>
      <c r="M4" s="16"/>
      <c r="N4" s="16">
        <f t="shared" ca="1" si="1"/>
        <v>1682.9513882675119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-50.6</v>
      </c>
      <c r="Q4" s="16" cm="1">
        <f t="array" aca="1" ref="Q4" ca="1">INDIRECT("'data'!$J$" &amp; $A$1)*parameters!$B$14</f>
        <v>4293.6400000000003</v>
      </c>
      <c r="R4" s="16">
        <f t="shared" ca="1" si="2"/>
        <v>4293.6399999999994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119.10447761194033</v>
      </c>
      <c r="G5" s="38">
        <f ca="1">E14*parameters!$B$4-O5-P5-F5</f>
        <v>3784.5899570224833</v>
      </c>
      <c r="H5" s="14"/>
      <c r="I5" s="14"/>
      <c r="J5" s="14"/>
      <c r="K5" s="13"/>
      <c r="L5" s="16">
        <f t="shared" ca="1" si="0"/>
        <v>3903.6944346344235</v>
      </c>
      <c r="M5" s="16"/>
      <c r="N5" s="16"/>
      <c r="O5" s="11" cm="1">
        <f t="array" aca="1" ref="O5" ca="1">INDIRECT("'data'!$M$" &amp; $A$1)*parameters!$B$15</f>
        <v>12.74</v>
      </c>
      <c r="P5" s="13" cm="1">
        <f t="array" aca="1" ref="P5" ca="1">-INDIRECT("'data'!$N$" &amp; $A$1)*parameters!$B$15</f>
        <v>-1994.3</v>
      </c>
      <c r="Q5" s="16">
        <f ca="1">SUM(L5:P5)</f>
        <v>1922.1344346344233</v>
      </c>
      <c r="R5" s="16">
        <f t="shared" ca="1" si="2"/>
        <v>1922.1344346344233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558.6</v>
      </c>
      <c r="I6" s="14"/>
      <c r="J6" s="14"/>
      <c r="K6" s="13"/>
      <c r="L6" s="16">
        <f t="shared" ca="1" si="0"/>
        <v>558.6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558.6</v>
      </c>
      <c r="R6" s="16">
        <f t="shared" ca="1" si="2"/>
        <v>558.6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6174</v>
      </c>
      <c r="I7" s="14"/>
      <c r="J7" s="14"/>
      <c r="K7" s="13"/>
      <c r="L7" s="16">
        <f t="shared" ca="1" si="0"/>
        <v>6174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6174</v>
      </c>
      <c r="R7" s="16">
        <f t="shared" ca="1" si="2"/>
        <v>6174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8008.6762422905458</v>
      </c>
      <c r="J8" s="14">
        <f ca="1">Q10/J18</f>
        <v>1330.7237577094534</v>
      </c>
      <c r="K8" s="13"/>
      <c r="L8" s="16">
        <f t="shared" ca="1" si="0"/>
        <v>9339.4</v>
      </c>
      <c r="M8" s="16"/>
      <c r="N8" s="16">
        <f t="shared" ca="1" si="3"/>
        <v>0</v>
      </c>
      <c r="O8" s="11" cm="1">
        <f t="array" aca="1" ref="O8" ca="1">INDIRECT("'data'!$R$" &amp; $A$1)*parameters!$B$15</f>
        <v>119.56</v>
      </c>
      <c r="P8" s="13" cm="1">
        <f t="array" aca="1" ref="P8" ca="1">-INDIRECT("'data'!$S$" &amp; $A$1)*parameters!$B$15</f>
        <v>-2726.36</v>
      </c>
      <c r="Q8" s="16">
        <f ca="1">SUM(Q6:Q7)</f>
        <v>6732.6</v>
      </c>
      <c r="R8" s="16">
        <f t="shared" ca="1" si="2"/>
        <v>6732.5999999999985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6929.58</v>
      </c>
      <c r="L9" s="16">
        <f t="shared" ca="1" si="0"/>
        <v>6929.58</v>
      </c>
      <c r="M9" s="16"/>
      <c r="N9" s="16">
        <f t="shared" ca="1" si="3"/>
        <v>0</v>
      </c>
      <c r="O9" s="11" cm="1">
        <f t="array" aca="1" ref="O9" ca="1">INDIRECT("'data'!$U$" &amp; $A$1)*parameters!$B$15</f>
        <v>355.74</v>
      </c>
      <c r="P9" s="13" cm="1">
        <f t="array" aca="1" ref="P9" ca="1">-INDIRECT("'data'!$V$" &amp; $A$1)*parameters!$B$15</f>
        <v>-540.96</v>
      </c>
      <c r="Q9" s="16" cm="1">
        <f t="array" aca="1" ref="Q9" ca="1">INDIRECT("'data'!$T$" &amp; $A$1)*parameters!$B$15</f>
        <v>6744.36</v>
      </c>
      <c r="R9" s="16">
        <f t="shared" ca="1" si="2"/>
        <v>6744.36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1925.2246372688478</v>
      </c>
      <c r="L10" s="16">
        <f t="shared" ca="1" si="0"/>
        <v>1925.2246372688478</v>
      </c>
      <c r="M10" s="16"/>
      <c r="N10" s="16">
        <f t="shared" ca="1" si="3"/>
        <v>0</v>
      </c>
      <c r="O10" s="11" cm="1">
        <f t="array" aca="1" ref="O10" ca="1">INDIRECT("'data'!$X$" &amp; $A$1)*parameters!$B$15</f>
        <v>967.26</v>
      </c>
      <c r="P10" s="13" cm="1">
        <f t="array" aca="1" ref="P10" ca="1">-INDIRECT("'data'!$Y$" &amp; $A$1)*parameters!$B$15</f>
        <v>-1771.84</v>
      </c>
      <c r="Q10" s="16" cm="1">
        <f t="array" aca="1" ref="Q10" ca="1">INDIRECT("'data'!$W$" &amp; $A$1)*parameters!$B$15</f>
        <v>1120.6446372688479</v>
      </c>
      <c r="R10" s="16">
        <f t="shared" ca="1" si="2"/>
        <v>1120.6446372688481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9006.4183880512082</v>
      </c>
      <c r="N11" s="19"/>
      <c r="O11" s="21" cm="1">
        <f t="array" aca="1" ref="O11" ca="1">INDIRECT("'data'!$Z$" &amp; $A$1)*parameters!$B$15</f>
        <v>89.179999999999993</v>
      </c>
      <c r="P11" s="27" cm="1">
        <f t="array" aca="1" ref="P11" ca="1">-INDIRECT("'data'!$AA$" &amp; $A$1)*parameters!$B$15</f>
        <v>-926.1</v>
      </c>
      <c r="Q11" s="16">
        <f ca="1">K9*parameters!$B$10+K10*parameters!$B$11</f>
        <v>8169.4983880512091</v>
      </c>
      <c r="R11" s="16">
        <f t="shared" ref="R11:R17" ca="1" si="4">SUM(L11:P11)</f>
        <v>8169.4983880512082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-2.99562242125387</v>
      </c>
      <c r="D12" s="9">
        <f ca="1">-(D17-Q4)</f>
        <v>-27.221426990036889</v>
      </c>
      <c r="E12" s="9">
        <f ca="1">-(E17-Q5)</f>
        <v>-237.56717731436697</v>
      </c>
      <c r="F12" s="9">
        <f ca="1">-(F17-Q6)</f>
        <v>-36.922388059701575</v>
      </c>
      <c r="G12" s="9">
        <f ca="1">-(G17-Q7)</f>
        <v>-277.41065830720981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-582.11727309256912</v>
      </c>
      <c r="M12" s="17"/>
      <c r="N12" s="17"/>
      <c r="O12" s="10"/>
      <c r="P12" s="12"/>
      <c r="Q12" s="9">
        <f t="shared" ref="Q12:Q17" ca="1" si="6">SUM(L12:P12)</f>
        <v>-582.11727309256912</v>
      </c>
      <c r="R12" s="17">
        <f t="shared" ca="1" si="4"/>
        <v>-582.11727309256912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-1264.3162422905461</v>
      </c>
      <c r="J13" s="14">
        <f ca="1">-(J17-Q10)</f>
        <v>-210.07912044060549</v>
      </c>
      <c r="K13" s="13">
        <f ca="1">-(K17-Q11)</f>
        <v>-685.30624921763865</v>
      </c>
      <c r="L13" s="14">
        <f t="shared" ca="1" si="5"/>
        <v>-2159.7016119487903</v>
      </c>
      <c r="M13" s="16">
        <f ca="1">-E15</f>
        <v>0</v>
      </c>
      <c r="N13" s="16"/>
      <c r="O13" s="11"/>
      <c r="P13" s="13"/>
      <c r="Q13" s="14">
        <f t="shared" ca="1" si="6"/>
        <v>-2159.7016119487903</v>
      </c>
      <c r="R13" s="16">
        <f t="shared" ca="1" si="4"/>
        <v>-2159.7016119487903</v>
      </c>
    </row>
    <row r="14" spans="1:19">
      <c r="A14" s="18" t="s">
        <v>78</v>
      </c>
      <c r="B14" s="11"/>
      <c r="C14" s="14"/>
      <c r="D14" s="14"/>
      <c r="E14" s="14">
        <f ca="1">-(I13+J13)-K13</f>
        <v>2159.7016119487903</v>
      </c>
      <c r="F14" s="14"/>
      <c r="G14" s="14"/>
      <c r="H14" s="14"/>
      <c r="I14" s="14"/>
      <c r="J14" s="14"/>
      <c r="K14" s="13"/>
      <c r="L14" s="14">
        <f t="shared" ca="1" si="5"/>
        <v>2159.7016119487903</v>
      </c>
      <c r="M14" s="16"/>
      <c r="N14" s="16"/>
      <c r="O14" s="11"/>
      <c r="P14" s="13"/>
      <c r="Q14" s="14">
        <f t="shared" ca="1" si="6"/>
        <v>2159.7016119487903</v>
      </c>
      <c r="R14" s="16">
        <f t="shared" ca="1" si="4"/>
        <v>2159.7016119487903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353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353</v>
      </c>
      <c r="M16" s="19"/>
      <c r="N16" s="19"/>
      <c r="O16" s="21"/>
      <c r="P16" s="27"/>
      <c r="Q16" s="22">
        <f t="shared" ca="1" si="6"/>
        <v>353</v>
      </c>
      <c r="R16" s="19">
        <f t="shared" ca="1" si="4"/>
        <v>353</v>
      </c>
    </row>
    <row r="17" spans="1:18">
      <c r="A17" s="29" t="s">
        <v>88</v>
      </c>
      <c r="B17" s="9">
        <f ca="1">B16</f>
        <v>353</v>
      </c>
      <c r="C17" s="9">
        <f ca="1">SUM(C$2:C$11)</f>
        <v>475.49562242125387</v>
      </c>
      <c r="D17" s="9">
        <f ca="1">SUM(D$2:D$11)</f>
        <v>4320.8614269900372</v>
      </c>
      <c r="E17" s="9">
        <f ca="1">$Q$5/parameters!$B$4</f>
        <v>2159.7016119487903</v>
      </c>
      <c r="F17" s="9">
        <f t="shared" ref="F17:K17" ca="1" si="7">SUM(F$2:F$11)</f>
        <v>595.5223880597016</v>
      </c>
      <c r="G17" s="9">
        <f t="shared" ca="1" si="7"/>
        <v>6451.4106583072098</v>
      </c>
      <c r="H17" s="9">
        <f t="shared" ca="1" si="7"/>
        <v>6732.6</v>
      </c>
      <c r="I17" s="9">
        <f t="shared" ca="1" si="7"/>
        <v>8008.6762422905458</v>
      </c>
      <c r="J17" s="9">
        <f t="shared" ca="1" si="7"/>
        <v>1330.7237577094534</v>
      </c>
      <c r="K17" s="9">
        <f t="shared" ca="1" si="7"/>
        <v>8854.8046372688477</v>
      </c>
      <c r="L17" s="17">
        <f t="shared" ca="1" si="5"/>
        <v>39282.796344995833</v>
      </c>
      <c r="M17" s="17"/>
      <c r="N17" s="17"/>
      <c r="O17" s="9"/>
      <c r="P17" s="14"/>
      <c r="Q17" s="11">
        <f t="shared" ca="1" si="6"/>
        <v>39282.796344995833</v>
      </c>
      <c r="R17" s="17">
        <f t="shared" ca="1" si="4"/>
        <v>39282.796344995833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0.84213168268505989</v>
      </c>
      <c r="J18" s="39">
        <f ca="1">I18</f>
        <v>0.84213168268505989</v>
      </c>
      <c r="K18" s="40">
        <f ca="1">1-(-K13)/K17</f>
        <v>0.92260628243188292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3505.8554024889627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3505.8554024889627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-3505.8554024889627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78.435000000000002</v>
      </c>
      <c r="H3" s="14"/>
      <c r="I3" s="14"/>
      <c r="J3" s="14"/>
      <c r="K3" s="13"/>
      <c r="L3" s="16">
        <f t="shared" ca="1" si="0"/>
        <v>78.435000000000002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-78.435000000000002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3765.8319502310596</v>
      </c>
      <c r="H4" s="14"/>
      <c r="I4" s="14"/>
      <c r="J4" s="14"/>
      <c r="K4" s="13"/>
      <c r="L4" s="16">
        <f t="shared" ca="1" si="0"/>
        <v>3765.8319502310596</v>
      </c>
      <c r="M4" s="16"/>
      <c r="N4" s="16">
        <f t="shared" ca="1" si="1"/>
        <v>1291.1365632222223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-1575.96</v>
      </c>
      <c r="Q4" s="16" cm="1">
        <f t="array" aca="1" ref="Q4" ca="1">INDIRECT("'data'!$J$" &amp; $A$1)*parameters!$B$14</f>
        <v>3483.7685134532821</v>
      </c>
      <c r="R4" s="16">
        <f t="shared" ca="1" si="2"/>
        <v>3483.7685134532821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1102.8385879089612</v>
      </c>
      <c r="H5" s="14"/>
      <c r="I5" s="14"/>
      <c r="J5" s="14"/>
      <c r="K5" s="13"/>
      <c r="L5" s="16">
        <f t="shared" ca="1" si="0"/>
        <v>1102.8385879089612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1102.8385879089612</v>
      </c>
      <c r="R5" s="16">
        <f t="shared" ca="1" si="2"/>
        <v>1102.8385879089612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4734.38</v>
      </c>
      <c r="I7" s="14"/>
      <c r="J7" s="14"/>
      <c r="K7" s="13"/>
      <c r="L7" s="16">
        <f t="shared" ca="1" si="0"/>
        <v>4734.38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4734.38</v>
      </c>
      <c r="R7" s="16">
        <f t="shared" ca="1" si="2"/>
        <v>4734.38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2796.7854009924763</v>
      </c>
      <c r="J8" s="14">
        <f ca="1">Q10/J18</f>
        <v>2173.7745990075232</v>
      </c>
      <c r="K8" s="13"/>
      <c r="L8" s="16">
        <f t="shared" ca="1" si="0"/>
        <v>4970.5599999999995</v>
      </c>
      <c r="M8" s="16"/>
      <c r="N8" s="16">
        <f t="shared" ca="1" si="3"/>
        <v>0</v>
      </c>
      <c r="O8" s="11" cm="1">
        <f t="array" aca="1" ref="O8" ca="1">INDIRECT("'data'!$R$" &amp; $A$1)*parameters!$B$15</f>
        <v>15.68</v>
      </c>
      <c r="P8" s="13" cm="1">
        <f t="array" aca="1" ref="P8" ca="1">-INDIRECT("'data'!$S$" &amp; $A$1)*parameters!$B$15</f>
        <v>-251.85999999999999</v>
      </c>
      <c r="Q8" s="16">
        <f ca="1">SUM(Q6:Q7)</f>
        <v>4734.38</v>
      </c>
      <c r="R8" s="16">
        <f t="shared" ca="1" si="2"/>
        <v>4734.38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3190.88</v>
      </c>
      <c r="L9" s="16">
        <f t="shared" ca="1" si="0"/>
        <v>3190.88</v>
      </c>
      <c r="M9" s="16"/>
      <c r="N9" s="16">
        <f t="shared" ca="1" si="3"/>
        <v>0</v>
      </c>
      <c r="O9" s="11" cm="1">
        <f t="array" aca="1" ref="O9" ca="1">INDIRECT("'data'!$U$" &amp; $A$1)*parameters!$B$15</f>
        <v>368.48</v>
      </c>
      <c r="P9" s="13" cm="1">
        <f t="array" aca="1" ref="P9" ca="1">-INDIRECT("'data'!$V$" &amp; $A$1)*parameters!$B$15</f>
        <v>-1109.3599999999999</v>
      </c>
      <c r="Q9" s="16" cm="1">
        <f t="array" aca="1" ref="Q9" ca="1">INDIRECT("'data'!$T$" &amp; $A$1)*parameters!$B$15</f>
        <v>2450</v>
      </c>
      <c r="R9" s="16">
        <f t="shared" ca="1" si="2"/>
        <v>2450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3081.2189758179234</v>
      </c>
      <c r="L10" s="16">
        <f t="shared" ca="1" si="0"/>
        <v>3081.2189758179234</v>
      </c>
      <c r="M10" s="16"/>
      <c r="N10" s="16">
        <f t="shared" ca="1" si="3"/>
        <v>0</v>
      </c>
      <c r="O10" s="11" cm="1">
        <f t="array" aca="1" ref="O10" ca="1">INDIRECT("'data'!$X$" &amp; $A$1)*parameters!$B$15</f>
        <v>890.81999999999994</v>
      </c>
      <c r="P10" s="13" cm="1">
        <f t="array" aca="1" ref="P10" ca="1">-INDIRECT("'data'!$Y$" &amp; $A$1)*parameters!$B$15</f>
        <v>-2067.8000000000002</v>
      </c>
      <c r="Q10" s="16" cm="1">
        <f t="array" aca="1" ref="Q10" ca="1">INDIRECT("'data'!$W$" &amp; $A$1)*parameters!$B$15</f>
        <v>1904.2389758179231</v>
      </c>
      <c r="R10" s="16">
        <f t="shared" ca="1" si="2"/>
        <v>1904.2389758179233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8426.5955192034144</v>
      </c>
      <c r="N11" s="19"/>
      <c r="O11" s="21" cm="1">
        <f t="array" aca="1" ref="O11" ca="1">INDIRECT("'data'!$Z$" &amp; $A$1)*parameters!$B$15</f>
        <v>925.12</v>
      </c>
      <c r="P11" s="27" cm="1">
        <f t="array" aca="1" ref="P11" ca="1">-INDIRECT("'data'!$AA$" &amp; $A$1)*parameters!$B$15</f>
        <v>-3702.44</v>
      </c>
      <c r="Q11" s="16">
        <f ca="1">K9*parameters!$B$10+K10*parameters!$B$11</f>
        <v>5649.2755192034147</v>
      </c>
      <c r="R11" s="16">
        <f t="shared" ref="R11:R17" ca="1" si="4">SUM(L11:P11)</f>
        <v>5649.2755192034147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-22.086889035680542</v>
      </c>
      <c r="E12" s="9">
        <f ca="1">-(E17-Q5)</f>
        <v>-136.3058928876244</v>
      </c>
      <c r="F12" s="9">
        <f ca="1">-(F17-Q6)</f>
        <v>0</v>
      </c>
      <c r="G12" s="9">
        <f ca="1">-(G17-Q7)</f>
        <v>-212.72553814002094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-371.11832006332588</v>
      </c>
      <c r="M12" s="17"/>
      <c r="N12" s="17"/>
      <c r="O12" s="10"/>
      <c r="P12" s="12"/>
      <c r="Q12" s="9">
        <f t="shared" ref="Q12:Q17" ca="1" si="6">SUM(L12:P12)</f>
        <v>-371.11832006332588</v>
      </c>
      <c r="R12" s="17">
        <f t="shared" ca="1" si="4"/>
        <v>-371.11832006332588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-346.7854009924763</v>
      </c>
      <c r="J13" s="14">
        <f ca="1">-(J17-Q10)</f>
        <v>-269.53562318960007</v>
      </c>
      <c r="K13" s="13">
        <f ca="1">-(K17-Q11)</f>
        <v>-622.82345661450927</v>
      </c>
      <c r="L13" s="14">
        <f t="shared" ca="1" si="5"/>
        <v>-1239.1444807965856</v>
      </c>
      <c r="M13" s="16">
        <f ca="1">-E15</f>
        <v>0</v>
      </c>
      <c r="N13" s="16"/>
      <c r="O13" s="11"/>
      <c r="P13" s="13"/>
      <c r="Q13" s="14">
        <f t="shared" ca="1" si="6"/>
        <v>-1239.1444807965856</v>
      </c>
      <c r="R13" s="16">
        <f t="shared" ca="1" si="4"/>
        <v>-1239.1444807965856</v>
      </c>
    </row>
    <row r="14" spans="1:22">
      <c r="A14" s="18" t="s">
        <v>78</v>
      </c>
      <c r="B14" s="11"/>
      <c r="C14" s="14"/>
      <c r="D14" s="14"/>
      <c r="E14" s="14">
        <f ca="1">-(I13+J13)-K13</f>
        <v>1239.1444807965856</v>
      </c>
      <c r="F14" s="14"/>
      <c r="G14" s="14"/>
      <c r="H14" s="14"/>
      <c r="I14" s="14"/>
      <c r="J14" s="14"/>
      <c r="K14" s="13"/>
      <c r="L14" s="14">
        <f t="shared" ca="1" si="5"/>
        <v>1239.1444807965856</v>
      </c>
      <c r="M14" s="16"/>
      <c r="N14" s="16"/>
      <c r="O14" s="11"/>
      <c r="P14" s="13"/>
      <c r="Q14" s="14">
        <f t="shared" ca="1" si="6"/>
        <v>1239.1444807965856</v>
      </c>
      <c r="R14" s="16">
        <f t="shared" ca="1" si="4"/>
        <v>1239.1444807965856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3505.8554024889627</v>
      </c>
      <c r="E17" s="9">
        <f ca="1">$Q$5/parameters!$B$4</f>
        <v>1239.1444807965856</v>
      </c>
      <c r="F17" s="9">
        <f t="shared" ref="F17:K17" ca="1" si="7">SUM(F$2:F$11)</f>
        <v>0</v>
      </c>
      <c r="G17" s="9">
        <f t="shared" ca="1" si="7"/>
        <v>4947.1055381400211</v>
      </c>
      <c r="H17" s="9">
        <f t="shared" ca="1" si="7"/>
        <v>4734.38</v>
      </c>
      <c r="I17" s="9">
        <f t="shared" ca="1" si="7"/>
        <v>2796.7854009924763</v>
      </c>
      <c r="J17" s="9">
        <f t="shared" ca="1" si="7"/>
        <v>2173.7745990075232</v>
      </c>
      <c r="K17" s="9">
        <f t="shared" ca="1" si="7"/>
        <v>6272.0989758179239</v>
      </c>
      <c r="L17" s="17">
        <f t="shared" ca="1" si="5"/>
        <v>25669.144397243494</v>
      </c>
      <c r="M17" s="17"/>
      <c r="N17" s="17"/>
      <c r="O17" s="9"/>
      <c r="P17" s="14"/>
      <c r="Q17" s="11">
        <f t="shared" ca="1" si="6"/>
        <v>25669.144397243494</v>
      </c>
      <c r="R17" s="17">
        <f t="shared" ca="1" si="4"/>
        <v>25669.144397243494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0.87600571682424588</v>
      </c>
      <c r="J18" s="39">
        <f ca="1">I18</f>
        <v>0.87600571682424588</v>
      </c>
      <c r="K18" s="40">
        <f ca="1">1-(-K13)/K17</f>
        <v>0.90069935774039844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6024.5295360772861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6024.5295360772861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-5070.5295360772861</v>
      </c>
      <c r="Q2" s="17" cm="1">
        <f t="array" aca="1" ref="Q2" ca="1">INDIRECT("'data'!$D$" &amp; $A$1)</f>
        <v>954</v>
      </c>
      <c r="R2" s="17">
        <f ca="1">SUM(L2:P2)</f>
        <v>954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5962.7880597014928</v>
      </c>
      <c r="G3" s="14">
        <f ca="1">Q3-O3-P3-F3</f>
        <v>37.016940298506597</v>
      </c>
      <c r="H3" s="14"/>
      <c r="I3" s="14"/>
      <c r="J3" s="14"/>
      <c r="K3" s="13"/>
      <c r="L3" s="16">
        <f t="shared" ca="1" si="0"/>
        <v>5999.8049999999994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5986.5749999999998</v>
      </c>
      <c r="R3" s="16">
        <f t="shared" ref="R3:R10" ca="1" si="2">SUM(L3:P3)</f>
        <v>5986.5749999999998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391</v>
      </c>
      <c r="H4" s="14"/>
      <c r="I4" s="14"/>
      <c r="J4" s="14"/>
      <c r="K4" s="13"/>
      <c r="L4" s="16">
        <f t="shared" ca="1" si="0"/>
        <v>391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-391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Q6/parameters!$B$5*23%</f>
        <v>1781.092537313433</v>
      </c>
      <c r="G5" s="14">
        <f ca="1">Q7/parameters!$B$7-(G3+G4)</f>
        <v>312.35923525008275</v>
      </c>
      <c r="H5" s="14"/>
      <c r="I5" s="14"/>
      <c r="J5" s="14"/>
      <c r="K5" s="13"/>
      <c r="L5" s="16">
        <f t="shared" ca="1" si="0"/>
        <v>2093.451772563516</v>
      </c>
      <c r="M5" s="16"/>
      <c r="N5" s="16"/>
      <c r="O5" s="11" cm="1">
        <f t="array" aca="1" ref="O5" ca="1">INDIRECT("'data'!$M$" &amp; $A$1)*parameters!$B$15</f>
        <v>1206.3799999999999</v>
      </c>
      <c r="P5" s="13" cm="1">
        <f t="array" aca="1" ref="P5" ca="1">-INDIRECT("'data'!$N$" &amp; $A$1)*parameters!$B$15</f>
        <v>-1019.1999999999999</v>
      </c>
      <c r="Q5" s="16">
        <f ca="1">SUM(L5:P5)</f>
        <v>2280.6317725635163</v>
      </c>
      <c r="R5" s="16">
        <f t="shared" ca="1" si="2"/>
        <v>2280.6317725635163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7263.76</v>
      </c>
      <c r="I6" s="14"/>
      <c r="J6" s="14"/>
      <c r="K6" s="13"/>
      <c r="L6" s="16">
        <f t="shared" ca="1" si="0"/>
        <v>7263.76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7263.76</v>
      </c>
      <c r="R6" s="16">
        <f t="shared" ca="1" si="2"/>
        <v>7263.76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708.54</v>
      </c>
      <c r="I7" s="14"/>
      <c r="J7" s="14"/>
      <c r="K7" s="13"/>
      <c r="L7" s="16">
        <f t="shared" ca="1" si="0"/>
        <v>708.54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708.54</v>
      </c>
      <c r="R7" s="16">
        <f t="shared" ca="1" si="2"/>
        <v>708.54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2237.1859398020574</v>
      </c>
      <c r="J8" s="14">
        <f ca="1">Q10/J18</f>
        <v>6062.4340601979429</v>
      </c>
      <c r="K8" s="13"/>
      <c r="L8" s="16">
        <f t="shared" ca="1" si="0"/>
        <v>8299.6200000000008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231.28</v>
      </c>
      <c r="P8" s="13" cm="1">
        <f t="array" aca="1" ref="P8" ca="1">-INDIRECT("'data'!$S$" &amp; $A$1)*parameters!$B$15</f>
        <v>-558.6</v>
      </c>
      <c r="Q8" s="16">
        <f ca="1">SUM(Q6:Q7)</f>
        <v>7972.3</v>
      </c>
      <c r="R8" s="16">
        <f t="shared" ca="1" si="2"/>
        <v>7972.3000000000011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1807.1199999999997</v>
      </c>
      <c r="L9" s="16">
        <f t="shared" ca="1" si="0"/>
        <v>1807.1199999999997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1628.76</v>
      </c>
      <c r="P9" s="13" cm="1">
        <f t="array" aca="1" ref="P9" ca="1">-INDIRECT("'data'!$V$" &amp; $A$1)*parameters!$B$15</f>
        <v>-1367.1</v>
      </c>
      <c r="Q9" s="16" cm="1">
        <f t="array" aca="1" ref="Q9" ca="1">INDIRECT("'data'!$T$" &amp; $A$1)*parameters!$B$15</f>
        <v>2068.7799999999997</v>
      </c>
      <c r="R9" s="16">
        <f t="shared" ca="1" si="2"/>
        <v>2068.7799999999997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2671.9595448079667</v>
      </c>
      <c r="L10" s="16">
        <f t="shared" ca="1" si="0"/>
        <v>2671.9595448079667</v>
      </c>
      <c r="M10" s="16"/>
      <c r="N10" s="16">
        <f t="shared" ca="1" si="3"/>
        <v>0</v>
      </c>
      <c r="O10" s="11" cm="1">
        <f t="array" aca="1" ref="O10" ca="1">INDIRECT("'data'!$X$" &amp; $A$1)*parameters!$B$15</f>
        <v>5095.0199999999995</v>
      </c>
      <c r="P10" s="13" cm="1">
        <f t="array" aca="1" ref="P10" ca="1">-INDIRECT("'data'!$Y$" &amp; $A$1)*parameters!$B$15</f>
        <v>-2160.9</v>
      </c>
      <c r="Q10" s="16" cm="1">
        <f t="array" aca="1" ref="Q10" ca="1">INDIRECT("'data'!$W$" &amp; $A$1)*parameters!$B$15</f>
        <v>5606.0795448079662</v>
      </c>
      <c r="R10" s="16">
        <f t="shared" ca="1" si="2"/>
        <v>5606.0795448079662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4225.8980085348503</v>
      </c>
      <c r="N11" s="19"/>
      <c r="O11" s="21" cm="1">
        <f t="array" aca="1" ref="O11" ca="1">INDIRECT("'data'!$Z$" &amp; $A$1)*parameters!$B$15</f>
        <v>3821.02</v>
      </c>
      <c r="P11" s="27" cm="1">
        <f t="array" aca="1" ref="P11" ca="1">-INDIRECT("'data'!$AA$" &amp; $A$1)*parameters!$B$15</f>
        <v>-4050.34</v>
      </c>
      <c r="Q11" s="16">
        <f ca="1">K9*parameters!$B$10+K10*parameters!$B$11</f>
        <v>3996.5780085348506</v>
      </c>
      <c r="R11" s="16">
        <f t="shared" ref="R11:R17" ca="1" si="4">SUM(L11:P11)</f>
        <v>3996.5780085348506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-37.954536077286321</v>
      </c>
      <c r="D12" s="9">
        <f ca="1">-(D17-Q4)</f>
        <v>0</v>
      </c>
      <c r="E12" s="9">
        <f ca="1">-(E17-Q5)</f>
        <v>-281.87583705841189</v>
      </c>
      <c r="F12" s="9">
        <f ca="1">-(F17-Q6)</f>
        <v>-480.12059701492581</v>
      </c>
      <c r="G12" s="9">
        <f ca="1">-(G17-Q7)</f>
        <v>-31.836175548589381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-831.7871456992134</v>
      </c>
      <c r="M12" s="17"/>
      <c r="N12" s="17"/>
      <c r="O12" s="10"/>
      <c r="P12" s="12"/>
      <c r="Q12" s="9">
        <f t="shared" ref="Q12:Q17" ca="1" si="6">SUM(L12:P12)</f>
        <v>-831.7871456992134</v>
      </c>
      <c r="R12" s="17">
        <f t="shared" ca="1" si="4"/>
        <v>-831.7871456992134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-168.40593980205767</v>
      </c>
      <c r="J13" s="14">
        <f ca="1">-(J17-Q10)</f>
        <v>-456.35451538997677</v>
      </c>
      <c r="K13" s="13">
        <f ca="1">-(K17-Q11)</f>
        <v>-482.50153627311556</v>
      </c>
      <c r="L13" s="14">
        <f t="shared" ca="1" si="5"/>
        <v>-1107.26199146515</v>
      </c>
      <c r="M13" s="16">
        <f ca="1">-E15</f>
        <v>-1455.2456181567782</v>
      </c>
      <c r="N13" s="16"/>
      <c r="O13" s="11"/>
      <c r="P13" s="13"/>
      <c r="Q13" s="14">
        <f t="shared" ca="1" si="6"/>
        <v>-2562.5076096219282</v>
      </c>
      <c r="R13" s="16">
        <f t="shared" ca="1" si="4"/>
        <v>-2562.5076096219282</v>
      </c>
    </row>
    <row r="14" spans="1:20">
      <c r="A14" s="18" t="s">
        <v>78</v>
      </c>
      <c r="B14" s="11"/>
      <c r="C14" s="14"/>
      <c r="D14" s="14"/>
      <c r="E14" s="14">
        <f ca="1">-(I13+J13)-K13</f>
        <v>1107.26199146515</v>
      </c>
      <c r="F14" s="14"/>
      <c r="G14" s="14"/>
      <c r="H14" s="14"/>
      <c r="I14" s="14"/>
      <c r="J14" s="14"/>
      <c r="K14" s="13"/>
      <c r="L14" s="14">
        <f t="shared" ca="1" si="5"/>
        <v>1107.26199146515</v>
      </c>
      <c r="M14" s="16"/>
      <c r="N14" s="16"/>
      <c r="O14" s="11"/>
      <c r="P14" s="13"/>
      <c r="Q14" s="14">
        <f t="shared" ca="1" si="6"/>
        <v>1107.26199146515</v>
      </c>
      <c r="R14" s="16">
        <f t="shared" ca="1" si="4"/>
        <v>1107.26199146515</v>
      </c>
    </row>
    <row r="15" spans="1:20">
      <c r="A15" s="18" t="s">
        <v>79</v>
      </c>
      <c r="B15" s="11"/>
      <c r="C15" s="14"/>
      <c r="D15" s="14"/>
      <c r="E15" s="14">
        <f ca="1">E17-E14</f>
        <v>1455.2456181567782</v>
      </c>
      <c r="F15" s="14"/>
      <c r="G15" s="14"/>
      <c r="H15" s="14"/>
      <c r="I15" s="14"/>
      <c r="J15" s="14"/>
      <c r="K15" s="13"/>
      <c r="L15" s="14">
        <f t="shared" ca="1" si="5"/>
        <v>1455.2456181567782</v>
      </c>
      <c r="M15" s="16"/>
      <c r="N15" s="16"/>
      <c r="O15" s="11"/>
      <c r="P15" s="13"/>
      <c r="Q15" s="14">
        <f t="shared" ca="1" si="6"/>
        <v>1455.2456181567782</v>
      </c>
      <c r="R15" s="16">
        <f t="shared" ca="1" si="4"/>
        <v>1455.2456181567782</v>
      </c>
    </row>
    <row r="16" spans="1:20">
      <c r="A16" s="30" t="s">
        <v>89</v>
      </c>
      <c r="B16" s="21">
        <f ca="1">Q2</f>
        <v>954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954</v>
      </c>
      <c r="M16" s="19"/>
      <c r="N16" s="19"/>
      <c r="O16" s="21"/>
      <c r="P16" s="27"/>
      <c r="Q16" s="22">
        <f t="shared" ca="1" si="6"/>
        <v>954</v>
      </c>
      <c r="R16" s="19">
        <f t="shared" ca="1" si="4"/>
        <v>954</v>
      </c>
    </row>
    <row r="17" spans="1:18">
      <c r="A17" s="29" t="s">
        <v>88</v>
      </c>
      <c r="B17" s="9">
        <f ca="1">B16</f>
        <v>954</v>
      </c>
      <c r="C17" s="9">
        <f ca="1">SUM(C$2:C$11)</f>
        <v>6024.5295360772861</v>
      </c>
      <c r="D17" s="9">
        <f ca="1">SUM(D$2:D$11)</f>
        <v>0</v>
      </c>
      <c r="E17" s="9">
        <f ca="1">$Q$5/parameters!$B$4</f>
        <v>2562.5076096219282</v>
      </c>
      <c r="F17" s="9">
        <f t="shared" ref="F17:K17" ca="1" si="7">SUM(F$2:F$11)</f>
        <v>7743.880597014926</v>
      </c>
      <c r="G17" s="9">
        <f t="shared" ca="1" si="7"/>
        <v>740.37617554858934</v>
      </c>
      <c r="H17" s="9">
        <f t="shared" ca="1" si="7"/>
        <v>7972.3</v>
      </c>
      <c r="I17" s="9">
        <f t="shared" ca="1" si="7"/>
        <v>2237.1859398020574</v>
      </c>
      <c r="J17" s="9">
        <f t="shared" ca="1" si="7"/>
        <v>6062.4340601979429</v>
      </c>
      <c r="K17" s="9">
        <f t="shared" ca="1" si="7"/>
        <v>4479.0795448079662</v>
      </c>
      <c r="L17" s="17">
        <f t="shared" ca="1" si="5"/>
        <v>38776.293463070695</v>
      </c>
      <c r="M17" s="17"/>
      <c r="N17" s="17"/>
      <c r="O17" s="9"/>
      <c r="P17" s="14"/>
      <c r="Q17" s="11">
        <f t="shared" ca="1" si="6"/>
        <v>38776.293463070695</v>
      </c>
      <c r="R17" s="17">
        <f t="shared" ca="1" si="4"/>
        <v>38776.293463070695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0.92472420963947333</v>
      </c>
      <c r="J18" s="39">
        <f ca="1">I18</f>
        <v>0.92472420963947333</v>
      </c>
      <c r="K18" s="40">
        <f ca="1">1-(-K13)/K17</f>
        <v>0.89227663151630809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4611.3565462413198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4611.3565462413198</v>
      </c>
      <c r="M2" s="17"/>
      <c r="N2" s="17">
        <f ca="1">Q2-(L2+O2+P2)</f>
        <v>0</v>
      </c>
      <c r="O2" s="11" cm="1">
        <f t="array" aca="1" ref="O2" ca="1">INDIRECT("'data'!$F$" &amp; $A$1)</f>
        <v>4.55</v>
      </c>
      <c r="P2" s="13">
        <f ca="1">IF(-(L2-Q2+O2)&lt;0, -(L2-Q2+O2), 0)</f>
        <v>-4615.90654624132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4463.2835820895525</v>
      </c>
      <c r="G3" s="14">
        <f ca="1">Q3-O3-P3-F3</f>
        <v>166.27141791044687</v>
      </c>
      <c r="H3" s="14"/>
      <c r="I3" s="14"/>
      <c r="J3" s="14"/>
      <c r="K3" s="13"/>
      <c r="L3" s="16">
        <f t="shared" ca="1" si="0"/>
        <v>4629.5549999999994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155.92499999999998</v>
      </c>
      <c r="P3" s="13" cm="1">
        <f t="array" aca="1" ref="P3" ca="1">-INDIRECT("'data'!$I$" &amp; $A$1)*parameters!$B$13</f>
        <v>-203.17499999999998</v>
      </c>
      <c r="Q3" s="16" cm="1">
        <f t="array" aca="1" ref="Q3" ca="1">INDIRECT("'data'!$G$" &amp; $A$1)*parameters!$B$13</f>
        <v>4582.3049999999994</v>
      </c>
      <c r="R3" s="16">
        <f t="shared" ref="R3:R10" ca="1" si="2">SUM(L3:P3)</f>
        <v>4582.3049999999994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11.039999999999992</v>
      </c>
      <c r="H4" s="14"/>
      <c r="I4" s="14"/>
      <c r="J4" s="14"/>
      <c r="K4" s="13"/>
      <c r="L4" s="16">
        <f t="shared" ca="1" si="0"/>
        <v>11.039999999999992</v>
      </c>
      <c r="M4" s="16"/>
      <c r="N4" s="16">
        <f t="shared" ca="1" si="1"/>
        <v>0</v>
      </c>
      <c r="O4" s="11" cm="1">
        <f t="array" aca="1" ref="O4" ca="1">INDIRECT("'data'!$K$" &amp; $A$1)*parameters!$B$14</f>
        <v>103.96000000000001</v>
      </c>
      <c r="P4" s="13" cm="1">
        <f t="array" aca="1" ref="P4" ca="1">-INDIRECT("'data'!$L$" &amp; $A$1)*parameters!$B$14</f>
        <v>-115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1115.8208955223881</v>
      </c>
      <c r="G5" s="14">
        <f ca="1">Q7/parameters!$B$7-(G3+G4)</f>
        <v>2382.7721766559066</v>
      </c>
      <c r="H5" s="14"/>
      <c r="I5" s="14"/>
      <c r="J5" s="14"/>
      <c r="K5" s="13"/>
      <c r="L5" s="16">
        <f t="shared" ca="1" si="0"/>
        <v>3498.5930721782947</v>
      </c>
      <c r="M5" s="16"/>
      <c r="N5" s="16"/>
      <c r="O5" s="11" cm="1">
        <f t="array" aca="1" ref="O5" ca="1">INDIRECT("'data'!$M$" &amp; $A$1)*parameters!$B$15</f>
        <v>3680.88</v>
      </c>
      <c r="P5" s="13" cm="1">
        <f t="array" aca="1" ref="P5" ca="1">-INDIRECT("'data'!$N$" &amp; $A$1)*parameters!$B$15</f>
        <v>-4550.1400000000003</v>
      </c>
      <c r="Q5" s="16">
        <f ca="1">SUM(L5:P5)</f>
        <v>2629.3330721782941</v>
      </c>
      <c r="R5" s="16">
        <f t="shared" ca="1" si="2"/>
        <v>2629.3330721782941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5233.2</v>
      </c>
      <c r="I6" s="14"/>
      <c r="J6" s="14"/>
      <c r="K6" s="13"/>
      <c r="L6" s="16">
        <f t="shared" ca="1" si="0"/>
        <v>5233.2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5233.2</v>
      </c>
      <c r="R6" s="16">
        <f t="shared" ca="1" si="2"/>
        <v>5233.2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2450</v>
      </c>
      <c r="I7" s="14"/>
      <c r="J7" s="14"/>
      <c r="K7" s="13"/>
      <c r="L7" s="16">
        <f t="shared" ca="1" si="0"/>
        <v>2450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2450</v>
      </c>
      <c r="R7" s="16">
        <f t="shared" ca="1" si="2"/>
        <v>2450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685.08656177264118</v>
      </c>
      <c r="J8" s="14">
        <f ca="1">Q10/J18</f>
        <v>8633.7334382273584</v>
      </c>
      <c r="K8" s="13"/>
      <c r="L8" s="16">
        <f t="shared" ca="1" si="0"/>
        <v>9318.82</v>
      </c>
      <c r="M8" s="16"/>
      <c r="N8" s="16">
        <f t="shared" ca="1" si="3"/>
        <v>0</v>
      </c>
      <c r="O8" s="11" cm="1">
        <f t="array" aca="1" ref="O8" ca="1">INDIRECT("'data'!$R$" &amp; $A$1)*parameters!$B$15</f>
        <v>459.62</v>
      </c>
      <c r="P8" s="13" cm="1">
        <f t="array" aca="1" ref="P8" ca="1">-INDIRECT("'data'!$S$" &amp; $A$1)*parameters!$B$15</f>
        <v>-2095.2399999999998</v>
      </c>
      <c r="Q8" s="16">
        <f ca="1">SUM(Q6:Q7)</f>
        <v>7683.2</v>
      </c>
      <c r="R8" s="16">
        <f t="shared" ca="1" si="2"/>
        <v>7683.2000000000007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1076.04</v>
      </c>
      <c r="L9" s="16">
        <f t="shared" ca="1" si="0"/>
        <v>1076.04</v>
      </c>
      <c r="M9" s="16"/>
      <c r="N9" s="16">
        <f t="shared" ca="1" si="3"/>
        <v>0</v>
      </c>
      <c r="O9" s="11" cm="1">
        <f t="array" aca="1" ref="O9" ca="1">INDIRECT("'data'!$U$" &amp; $A$1)*parameters!$B$15</f>
        <v>1372</v>
      </c>
      <c r="P9" s="13" cm="1">
        <f t="array" aca="1" ref="P9" ca="1">-INDIRECT("'data'!$V$" &amp; $A$1)*parameters!$B$15</f>
        <v>-1796.34</v>
      </c>
      <c r="Q9" s="16" cm="1">
        <f t="array" aca="1" ref="Q9" ca="1">INDIRECT("'data'!$T$" &amp; $A$1)*parameters!$B$15</f>
        <v>651.69999999999993</v>
      </c>
      <c r="R9" s="16">
        <f t="shared" ca="1" si="2"/>
        <v>651.70000000000005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1911.5827027027026</v>
      </c>
      <c r="L10" s="16">
        <f t="shared" ca="1" si="0"/>
        <v>1911.5827027027026</v>
      </c>
      <c r="M10" s="16"/>
      <c r="N10" s="16">
        <f t="shared" ca="1" si="3"/>
        <v>0</v>
      </c>
      <c r="O10" s="11" cm="1">
        <f t="array" aca="1" ref="O10" ca="1">INDIRECT("'data'!$X$" &amp; $A$1)*parameters!$B$15</f>
        <v>15473.22</v>
      </c>
      <c r="P10" s="13" cm="1">
        <f t="array" aca="1" ref="P10" ca="1">-INDIRECT("'data'!$Y$" &amp; $A$1)*parameters!$B$15</f>
        <v>-9171.82</v>
      </c>
      <c r="Q10" s="16" cm="1">
        <f t="array" aca="1" ref="Q10" ca="1">INDIRECT("'data'!$W$" &amp; $A$1)*parameters!$B$15</f>
        <v>8212.9827027027022</v>
      </c>
      <c r="R10" s="16">
        <f t="shared" ca="1" si="2"/>
        <v>8212.9827027027022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3385.538724324324</v>
      </c>
      <c r="N11" s="19"/>
      <c r="O11" s="21" cm="1">
        <f t="array" aca="1" ref="O11" ca="1">INDIRECT("'data'!$Z$" &amp; $A$1)*parameters!$B$15</f>
        <v>7264.74</v>
      </c>
      <c r="P11" s="27" cm="1">
        <f t="array" aca="1" ref="P11" ca="1">-INDIRECT("'data'!$AA$" &amp; $A$1)*parameters!$B$15</f>
        <v>-7994.84</v>
      </c>
      <c r="Q11" s="16">
        <f ca="1">K9*parameters!$B$10+K10*parameters!$B$11</f>
        <v>2655.4387243243241</v>
      </c>
      <c r="R11" s="16">
        <f t="shared" ref="R11:R17" ca="1" si="4">SUM(L11:P11)</f>
        <v>2655.4387243243236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-29.051546241320466</v>
      </c>
      <c r="D12" s="9">
        <f ca="1">-(D17-Q4)</f>
        <v>0</v>
      </c>
      <c r="E12" s="9">
        <f ca="1">-(E17-Q5)</f>
        <v>-324.97375049394623</v>
      </c>
      <c r="F12" s="9">
        <f ca="1">-(F17-Q6)</f>
        <v>-345.90447761194082</v>
      </c>
      <c r="G12" s="9">
        <f ca="1">-(G17-Q7)</f>
        <v>-110.08359456635344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-810.01336891356095</v>
      </c>
      <c r="M12" s="17"/>
      <c r="N12" s="17"/>
      <c r="O12" s="10"/>
      <c r="P12" s="12"/>
      <c r="Q12" s="9">
        <f t="shared" ref="Q12:Q17" ca="1" si="6">SUM(L12:P12)</f>
        <v>-810.01336891356095</v>
      </c>
      <c r="R12" s="17">
        <f t="shared" ca="1" si="4"/>
        <v>-810.01336891356095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-33.386561772641244</v>
      </c>
      <c r="J13" s="14">
        <f ca="1">-(J17-Q10)</f>
        <v>-420.75073552465619</v>
      </c>
      <c r="K13" s="13">
        <f ca="1">-(K17-Q11)</f>
        <v>-332.18397837837847</v>
      </c>
      <c r="L13" s="14">
        <f t="shared" ca="1" si="5"/>
        <v>-786.32127567567591</v>
      </c>
      <c r="M13" s="16">
        <f ca="1">-E15</f>
        <v>-2167.9855469965642</v>
      </c>
      <c r="N13" s="16"/>
      <c r="O13" s="11"/>
      <c r="P13" s="13"/>
      <c r="Q13" s="14">
        <f t="shared" ca="1" si="6"/>
        <v>-2954.3068226722398</v>
      </c>
      <c r="R13" s="16">
        <f t="shared" ca="1" si="4"/>
        <v>-2954.3068226722398</v>
      </c>
    </row>
    <row r="14" spans="1:20">
      <c r="A14" s="18" t="s">
        <v>78</v>
      </c>
      <c r="B14" s="11"/>
      <c r="C14" s="14"/>
      <c r="D14" s="14"/>
      <c r="E14" s="14">
        <f ca="1">-(I13+J13)-K13</f>
        <v>786.32127567567591</v>
      </c>
      <c r="F14" s="14"/>
      <c r="G14" s="14"/>
      <c r="H14" s="14"/>
      <c r="I14" s="14"/>
      <c r="J14" s="14"/>
      <c r="K14" s="13"/>
      <c r="L14" s="14">
        <f t="shared" ca="1" si="5"/>
        <v>786.32127567567591</v>
      </c>
      <c r="M14" s="16"/>
      <c r="N14" s="16"/>
      <c r="O14" s="11"/>
      <c r="P14" s="13"/>
      <c r="Q14" s="14">
        <f t="shared" ca="1" si="6"/>
        <v>786.32127567567591</v>
      </c>
      <c r="R14" s="16">
        <f t="shared" ca="1" si="4"/>
        <v>786.32127567567591</v>
      </c>
    </row>
    <row r="15" spans="1:20">
      <c r="A15" s="18" t="s">
        <v>79</v>
      </c>
      <c r="B15" s="11"/>
      <c r="C15" s="14"/>
      <c r="D15" s="14"/>
      <c r="E15" s="14">
        <f ca="1">E17-E14</f>
        <v>2167.9855469965642</v>
      </c>
      <c r="F15" s="14"/>
      <c r="G15" s="14"/>
      <c r="H15" s="14"/>
      <c r="I15" s="14"/>
      <c r="J15" s="14"/>
      <c r="K15" s="13"/>
      <c r="L15" s="14">
        <f t="shared" ca="1" si="5"/>
        <v>2167.9855469965642</v>
      </c>
      <c r="M15" s="16"/>
      <c r="N15" s="16"/>
      <c r="O15" s="11"/>
      <c r="P15" s="13"/>
      <c r="Q15" s="14">
        <f t="shared" ca="1" si="6"/>
        <v>2167.9855469965642</v>
      </c>
      <c r="R15" s="16">
        <f t="shared" ca="1" si="4"/>
        <v>2167.9855469965642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4611.3565462413198</v>
      </c>
      <c r="D17" s="9">
        <f ca="1">SUM(D$2:D$11)</f>
        <v>0</v>
      </c>
      <c r="E17" s="9">
        <f ca="1">$Q$5/parameters!$B$4</f>
        <v>2954.3068226722403</v>
      </c>
      <c r="F17" s="9">
        <f t="shared" ref="F17:K17" ca="1" si="7">SUM(F$2:F$11)</f>
        <v>5579.1044776119406</v>
      </c>
      <c r="G17" s="9">
        <f t="shared" ca="1" si="7"/>
        <v>2560.0835945663534</v>
      </c>
      <c r="H17" s="9">
        <f t="shared" ca="1" si="7"/>
        <v>7683.2</v>
      </c>
      <c r="I17" s="9">
        <f t="shared" ca="1" si="7"/>
        <v>685.08656177264118</v>
      </c>
      <c r="J17" s="9">
        <f t="shared" ca="1" si="7"/>
        <v>8633.7334382273584</v>
      </c>
      <c r="K17" s="9">
        <f t="shared" ca="1" si="7"/>
        <v>2987.6227027027026</v>
      </c>
      <c r="L17" s="17">
        <f t="shared" ca="1" si="5"/>
        <v>35694.49414379456</v>
      </c>
      <c r="M17" s="17"/>
      <c r="N17" s="17"/>
      <c r="O17" s="9"/>
      <c r="P17" s="14"/>
      <c r="Q17" s="11">
        <f t="shared" ca="1" si="6"/>
        <v>35694.49414379456</v>
      </c>
      <c r="R17" s="17">
        <f t="shared" ca="1" si="4"/>
        <v>35694.49414379456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0.95126665207641126</v>
      </c>
      <c r="J18" s="39">
        <f ca="1">I18</f>
        <v>0.95126665207641126</v>
      </c>
      <c r="K18" s="40">
        <f ca="1">1-(-K13)/K17</f>
        <v>0.88881327683114941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5702.143504075676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5702.143504075676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-5702.143504075676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5263.038805970149</v>
      </c>
      <c r="G3" s="14">
        <f ca="1">Q3-O3-P3-F3</f>
        <v>445.70619402984994</v>
      </c>
      <c r="H3" s="14"/>
      <c r="I3" s="14"/>
      <c r="J3" s="14"/>
      <c r="K3" s="13"/>
      <c r="L3" s="16">
        <f t="shared" ca="1" si="0"/>
        <v>5708.744999999999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-47.25</v>
      </c>
      <c r="Q3" s="16" cm="1">
        <f t="array" aca="1" ref="Q3" ca="1">INDIRECT("'data'!$G$" &amp; $A$1)*parameters!$B$13</f>
        <v>5666.2199999999993</v>
      </c>
      <c r="R3" s="16">
        <f t="shared" ref="R3:R10" ca="1" si="2">SUM(L3:P3)</f>
        <v>5666.2199999999993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1002.4835820895522</v>
      </c>
      <c r="G5" s="14">
        <f ca="1">Q7/parameters!$B$7-(G3+G4)</f>
        <v>1083.2797620830027</v>
      </c>
      <c r="H5" s="14"/>
      <c r="I5" s="14"/>
      <c r="J5" s="14"/>
      <c r="K5" s="13"/>
      <c r="L5" s="16">
        <f t="shared" ca="1" si="0"/>
        <v>2085.7633441725548</v>
      </c>
      <c r="M5" s="16"/>
      <c r="N5" s="16"/>
      <c r="O5" s="11" cm="1">
        <f t="array" aca="1" ref="O5" ca="1">INDIRECT("'data'!$M$" &amp; $A$1)*parameters!$B$15</f>
        <v>8636.74</v>
      </c>
      <c r="P5" s="13" cm="1">
        <f t="array" aca="1" ref="P5" ca="1">-INDIRECT("'data'!$N$" &amp; $A$1)*parameters!$B$15</f>
        <v>-338.09999999999997</v>
      </c>
      <c r="Q5" s="16">
        <f ca="1">SUM(L5:P5)</f>
        <v>10384.403344172553</v>
      </c>
      <c r="R5" s="16">
        <f t="shared" ca="1" si="2"/>
        <v>10384.403344172553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5877.0599999999995</v>
      </c>
      <c r="I6" s="14"/>
      <c r="J6" s="14"/>
      <c r="K6" s="13"/>
      <c r="L6" s="16">
        <f t="shared" ca="1" si="0"/>
        <v>5877.0599999999995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5877.0599999999995</v>
      </c>
      <c r="R6" s="16">
        <f t="shared" ca="1" si="2"/>
        <v>5877.0599999999995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1464.12</v>
      </c>
      <c r="I7" s="14"/>
      <c r="J7" s="14"/>
      <c r="K7" s="13"/>
      <c r="L7" s="16">
        <f t="shared" ca="1" si="0"/>
        <v>1464.12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1464.12</v>
      </c>
      <c r="R7" s="16">
        <f t="shared" ca="1" si="2"/>
        <v>1464.12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2820.4356521303671</v>
      </c>
      <c r="J8" s="14">
        <f ca="1">Q10/J18</f>
        <v>4133.6443478696337</v>
      </c>
      <c r="K8" s="13"/>
      <c r="L8" s="16">
        <f t="shared" ca="1" si="0"/>
        <v>6954.0800000000008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829.08</v>
      </c>
      <c r="P8" s="13" cm="1">
        <f t="array" aca="1" ref="P8" ca="1">-INDIRECT("'data'!$S$" &amp; $A$1)*parameters!$B$15</f>
        <v>-441.98</v>
      </c>
      <c r="Q8" s="16">
        <f ca="1">SUM(Q6:Q7)</f>
        <v>7341.1799999999994</v>
      </c>
      <c r="R8" s="16">
        <f t="shared" ca="1" si="2"/>
        <v>7341.18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3052.7</v>
      </c>
      <c r="L9" s="16">
        <f t="shared" ca="1" si="0"/>
        <v>3052.7</v>
      </c>
      <c r="M9" s="16"/>
      <c r="N9" s="16">
        <f t="shared" ca="1" si="3"/>
        <v>0</v>
      </c>
      <c r="O9" s="11" cm="1">
        <f t="array" aca="1" ref="O9" ca="1">INDIRECT("'data'!$U$" &amp; $A$1)*parameters!$B$15</f>
        <v>1509.2</v>
      </c>
      <c r="P9" s="13" cm="1">
        <f t="array" aca="1" ref="P9" ca="1">-INDIRECT("'data'!$V$" &amp; $A$1)*parameters!$B$15</f>
        <v>-2089.36</v>
      </c>
      <c r="Q9" s="16" cm="1">
        <f t="array" aca="1" ref="Q9" ca="1">INDIRECT("'data'!$T$" &amp; $A$1)*parameters!$B$15</f>
        <v>2472.54</v>
      </c>
      <c r="R9" s="16">
        <f t="shared" ca="1" si="2"/>
        <v>2472.5399999999995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5909.1267709815074</v>
      </c>
      <c r="L10" s="16">
        <f t="shared" ca="1" si="0"/>
        <v>5909.1267709815074</v>
      </c>
      <c r="M10" s="16"/>
      <c r="N10" s="16">
        <f t="shared" ca="1" si="3"/>
        <v>0</v>
      </c>
      <c r="O10" s="11" cm="1">
        <f t="array" aca="1" ref="O10" ca="1">INDIRECT("'data'!$X$" &amp; $A$1)*parameters!$B$15</f>
        <v>1768.8999999999999</v>
      </c>
      <c r="P10" s="13" cm="1">
        <f t="array" aca="1" ref="P10" ca="1">-INDIRECT("'data'!$Y$" &amp; $A$1)*parameters!$B$15</f>
        <v>-4054.2599999999998</v>
      </c>
      <c r="Q10" s="16" cm="1">
        <f t="array" aca="1" ref="Q10" ca="1">INDIRECT("'data'!$W$" &amp; $A$1)*parameters!$B$15</f>
        <v>3623.7667709815078</v>
      </c>
      <c r="R10" s="16">
        <f t="shared" ca="1" si="2"/>
        <v>3623.7667709815073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13763.767023044096</v>
      </c>
      <c r="N11" s="19"/>
      <c r="O11" s="21" cm="1">
        <f t="array" aca="1" ref="O11" ca="1">INDIRECT("'data'!$Z$" &amp; $A$1)*parameters!$B$15</f>
        <v>5937.82</v>
      </c>
      <c r="P11" s="27" cm="1">
        <f t="array" aca="1" ref="P11" ca="1">-INDIRECT("'data'!$AA$" &amp; $A$1)*parameters!$B$15</f>
        <v>-11750.199999999999</v>
      </c>
      <c r="Q11" s="16">
        <f ca="1">K9*parameters!$B$10+K10*parameters!$B$11</f>
        <v>7951.3870230440962</v>
      </c>
      <c r="R11" s="16">
        <f t="shared" ref="R11:R17" ca="1" si="4">SUM(L11:P11)</f>
        <v>7951.3870230440971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-35.923504075676647</v>
      </c>
      <c r="D12" s="9">
        <f ca="1">-(D17-Q4)</f>
        <v>0</v>
      </c>
      <c r="E12" s="9">
        <f ca="1">-(E17-Q5)</f>
        <v>-1283.465581864024</v>
      </c>
      <c r="F12" s="9">
        <f ca="1">-(F17-Q6)</f>
        <v>-388.46238805970188</v>
      </c>
      <c r="G12" s="9">
        <f ca="1">-(G17-Q7)</f>
        <v>-65.785956112852773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-1773.6374301122553</v>
      </c>
      <c r="M12" s="17"/>
      <c r="N12" s="17"/>
      <c r="O12" s="10"/>
      <c r="P12" s="12"/>
      <c r="Q12" s="9">
        <f t="shared" ref="Q12:Q17" ca="1" si="6">SUM(L12:P12)</f>
        <v>-1773.6374301122553</v>
      </c>
      <c r="R12" s="17">
        <f t="shared" ca="1" si="4"/>
        <v>-1773.6374301122553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-347.89565213036713</v>
      </c>
      <c r="J13" s="14">
        <f ca="1">-(J17-Q10)</f>
        <v>-509.87757688812599</v>
      </c>
      <c r="K13" s="13">
        <f ca="1">-(K17-Q11)</f>
        <v>-1010.439747937412</v>
      </c>
      <c r="L13" s="14">
        <f t="shared" ca="1" si="5"/>
        <v>-1868.2129769559051</v>
      </c>
      <c r="M13" s="16">
        <f ca="1">-E15</f>
        <v>-9799.6559490806721</v>
      </c>
      <c r="N13" s="16"/>
      <c r="O13" s="11"/>
      <c r="P13" s="13"/>
      <c r="Q13" s="14">
        <f t="shared" ca="1" si="6"/>
        <v>-11667.868926036577</v>
      </c>
      <c r="R13" s="16">
        <f t="shared" ca="1" si="4"/>
        <v>-11667.868926036577</v>
      </c>
    </row>
    <row r="14" spans="1:20">
      <c r="A14" s="18" t="s">
        <v>78</v>
      </c>
      <c r="B14" s="11"/>
      <c r="C14" s="14"/>
      <c r="D14" s="14"/>
      <c r="E14" s="14">
        <f ca="1">-(I13+J13)-K13</f>
        <v>1868.2129769559051</v>
      </c>
      <c r="F14" s="14"/>
      <c r="G14" s="14"/>
      <c r="H14" s="14"/>
      <c r="I14" s="14"/>
      <c r="J14" s="14"/>
      <c r="K14" s="13"/>
      <c r="L14" s="14">
        <f t="shared" ca="1" si="5"/>
        <v>1868.2129769559051</v>
      </c>
      <c r="M14" s="16"/>
      <c r="N14" s="16"/>
      <c r="O14" s="11"/>
      <c r="P14" s="13"/>
      <c r="Q14" s="14">
        <f t="shared" ca="1" si="6"/>
        <v>1868.2129769559051</v>
      </c>
      <c r="R14" s="16">
        <f t="shared" ca="1" si="4"/>
        <v>1868.2129769559051</v>
      </c>
    </row>
    <row r="15" spans="1:20">
      <c r="A15" s="18" t="s">
        <v>79</v>
      </c>
      <c r="B15" s="11"/>
      <c r="C15" s="14"/>
      <c r="D15" s="14"/>
      <c r="E15" s="14">
        <f ca="1">E17-E14</f>
        <v>9799.6559490806721</v>
      </c>
      <c r="F15" s="14"/>
      <c r="G15" s="14"/>
      <c r="H15" s="14"/>
      <c r="I15" s="14"/>
      <c r="J15" s="14"/>
      <c r="K15" s="13"/>
      <c r="L15" s="14">
        <f t="shared" ca="1" si="5"/>
        <v>9799.6559490806721</v>
      </c>
      <c r="M15" s="16"/>
      <c r="N15" s="16"/>
      <c r="O15" s="11"/>
      <c r="P15" s="13"/>
      <c r="Q15" s="14">
        <f t="shared" ca="1" si="6"/>
        <v>9799.6559490806721</v>
      </c>
      <c r="R15" s="16">
        <f t="shared" ca="1" si="4"/>
        <v>9799.6559490806721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5702.143504075676</v>
      </c>
      <c r="D17" s="9">
        <f ca="1">SUM(D$2:D$11)</f>
        <v>0</v>
      </c>
      <c r="E17" s="9">
        <f ca="1">$Q$5/parameters!$B$4</f>
        <v>11667.868926036577</v>
      </c>
      <c r="F17" s="9">
        <f t="shared" ref="F17:K17" ca="1" si="7">SUM(F$2:F$11)</f>
        <v>6265.5223880597014</v>
      </c>
      <c r="G17" s="9">
        <f t="shared" ca="1" si="7"/>
        <v>1529.9059561128527</v>
      </c>
      <c r="H17" s="9">
        <f t="shared" ca="1" si="7"/>
        <v>7341.1799999999994</v>
      </c>
      <c r="I17" s="9">
        <f t="shared" ca="1" si="7"/>
        <v>2820.4356521303671</v>
      </c>
      <c r="J17" s="9">
        <f t="shared" ca="1" si="7"/>
        <v>4133.6443478696337</v>
      </c>
      <c r="K17" s="9">
        <f t="shared" ca="1" si="7"/>
        <v>8961.8267709815082</v>
      </c>
      <c r="L17" s="17">
        <f t="shared" ca="1" si="5"/>
        <v>48422.527545266319</v>
      </c>
      <c r="M17" s="17"/>
      <c r="N17" s="17"/>
      <c r="O17" s="9"/>
      <c r="P17" s="14"/>
      <c r="Q17" s="11">
        <f t="shared" ca="1" si="6"/>
        <v>48422.527545266319</v>
      </c>
      <c r="R17" s="17">
        <f t="shared" ca="1" si="4"/>
        <v>48422.527545266319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0.87665180311148383</v>
      </c>
      <c r="J18" s="39">
        <f ca="1">I18</f>
        <v>0.87665180311148383</v>
      </c>
      <c r="K18" s="40">
        <f ca="1">1-(-K13)/K17</f>
        <v>0.8872506941096846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5380.9987918087963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5380.9987918087963</v>
      </c>
      <c r="M2" s="17"/>
      <c r="N2" s="17">
        <f ca="1">Q2-(L2+O2+P2)</f>
        <v>0</v>
      </c>
      <c r="O2" s="11" cm="1">
        <f t="array" aca="1" ref="O2" ca="1">INDIRECT("'data'!$F$" &amp; $A$1)</f>
        <v>12182.300000000001</v>
      </c>
      <c r="P2" s="13">
        <f ca="1">IF(-(L2-Q2+O2)&lt;0, -(L2-Q2+O2), 0)</f>
        <v>-17563.298791808797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38">
        <f ca="1">Q3-O3-P3</f>
        <v>5390.5684994204003</v>
      </c>
      <c r="G3" s="14">
        <f ca="1">Q3-O3-P3-F3</f>
        <v>0</v>
      </c>
      <c r="H3" s="14"/>
      <c r="I3" s="14"/>
      <c r="J3" s="14"/>
      <c r="K3" s="13"/>
      <c r="L3" s="16">
        <f t="shared" ca="1" si="0"/>
        <v>5390.5684994204003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429.97499999999997</v>
      </c>
      <c r="P3" s="13" cm="1">
        <f t="array" aca="1" ref="P3" ca="1">-INDIRECT("'data'!$I$" &amp; $A$1)*parameters!$B$13</f>
        <v>-473.44499999999999</v>
      </c>
      <c r="Q3" s="16" cm="1">
        <f t="array" aca="1" ref="Q3" ca="1">INDIRECT("'data'!$G$" &amp; $A$1)*parameters!$B$13</f>
        <v>5347.0984994204009</v>
      </c>
      <c r="R3" s="16">
        <f t="shared" ref="R3:R10" ca="1" si="2">SUM(L3:P3)</f>
        <v>5347.0984994204009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53.36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-55.2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Q6/parameters!$B$5-F3</f>
        <v>1694.0583662512418</v>
      </c>
      <c r="G5" s="14">
        <f ca="1">Q7/parameters!$B$7-(G3+G4)</f>
        <v>0</v>
      </c>
      <c r="H5" s="14"/>
      <c r="I5" s="14"/>
      <c r="J5" s="14"/>
      <c r="K5" s="13"/>
      <c r="L5" s="16">
        <f t="shared" ca="1" si="0"/>
        <v>1694.0583662512418</v>
      </c>
      <c r="M5" s="16"/>
      <c r="N5" s="16"/>
      <c r="O5" s="11" cm="1">
        <f t="array" aca="1" ref="O5" ca="1">INDIRECT("'data'!$M$" &amp; $A$1)*parameters!$B$15</f>
        <v>5460.5599999999995</v>
      </c>
      <c r="P5" s="13" cm="1">
        <f t="array" aca="1" ref="P5" ca="1">-INDIRECT("'data'!$N$" &amp; $A$1)*parameters!$B$15</f>
        <v>-2193.2399999999998</v>
      </c>
      <c r="Q5" s="16">
        <f ca="1">SUM(L5:P5)</f>
        <v>4961.3783662512415</v>
      </c>
      <c r="R5" s="16">
        <f t="shared" ca="1" si="2"/>
        <v>4961.3783662512415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6645.38</v>
      </c>
      <c r="I6" s="14"/>
      <c r="J6" s="14"/>
      <c r="K6" s="13"/>
      <c r="L6" s="16">
        <f t="shared" ca="1" si="0"/>
        <v>6645.38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6645.38</v>
      </c>
      <c r="R6" s="16">
        <f t="shared" ca="1" si="2"/>
        <v>6645.38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0</v>
      </c>
      <c r="I7" s="14"/>
      <c r="J7" s="14"/>
      <c r="K7" s="13"/>
      <c r="L7" s="16">
        <f t="shared" ca="1" si="0"/>
        <v>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0</v>
      </c>
      <c r="R7" s="16">
        <f t="shared" ca="1" si="2"/>
        <v>0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182.013206072701</v>
      </c>
      <c r="J8" s="14">
        <f ca="1">Q10/J18</f>
        <v>6273.2467939272992</v>
      </c>
      <c r="K8" s="13"/>
      <c r="L8" s="16">
        <f t="shared" ca="1" si="0"/>
        <v>6455.26</v>
      </c>
      <c r="M8" s="16"/>
      <c r="N8" s="16">
        <f t="shared" ca="1" si="3"/>
        <v>0</v>
      </c>
      <c r="O8" s="11" cm="1">
        <f t="array" aca="1" ref="O8" ca="1">INDIRECT("'data'!$R$" &amp; $A$1)*parameters!$B$15</f>
        <v>978.04</v>
      </c>
      <c r="P8" s="13" cm="1">
        <f t="array" aca="1" ref="P8" ca="1">-INDIRECT("'data'!$S$" &amp; $A$1)*parameters!$B$15</f>
        <v>-787.92</v>
      </c>
      <c r="Q8" s="16">
        <f ca="1">SUM(Q6:Q7)</f>
        <v>6645.38</v>
      </c>
      <c r="R8" s="16">
        <f t="shared" ca="1" si="2"/>
        <v>6645.38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2379.44</v>
      </c>
      <c r="L9" s="16">
        <f t="shared" ca="1" si="0"/>
        <v>2379.44</v>
      </c>
      <c r="M9" s="16"/>
      <c r="N9" s="16">
        <f t="shared" ca="1" si="3"/>
        <v>3.4106051316484809E-13</v>
      </c>
      <c r="O9" s="11" cm="1">
        <f t="array" aca="1" ref="O9" ca="1">INDIRECT("'data'!$U$" &amp; $A$1)*parameters!$B$15</f>
        <v>965.3</v>
      </c>
      <c r="P9" s="13" cm="1">
        <f t="array" aca="1" ref="P9" ca="1">-INDIRECT("'data'!$V$" &amp; $A$1)*parameters!$B$15</f>
        <v>-3167.36</v>
      </c>
      <c r="Q9" s="16" cm="1">
        <f t="array" aca="1" ref="Q9" ca="1">INDIRECT("'data'!$T$" &amp; $A$1)*parameters!$B$15</f>
        <v>177.38</v>
      </c>
      <c r="R9" s="16">
        <f t="shared" ca="1" si="2"/>
        <v>177.38000000000056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1893.6792318634421</v>
      </c>
      <c r="L10" s="16">
        <f t="shared" ca="1" si="0"/>
        <v>1893.6792318634421</v>
      </c>
      <c r="M10" s="16"/>
      <c r="N10" s="16">
        <f t="shared" ca="1" si="3"/>
        <v>0</v>
      </c>
      <c r="O10" s="11" cm="1">
        <f t="array" aca="1" ref="O10" ca="1">INDIRECT("'data'!$X$" &amp; $A$1)*parameters!$B$15</f>
        <v>8112.44</v>
      </c>
      <c r="P10" s="13" cm="1">
        <f t="array" aca="1" ref="P10" ca="1">-INDIRECT("'data'!$Y$" &amp; $A$1)*parameters!$B$15</f>
        <v>-3892.56</v>
      </c>
      <c r="Q10" s="16" cm="1">
        <f t="array" aca="1" ref="Q10" ca="1">INDIRECT("'data'!$W$" &amp; $A$1)*parameters!$B$15</f>
        <v>6113.5592318634417</v>
      </c>
      <c r="R10" s="16">
        <f t="shared" ca="1" si="2"/>
        <v>6113.5592318634426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4674.7177394025603</v>
      </c>
      <c r="N11" s="19"/>
      <c r="O11" s="21" cm="1">
        <f t="array" aca="1" ref="O11" ca="1">INDIRECT("'data'!$Z$" &amp; $A$1)*parameters!$B$15</f>
        <v>6101.48</v>
      </c>
      <c r="P11" s="27" cm="1">
        <f t="array" aca="1" ref="P11" ca="1">-INDIRECT("'data'!$AA$" &amp; $A$1)*parameters!$B$15</f>
        <v>-6910.96</v>
      </c>
      <c r="Q11" s="16">
        <f ca="1">K9*parameters!$B$10+K10*parameters!$B$11</f>
        <v>3865.2377394025602</v>
      </c>
      <c r="R11" s="16">
        <f t="shared" ref="R11:R17" ca="1" si="4">SUM(L11:P11)</f>
        <v>3865.2377394025598</v>
      </c>
    </row>
    <row r="12" spans="1:19">
      <c r="A12" s="29" t="s">
        <v>86</v>
      </c>
      <c r="B12" s="10">
        <f ca="1">-(B17-Q2)</f>
        <v>0</v>
      </c>
      <c r="C12" s="9">
        <f ca="1">-(C17-Q3)</f>
        <v>-33.900292388395428</v>
      </c>
      <c r="D12" s="9">
        <f ca="1">-(D17-Q4)</f>
        <v>0</v>
      </c>
      <c r="E12" s="9">
        <f ca="1">-(E17-Q5)</f>
        <v>-613.20406773891773</v>
      </c>
      <c r="F12" s="9">
        <f ca="1">-(F17-Q6)</f>
        <v>-439.2468656716419</v>
      </c>
      <c r="G12" s="9">
        <f ca="1">-(G17-Q7)</f>
        <v>0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-1086.3512257989551</v>
      </c>
      <c r="M12" s="17"/>
      <c r="N12" s="17"/>
      <c r="O12" s="10"/>
      <c r="P12" s="12"/>
      <c r="Q12" s="9">
        <f t="shared" ref="Q12:Q17" ca="1" si="6">SUM(L12:P12)</f>
        <v>-1086.3512257989551</v>
      </c>
      <c r="R12" s="17">
        <f t="shared" ca="1" si="4"/>
        <v>-1086.3512257989551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-4.6332060727010003</v>
      </c>
      <c r="J13" s="14">
        <f ca="1">-(J17-Q10)</f>
        <v>-159.68756206385751</v>
      </c>
      <c r="K13" s="13">
        <f ca="1">-(K17-Q11)</f>
        <v>-407.88149246088187</v>
      </c>
      <c r="L13" s="14">
        <f t="shared" ca="1" si="5"/>
        <v>-572.20226059744039</v>
      </c>
      <c r="M13" s="16">
        <f ca="1">-E15</f>
        <v>-5002.3801733927185</v>
      </c>
      <c r="N13" s="16"/>
      <c r="O13" s="11"/>
      <c r="P13" s="13"/>
      <c r="Q13" s="14">
        <f t="shared" ca="1" si="6"/>
        <v>-5574.5824339901592</v>
      </c>
      <c r="R13" s="16">
        <f t="shared" ca="1" si="4"/>
        <v>-5574.5824339901592</v>
      </c>
    </row>
    <row r="14" spans="1:19">
      <c r="A14" s="18" t="s">
        <v>78</v>
      </c>
      <c r="B14" s="11"/>
      <c r="C14" s="14"/>
      <c r="D14" s="14"/>
      <c r="E14" s="14">
        <f ca="1">-(I13+J13)-K13</f>
        <v>572.20226059744039</v>
      </c>
      <c r="F14" s="14"/>
      <c r="G14" s="14"/>
      <c r="H14" s="14"/>
      <c r="I14" s="14"/>
      <c r="J14" s="14"/>
      <c r="K14" s="13"/>
      <c r="L14" s="14">
        <f t="shared" ca="1" si="5"/>
        <v>572.20226059744039</v>
      </c>
      <c r="M14" s="16"/>
      <c r="N14" s="16"/>
      <c r="O14" s="11"/>
      <c r="P14" s="13"/>
      <c r="Q14" s="14">
        <f t="shared" ca="1" si="6"/>
        <v>572.20226059744039</v>
      </c>
      <c r="R14" s="16">
        <f t="shared" ca="1" si="4"/>
        <v>572.20226059744039</v>
      </c>
    </row>
    <row r="15" spans="1:19">
      <c r="A15" s="18" t="s">
        <v>79</v>
      </c>
      <c r="B15" s="11"/>
      <c r="C15" s="14"/>
      <c r="D15" s="14"/>
      <c r="E15" s="14">
        <f ca="1">E17-E14</f>
        <v>5002.3801733927185</v>
      </c>
      <c r="F15" s="14"/>
      <c r="G15" s="14"/>
      <c r="H15" s="14"/>
      <c r="I15" s="14"/>
      <c r="J15" s="14"/>
      <c r="K15" s="13"/>
      <c r="L15" s="14">
        <f t="shared" ca="1" si="5"/>
        <v>5002.3801733927185</v>
      </c>
      <c r="M15" s="16"/>
      <c r="N15" s="16"/>
      <c r="O15" s="11"/>
      <c r="P15" s="13"/>
      <c r="Q15" s="14">
        <f t="shared" ca="1" si="6"/>
        <v>5002.3801733927185</v>
      </c>
      <c r="R15" s="16">
        <f t="shared" ca="1" si="4"/>
        <v>5002.3801733927185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5380.9987918087963</v>
      </c>
      <c r="D17" s="9">
        <f ca="1">SUM(D$2:D$11)</f>
        <v>0</v>
      </c>
      <c r="E17" s="9">
        <f ca="1">$Q$5/parameters!$B$4</f>
        <v>5574.5824339901592</v>
      </c>
      <c r="F17" s="9">
        <f t="shared" ref="F17:K17" ca="1" si="7">SUM(F$2:F$11)</f>
        <v>7084.626865671642</v>
      </c>
      <c r="G17" s="9">
        <f t="shared" ca="1" si="7"/>
        <v>0</v>
      </c>
      <c r="H17" s="9">
        <f t="shared" ca="1" si="7"/>
        <v>6645.38</v>
      </c>
      <c r="I17" s="9">
        <f t="shared" ca="1" si="7"/>
        <v>182.013206072701</v>
      </c>
      <c r="J17" s="9">
        <f t="shared" ca="1" si="7"/>
        <v>6273.2467939272992</v>
      </c>
      <c r="K17" s="9">
        <f t="shared" ca="1" si="7"/>
        <v>4273.1192318634421</v>
      </c>
      <c r="L17" s="17">
        <f t="shared" ca="1" si="5"/>
        <v>35413.967323334044</v>
      </c>
      <c r="M17" s="17"/>
      <c r="N17" s="17"/>
      <c r="O17" s="9"/>
      <c r="P17" s="14"/>
      <c r="Q17" s="11">
        <f t="shared" ca="1" si="6"/>
        <v>35413.967323334044</v>
      </c>
      <c r="R17" s="17">
        <f t="shared" ca="1" si="4"/>
        <v>35413.967323334044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 t="str">
        <f t="shared" ca="1" si="8"/>
        <v/>
      </c>
      <c r="H18" s="39">
        <f t="shared" ref="H18" ca="1" si="9">1-(-H12)/H17</f>
        <v>1</v>
      </c>
      <c r="I18" s="39">
        <f ca="1">(Q9+Q10)/(Q8-O8-P8)</f>
        <v>0.97454467083640961</v>
      </c>
      <c r="J18" s="39">
        <f ca="1">I18</f>
        <v>0.97454467083640961</v>
      </c>
      <c r="K18" s="40">
        <f ca="1">1-(-K13)/K17</f>
        <v>0.90454713048505064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3573.8250981181441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3573.8250981181441</v>
      </c>
      <c r="M2" s="17"/>
      <c r="N2" s="17">
        <f ca="1">Q2-(L2+O2+P2)</f>
        <v>0</v>
      </c>
      <c r="O2" s="11" cm="1">
        <f t="array" aca="1" ref="O2" ca="1">INDIRECT("'data'!$F$" &amp; $A$1)</f>
        <v>567288.15</v>
      </c>
      <c r="P2" s="13">
        <f ca="1">IF(-(L2-Q2+O2)&lt;0, -(L2-Q2+O2), 0)</f>
        <v>-22564.975098118186</v>
      </c>
      <c r="Q2" s="17" cm="1">
        <f t="array" aca="1" ref="Q2" ca="1">INDIRECT("'data'!$D$" &amp; $A$1)</f>
        <v>548297</v>
      </c>
      <c r="R2" s="17">
        <f ca="1">SUM(L2:P2)</f>
        <v>548297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3430.2089552238808</v>
      </c>
      <c r="G3" s="14">
        <f ca="1">Q3-O3-P3-F3</f>
        <v>137.16604477611918</v>
      </c>
      <c r="H3" s="14"/>
      <c r="I3" s="14"/>
      <c r="J3" s="14"/>
      <c r="K3" s="13"/>
      <c r="L3" s="16">
        <f t="shared" ca="1" si="0"/>
        <v>3567.375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3551.31</v>
      </c>
      <c r="R3" s="16">
        <f t="shared" ref="R3:R10" ca="1" si="2">SUM(L3:P3)</f>
        <v>3551.31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857.55223880597032</v>
      </c>
      <c r="G5" s="14">
        <f ca="1">Q7/parameters!$B$7-(G3+G4)</f>
        <v>1115.3308831235672</v>
      </c>
      <c r="H5" s="14"/>
      <c r="I5" s="14"/>
      <c r="J5" s="14"/>
      <c r="K5" s="13"/>
      <c r="L5" s="16">
        <f t="shared" ca="1" si="0"/>
        <v>1972.8831219295375</v>
      </c>
      <c r="M5" s="16"/>
      <c r="N5" s="16"/>
      <c r="O5" s="11" cm="1">
        <f t="array" aca="1" ref="O5" ca="1">INDIRECT("'data'!$M$" &amp; $A$1)*parameters!$B$15</f>
        <v>1939.42</v>
      </c>
      <c r="P5" s="13" cm="1">
        <f t="array" aca="1" ref="P5" ca="1">-INDIRECT("'data'!$N$" &amp; $A$1)*parameters!$B$15</f>
        <v>-50.96</v>
      </c>
      <c r="Q5" s="16">
        <f ca="1">SUM(L5:P5)</f>
        <v>3861.3431219295376</v>
      </c>
      <c r="R5" s="16">
        <f t="shared" ca="1" si="2"/>
        <v>3861.3431219295376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4021.92</v>
      </c>
      <c r="I6" s="14"/>
      <c r="J6" s="14"/>
      <c r="K6" s="13"/>
      <c r="L6" s="16">
        <f t="shared" ca="1" si="0"/>
        <v>4021.92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4021.92</v>
      </c>
      <c r="R6" s="16">
        <f t="shared" ca="1" si="2"/>
        <v>4021.92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1199.52</v>
      </c>
      <c r="I7" s="14"/>
      <c r="J7" s="14"/>
      <c r="K7" s="13"/>
      <c r="L7" s="16">
        <f t="shared" ca="1" si="0"/>
        <v>1199.52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1199.52</v>
      </c>
      <c r="R7" s="16">
        <f t="shared" ca="1" si="2"/>
        <v>1199.52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1846.3183486565904</v>
      </c>
      <c r="J8" s="14">
        <f ca="1">Q10/J18</f>
        <v>3360.4216513434094</v>
      </c>
      <c r="K8" s="13"/>
      <c r="L8" s="16">
        <f t="shared" ca="1" si="0"/>
        <v>5206.74</v>
      </c>
      <c r="M8" s="16"/>
      <c r="N8" s="16">
        <f t="shared" ca="1" si="3"/>
        <v>0</v>
      </c>
      <c r="O8" s="11" cm="1">
        <f t="array" aca="1" ref="O8" ca="1">INDIRECT("'data'!$R$" &amp; $A$1)*parameters!$B$15</f>
        <v>17.64</v>
      </c>
      <c r="P8" s="13" cm="1">
        <f t="array" aca="1" ref="P8" ca="1">-INDIRECT("'data'!$S$" &amp; $A$1)*parameters!$B$15</f>
        <v>-2.94</v>
      </c>
      <c r="Q8" s="16">
        <f ca="1">SUM(Q6:Q7)</f>
        <v>5221.4400000000005</v>
      </c>
      <c r="R8" s="16">
        <f t="shared" ca="1" si="2"/>
        <v>5221.4400000000005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2589.16</v>
      </c>
      <c r="L9" s="16">
        <f t="shared" ca="1" si="0"/>
        <v>2589.16</v>
      </c>
      <c r="M9" s="16"/>
      <c r="N9" s="16">
        <f t="shared" ca="1" si="3"/>
        <v>0</v>
      </c>
      <c r="O9" s="11" cm="1">
        <f t="array" aca="1" ref="O9" ca="1">INDIRECT("'data'!$U$" &amp; $A$1)*parameters!$B$15</f>
        <v>85.26</v>
      </c>
      <c r="P9" s="13" cm="1">
        <f t="array" aca="1" ref="P9" ca="1">-INDIRECT("'data'!$V$" &amp; $A$1)*parameters!$B$15</f>
        <v>-1103.48</v>
      </c>
      <c r="Q9" s="16" cm="1">
        <f t="array" aca="1" ref="Q9" ca="1">INDIRECT("'data'!$T$" &amp; $A$1)*parameters!$B$15</f>
        <v>1570.94</v>
      </c>
      <c r="R9" s="16">
        <f t="shared" ca="1" si="2"/>
        <v>1570.94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2723.9748221906111</v>
      </c>
      <c r="L10" s="16">
        <f t="shared" ca="1" si="0"/>
        <v>2723.9748221906111</v>
      </c>
      <c r="M10" s="16"/>
      <c r="N10" s="16">
        <f t="shared" ca="1" si="3"/>
        <v>0</v>
      </c>
      <c r="O10" s="11" cm="1">
        <f t="array" aca="1" ref="O10" ca="1">INDIRECT("'data'!$X$" &amp; $A$1)*parameters!$B$15</f>
        <v>792.81999999999994</v>
      </c>
      <c r="P10" s="13" cm="1">
        <f t="array" aca="1" ref="P10" ca="1">-INDIRECT("'data'!$Y$" &amp; $A$1)*parameters!$B$15</f>
        <v>-657.58</v>
      </c>
      <c r="Q10" s="16" cm="1">
        <f t="array" aca="1" ref="Q10" ca="1">INDIRECT("'data'!$W$" &amp; $A$1)*parameters!$B$15</f>
        <v>2859.2148221906114</v>
      </c>
      <c r="R10" s="16">
        <f t="shared" ca="1" si="2"/>
        <v>2859.2148221906109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9674.4687470839253</v>
      </c>
      <c r="N11" s="19"/>
      <c r="O11" s="21" cm="1">
        <f t="array" aca="1" ref="O11" ca="1">INDIRECT("'data'!$Z$" &amp; $A$1)*parameters!$B$15</f>
        <v>472.36</v>
      </c>
      <c r="P11" s="27" cm="1">
        <f t="array" aca="1" ref="P11" ca="1">-INDIRECT("'data'!$AA$" &amp; $A$1)*parameters!$B$15</f>
        <v>-5370.4</v>
      </c>
      <c r="Q11" s="16">
        <f ca="1">K9*parameters!$B$10+K10*parameters!$B$11</f>
        <v>4776.4287470839254</v>
      </c>
      <c r="R11" s="16">
        <f t="shared" ref="R11:R17" ca="1" si="4">SUM(L11:P11)</f>
        <v>4776.4287470839263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-22.515098118144124</v>
      </c>
      <c r="D12" s="9">
        <f ca="1">-(D17-Q4)</f>
        <v>0</v>
      </c>
      <c r="E12" s="9">
        <f ca="1">-(E17-Q5)</f>
        <v>-477.24465551938056</v>
      </c>
      <c r="F12" s="9">
        <f ca="1">-(F17-Q6)</f>
        <v>-265.84119402985107</v>
      </c>
      <c r="G12" s="9">
        <f ca="1">-(G17-Q7)</f>
        <v>-53.896927899686489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-819.49787556706224</v>
      </c>
      <c r="M12" s="17"/>
      <c r="N12" s="17"/>
      <c r="O12" s="10"/>
      <c r="P12" s="12"/>
      <c r="Q12" s="9">
        <f t="shared" ref="Q12:Q17" ca="1" si="6">SUM(L12:P12)</f>
        <v>-819.49787556706224</v>
      </c>
      <c r="R12" s="17">
        <f t="shared" ca="1" si="4"/>
        <v>-819.49787556706224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-275.37834865659033</v>
      </c>
      <c r="J13" s="14">
        <f ca="1">-(J17-Q10)</f>
        <v>-501.20682915279804</v>
      </c>
      <c r="K13" s="13">
        <f ca="1">-(K17-Q11)</f>
        <v>-536.7060751066856</v>
      </c>
      <c r="L13" s="14">
        <f t="shared" ca="1" si="5"/>
        <v>-1313.291252916074</v>
      </c>
      <c r="M13" s="16">
        <f ca="1">-E15</f>
        <v>-3025.2965245328442</v>
      </c>
      <c r="N13" s="16"/>
      <c r="O13" s="11"/>
      <c r="P13" s="13"/>
      <c r="Q13" s="14">
        <f t="shared" ca="1" si="6"/>
        <v>-4338.5877774489181</v>
      </c>
      <c r="R13" s="16">
        <f t="shared" ca="1" si="4"/>
        <v>-4338.5877774489181</v>
      </c>
    </row>
    <row r="14" spans="1:19">
      <c r="A14" s="18" t="s">
        <v>78</v>
      </c>
      <c r="B14" s="11"/>
      <c r="C14" s="14"/>
      <c r="D14" s="14"/>
      <c r="E14" s="14">
        <f ca="1">-(I13+J13)-K13</f>
        <v>1313.291252916074</v>
      </c>
      <c r="F14" s="14"/>
      <c r="G14" s="14"/>
      <c r="H14" s="14"/>
      <c r="I14" s="14"/>
      <c r="J14" s="14"/>
      <c r="K14" s="13"/>
      <c r="L14" s="14">
        <f t="shared" ca="1" si="5"/>
        <v>1313.291252916074</v>
      </c>
      <c r="M14" s="16"/>
      <c r="N14" s="16"/>
      <c r="O14" s="11"/>
      <c r="P14" s="13"/>
      <c r="Q14" s="14">
        <f t="shared" ca="1" si="6"/>
        <v>1313.291252916074</v>
      </c>
      <c r="R14" s="16">
        <f t="shared" ca="1" si="4"/>
        <v>1313.291252916074</v>
      </c>
    </row>
    <row r="15" spans="1:19">
      <c r="A15" s="18" t="s">
        <v>79</v>
      </c>
      <c r="B15" s="11"/>
      <c r="C15" s="14"/>
      <c r="D15" s="14"/>
      <c r="E15" s="14">
        <f ca="1">E17-E14</f>
        <v>3025.2965245328442</v>
      </c>
      <c r="F15" s="14"/>
      <c r="G15" s="14"/>
      <c r="H15" s="14"/>
      <c r="I15" s="14"/>
      <c r="J15" s="14"/>
      <c r="K15" s="13"/>
      <c r="L15" s="14">
        <f t="shared" ca="1" si="5"/>
        <v>3025.2965245328442</v>
      </c>
      <c r="M15" s="16"/>
      <c r="N15" s="16"/>
      <c r="O15" s="11"/>
      <c r="P15" s="13"/>
      <c r="Q15" s="14">
        <f t="shared" ca="1" si="6"/>
        <v>3025.2965245328442</v>
      </c>
      <c r="R15" s="16">
        <f t="shared" ca="1" si="4"/>
        <v>3025.2965245328442</v>
      </c>
    </row>
    <row r="16" spans="1:19">
      <c r="A16" s="30" t="s">
        <v>89</v>
      </c>
      <c r="B16" s="21">
        <f ca="1">Q2</f>
        <v>548297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548297</v>
      </c>
      <c r="M16" s="19"/>
      <c r="N16" s="19"/>
      <c r="O16" s="21"/>
      <c r="P16" s="27"/>
      <c r="Q16" s="22">
        <f t="shared" ca="1" si="6"/>
        <v>548297</v>
      </c>
      <c r="R16" s="19">
        <f t="shared" ca="1" si="4"/>
        <v>548297</v>
      </c>
    </row>
    <row r="17" spans="1:18">
      <c r="A17" s="29" t="s">
        <v>88</v>
      </c>
      <c r="B17" s="9">
        <f ca="1">B16</f>
        <v>548297</v>
      </c>
      <c r="C17" s="9">
        <f ca="1">SUM(C$2:C$11)</f>
        <v>3573.8250981181441</v>
      </c>
      <c r="D17" s="9">
        <f ca="1">SUM(D$2:D$11)</f>
        <v>0</v>
      </c>
      <c r="E17" s="9">
        <f ca="1">$Q$5/parameters!$B$4</f>
        <v>4338.5877774489181</v>
      </c>
      <c r="F17" s="9">
        <f t="shared" ref="F17:K17" ca="1" si="7">SUM(F$2:F$11)</f>
        <v>4287.7611940298511</v>
      </c>
      <c r="G17" s="9">
        <f t="shared" ca="1" si="7"/>
        <v>1253.4169278996865</v>
      </c>
      <c r="H17" s="9">
        <f t="shared" ca="1" si="7"/>
        <v>5221.4400000000005</v>
      </c>
      <c r="I17" s="9">
        <f t="shared" ca="1" si="7"/>
        <v>1846.3183486565904</v>
      </c>
      <c r="J17" s="9">
        <f t="shared" ca="1" si="7"/>
        <v>3360.4216513434094</v>
      </c>
      <c r="K17" s="9">
        <f t="shared" ca="1" si="7"/>
        <v>5313.134822190611</v>
      </c>
      <c r="L17" s="17">
        <f t="shared" ca="1" si="5"/>
        <v>577491.90581968729</v>
      </c>
      <c r="M17" s="17"/>
      <c r="N17" s="17"/>
      <c r="O17" s="9"/>
      <c r="P17" s="14"/>
      <c r="Q17" s="11">
        <f t="shared" ca="1" si="6"/>
        <v>577491.90581968729</v>
      </c>
      <c r="R17" s="17">
        <f t="shared" ca="1" si="4"/>
        <v>577491.90581968729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0.8508500178980728</v>
      </c>
      <c r="J18" s="39">
        <f ca="1">I18</f>
        <v>0.8508500178980728</v>
      </c>
      <c r="K18" s="40">
        <f ca="1">1-(-K13)/K17</f>
        <v>0.89898504497474785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4138.7138975545931</v>
      </c>
      <c r="D2" s="9">
        <f ca="1">Q4/parameters!$B$3</f>
        <v>856.39529032907319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4995.109187883666</v>
      </c>
      <c r="M2" s="17"/>
      <c r="N2" s="17">
        <f ca="1">Q2-(L2+O2+P2)</f>
        <v>0</v>
      </c>
      <c r="O2" s="11" cm="1">
        <f t="array" aca="1" ref="O2" ca="1">INDIRECT("'data'!$F$" &amp; $A$1)</f>
        <v>43180.800000000003</v>
      </c>
      <c r="P2" s="13">
        <f ca="1">IF(-(L2-Q2+O2)&lt;0, -(L2-Q2+O2), 0)</f>
        <v>-575.9091878836698</v>
      </c>
      <c r="Q2" s="17" cm="1">
        <f t="array" aca="1" ref="Q2" ca="1">INDIRECT("'data'!$D$" &amp; $A$1)</f>
        <v>47600</v>
      </c>
      <c r="R2" s="17">
        <f ca="1">SUM(L2:P2)</f>
        <v>47600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3118.4477611940301</v>
      </c>
      <c r="G3" s="14">
        <f ca="1">Q3-O3-P3-F3</f>
        <v>480.11223880596935</v>
      </c>
      <c r="H3" s="14"/>
      <c r="I3" s="14"/>
      <c r="J3" s="14"/>
      <c r="K3" s="13"/>
      <c r="L3" s="16">
        <f t="shared" ca="1" si="0"/>
        <v>3598.5599999999995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514.07999999999993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4112.6399999999994</v>
      </c>
      <c r="R3" s="16">
        <f t="shared" ref="R3:R10" ca="1" si="2">SUM(L3:P3)</f>
        <v>4112.6399999999994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840.88</v>
      </c>
      <c r="H4" s="14"/>
      <c r="I4" s="14"/>
      <c r="J4" s="14"/>
      <c r="K4" s="13"/>
      <c r="L4" s="16">
        <f t="shared" ca="1" si="0"/>
        <v>840.88</v>
      </c>
      <c r="M4" s="16"/>
      <c r="N4" s="16">
        <f t="shared" ca="1" si="1"/>
        <v>0</v>
      </c>
      <c r="O4" s="11" cm="1">
        <f t="array" aca="1" ref="O4" ca="1">INDIRECT("'data'!$K$" &amp; $A$1)*parameters!$B$14</f>
        <v>46.92</v>
      </c>
      <c r="P4" s="13" cm="1">
        <f t="array" aca="1" ref="P4" ca="1">-INDIRECT("'data'!$L$" &amp; $A$1)*parameters!$B$14</f>
        <v>-36.800000000000004</v>
      </c>
      <c r="Q4" s="16" cm="1">
        <f t="array" aca="1" ref="Q4" ca="1">INDIRECT("'data'!$J$" &amp; $A$1)*parameters!$B$14</f>
        <v>851</v>
      </c>
      <c r="R4" s="16">
        <f t="shared" ca="1" si="2"/>
        <v>851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779.61194029850753</v>
      </c>
      <c r="G5" s="14">
        <f ca="1">Q7/parameters!$B$7-(G3+G4)</f>
        <v>1310.7736964082414</v>
      </c>
      <c r="H5" s="14"/>
      <c r="I5" s="14"/>
      <c r="J5" s="14"/>
      <c r="K5" s="13"/>
      <c r="L5" s="16">
        <f t="shared" ca="1" si="0"/>
        <v>2090.3856367067492</v>
      </c>
      <c r="M5" s="16"/>
      <c r="N5" s="16"/>
      <c r="O5" s="11" cm="1">
        <f t="array" aca="1" ref="O5" ca="1">INDIRECT("'data'!$M$" &amp; $A$1)*parameters!$B$15</f>
        <v>457.65999999999997</v>
      </c>
      <c r="P5" s="13" cm="1">
        <f t="array" aca="1" ref="P5" ca="1">-INDIRECT("'data'!$N$" &amp; $A$1)*parameters!$B$15</f>
        <v>-65.66</v>
      </c>
      <c r="Q5" s="16">
        <f ca="1">SUM(L5:P5)</f>
        <v>2482.3856367067492</v>
      </c>
      <c r="R5" s="16">
        <f t="shared" ca="1" si="2"/>
        <v>2482.3856367067492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3656.38</v>
      </c>
      <c r="I6" s="14"/>
      <c r="J6" s="14"/>
      <c r="K6" s="13"/>
      <c r="L6" s="16">
        <f t="shared" ca="1" si="0"/>
        <v>3656.38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3656.38</v>
      </c>
      <c r="R6" s="16">
        <f t="shared" ca="1" si="2"/>
        <v>3656.38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2518.6</v>
      </c>
      <c r="I7" s="14"/>
      <c r="J7" s="14"/>
      <c r="K7" s="13"/>
      <c r="L7" s="16">
        <f t="shared" ca="1" si="0"/>
        <v>2518.6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2518.6</v>
      </c>
      <c r="R7" s="16">
        <f t="shared" ca="1" si="2"/>
        <v>2518.6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2380.1703783141243</v>
      </c>
      <c r="J8" s="14">
        <f ca="1">Q10/J18</f>
        <v>3442.9896216858747</v>
      </c>
      <c r="K8" s="13"/>
      <c r="L8" s="16">
        <f t="shared" ca="1" si="0"/>
        <v>5823.1599999999989</v>
      </c>
      <c r="M8" s="16"/>
      <c r="N8" s="16">
        <f t="shared" ca="1" si="3"/>
        <v>0</v>
      </c>
      <c r="O8" s="11" cm="1">
        <f t="array" aca="1" ref="O8" ca="1">INDIRECT("'data'!$R$" &amp; $A$1)*parameters!$B$15</f>
        <v>361.62</v>
      </c>
      <c r="P8" s="13" cm="1">
        <f t="array" aca="1" ref="P8" ca="1">-INDIRECT("'data'!$S$" &amp; $A$1)*parameters!$B$15</f>
        <v>-9.8000000000000007</v>
      </c>
      <c r="Q8" s="16">
        <f ca="1">SUM(Q6:Q7)</f>
        <v>6174.98</v>
      </c>
      <c r="R8" s="16">
        <f t="shared" ca="1" si="2"/>
        <v>6174.9799999999987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1859.06</v>
      </c>
      <c r="L9" s="16">
        <f t="shared" ca="1" si="0"/>
        <v>1859.06</v>
      </c>
      <c r="M9" s="16"/>
      <c r="N9" s="16">
        <f t="shared" ca="1" si="3"/>
        <v>0</v>
      </c>
      <c r="O9" s="11" cm="1">
        <f t="array" aca="1" ref="O9" ca="1">INDIRECT("'data'!$U$" &amp; $A$1)*parameters!$B$15</f>
        <v>577.22</v>
      </c>
      <c r="P9" s="13" cm="1">
        <f t="array" aca="1" ref="P9" ca="1">-INDIRECT("'data'!$V$" &amp; $A$1)*parameters!$B$15</f>
        <v>-231.28</v>
      </c>
      <c r="Q9" s="16" cm="1">
        <f t="array" aca="1" ref="Q9" ca="1">INDIRECT("'data'!$T$" &amp; $A$1)*parameters!$B$15</f>
        <v>2205</v>
      </c>
      <c r="R9" s="16">
        <f t="shared" ca="1" si="2"/>
        <v>2204.9999999999995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2603.5602844950213</v>
      </c>
      <c r="L10" s="16">
        <f t="shared" ca="1" si="0"/>
        <v>2603.5602844950213</v>
      </c>
      <c r="M10" s="16"/>
      <c r="N10" s="16">
        <f t="shared" ca="1" si="3"/>
        <v>0</v>
      </c>
      <c r="O10" s="11" cm="1">
        <f t="array" aca="1" ref="O10" ca="1">INDIRECT("'data'!$X$" &amp; $A$1)*parameters!$B$15</f>
        <v>1356.32</v>
      </c>
      <c r="P10" s="13" cm="1">
        <f t="array" aca="1" ref="P10" ca="1">-INDIRECT("'data'!$Y$" &amp; $A$1)*parameters!$B$15</f>
        <v>-770.28</v>
      </c>
      <c r="Q10" s="16" cm="1">
        <f t="array" aca="1" ref="Q10" ca="1">INDIRECT("'data'!$W$" &amp; $A$1)*parameters!$B$15</f>
        <v>3189.6002844950212</v>
      </c>
      <c r="R10" s="16">
        <f t="shared" ca="1" si="2"/>
        <v>3189.6002844950217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4072.8182446657174</v>
      </c>
      <c r="N11" s="19"/>
      <c r="O11" s="21" cm="1">
        <f t="array" aca="1" ref="O11" ca="1">INDIRECT("'data'!$Z$" &amp; $A$1)*parameters!$B$15</f>
        <v>1604.26</v>
      </c>
      <c r="P11" s="27" cm="1">
        <f t="array" aca="1" ref="P11" ca="1">-INDIRECT("'data'!$AA$" &amp; $A$1)*parameters!$B$15</f>
        <v>-1690.5</v>
      </c>
      <c r="Q11" s="16">
        <f ca="1">K9*parameters!$B$10+K10*parameters!$B$11</f>
        <v>3986.5782446657176</v>
      </c>
      <c r="R11" s="16">
        <f t="shared" ref="R11:R17" ca="1" si="4">SUM(L11:P11)</f>
        <v>3986.5782446657176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-26.073897554593714</v>
      </c>
      <c r="D12" s="9">
        <f ca="1">-(D17-Q4)</f>
        <v>-5.3952903290731911</v>
      </c>
      <c r="E12" s="9">
        <f ca="1">-(E17-Q5)</f>
        <v>-306.81170790757551</v>
      </c>
      <c r="F12" s="9">
        <f ca="1">-(F17-Q6)</f>
        <v>-241.67970149253779</v>
      </c>
      <c r="G12" s="9">
        <f ca="1">-(G17-Q7)</f>
        <v>-113.165935214211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-693.12653249799121</v>
      </c>
      <c r="M12" s="17"/>
      <c r="N12" s="17"/>
      <c r="O12" s="10"/>
      <c r="P12" s="12"/>
      <c r="Q12" s="9">
        <f t="shared" ref="Q12:Q17" ca="1" si="6">SUM(L12:P12)</f>
        <v>-693.12653249799121</v>
      </c>
      <c r="R12" s="17">
        <f t="shared" ca="1" si="4"/>
        <v>-693.12653249799121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-175.17037831412426</v>
      </c>
      <c r="J13" s="14">
        <f ca="1">-(J17-Q10)</f>
        <v>-253.38933719085344</v>
      </c>
      <c r="K13" s="13">
        <f ca="1">-(K17-Q11)</f>
        <v>-476.04203982930358</v>
      </c>
      <c r="L13" s="14">
        <f t="shared" ca="1" si="5"/>
        <v>-904.60175533428128</v>
      </c>
      <c r="M13" s="16">
        <f ca="1">-E15</f>
        <v>-1884.5955892800434</v>
      </c>
      <c r="N13" s="16"/>
      <c r="O13" s="11"/>
      <c r="P13" s="13"/>
      <c r="Q13" s="14">
        <f t="shared" ca="1" si="6"/>
        <v>-2789.1973446143247</v>
      </c>
      <c r="R13" s="16">
        <f t="shared" ca="1" si="4"/>
        <v>-2789.1973446143247</v>
      </c>
    </row>
    <row r="14" spans="1:20">
      <c r="A14" s="18" t="s">
        <v>78</v>
      </c>
      <c r="B14" s="11"/>
      <c r="C14" s="14"/>
      <c r="D14" s="14"/>
      <c r="E14" s="14">
        <f ca="1">-(I13+J13)-K13</f>
        <v>904.60175533428128</v>
      </c>
      <c r="F14" s="14"/>
      <c r="G14" s="14"/>
      <c r="H14" s="14"/>
      <c r="I14" s="14"/>
      <c r="J14" s="14"/>
      <c r="K14" s="13"/>
      <c r="L14" s="14">
        <f t="shared" ca="1" si="5"/>
        <v>904.60175533428128</v>
      </c>
      <c r="M14" s="16"/>
      <c r="N14" s="16"/>
      <c r="O14" s="11"/>
      <c r="P14" s="13"/>
      <c r="Q14" s="14">
        <f t="shared" ca="1" si="6"/>
        <v>904.60175533428128</v>
      </c>
      <c r="R14" s="16">
        <f t="shared" ca="1" si="4"/>
        <v>904.60175533428128</v>
      </c>
    </row>
    <row r="15" spans="1:20">
      <c r="A15" s="18" t="s">
        <v>79</v>
      </c>
      <c r="B15" s="11"/>
      <c r="C15" s="14"/>
      <c r="D15" s="14"/>
      <c r="E15" s="14">
        <f ca="1">E17-E14</f>
        <v>1884.5955892800434</v>
      </c>
      <c r="F15" s="14"/>
      <c r="G15" s="14"/>
      <c r="H15" s="14"/>
      <c r="I15" s="14"/>
      <c r="J15" s="14"/>
      <c r="K15" s="13"/>
      <c r="L15" s="14">
        <f t="shared" ca="1" si="5"/>
        <v>1884.5955892800434</v>
      </c>
      <c r="M15" s="16"/>
      <c r="N15" s="16"/>
      <c r="O15" s="11"/>
      <c r="P15" s="13"/>
      <c r="Q15" s="14">
        <f t="shared" ca="1" si="6"/>
        <v>1884.5955892800434</v>
      </c>
      <c r="R15" s="16">
        <f t="shared" ca="1" si="4"/>
        <v>1884.5955892800434</v>
      </c>
    </row>
    <row r="16" spans="1:20">
      <c r="A16" s="30" t="s">
        <v>89</v>
      </c>
      <c r="B16" s="21">
        <f ca="1">Q2</f>
        <v>47600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47600</v>
      </c>
      <c r="M16" s="19"/>
      <c r="N16" s="19"/>
      <c r="O16" s="21"/>
      <c r="P16" s="27"/>
      <c r="Q16" s="22">
        <f t="shared" ca="1" si="6"/>
        <v>47600</v>
      </c>
      <c r="R16" s="19">
        <f t="shared" ca="1" si="4"/>
        <v>47600</v>
      </c>
    </row>
    <row r="17" spans="1:18">
      <c r="A17" s="29" t="s">
        <v>88</v>
      </c>
      <c r="B17" s="9">
        <f ca="1">B16</f>
        <v>47600</v>
      </c>
      <c r="C17" s="9">
        <f ca="1">SUM(C$2:C$11)</f>
        <v>4138.7138975545931</v>
      </c>
      <c r="D17" s="9">
        <f ca="1">SUM(D$2:D$11)</f>
        <v>856.39529032907319</v>
      </c>
      <c r="E17" s="9">
        <f ca="1">$Q$5/parameters!$B$4</f>
        <v>2789.1973446143247</v>
      </c>
      <c r="F17" s="9">
        <f t="shared" ref="F17:K17" ca="1" si="7">SUM(F$2:F$11)</f>
        <v>3898.0597014925379</v>
      </c>
      <c r="G17" s="9">
        <f t="shared" ca="1" si="7"/>
        <v>2631.7659352142109</v>
      </c>
      <c r="H17" s="9">
        <f t="shared" ca="1" si="7"/>
        <v>6174.98</v>
      </c>
      <c r="I17" s="9">
        <f t="shared" ca="1" si="7"/>
        <v>2380.1703783141243</v>
      </c>
      <c r="J17" s="9">
        <f t="shared" ca="1" si="7"/>
        <v>3442.9896216858747</v>
      </c>
      <c r="K17" s="9">
        <f t="shared" ca="1" si="7"/>
        <v>4462.6202844950212</v>
      </c>
      <c r="L17" s="17">
        <f t="shared" ca="1" si="5"/>
        <v>78374.892453699751</v>
      </c>
      <c r="M17" s="17"/>
      <c r="N17" s="17"/>
      <c r="O17" s="9"/>
      <c r="P17" s="14"/>
      <c r="Q17" s="11">
        <f t="shared" ca="1" si="6"/>
        <v>78374.892453699751</v>
      </c>
      <c r="R17" s="17">
        <f t="shared" ca="1" si="4"/>
        <v>78374.892453699751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0.92640426924470942</v>
      </c>
      <c r="J18" s="39">
        <f ca="1">I18</f>
        <v>0.92640426924470942</v>
      </c>
      <c r="K18" s="40">
        <f ca="1">1-(-K13)/K17</f>
        <v>0.89332678796731391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363.27865552983798</v>
      </c>
      <c r="D2" s="9">
        <f ca="1">Q4/parameters!$B$3</f>
        <v>527.72466539196932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891.00332092180724</v>
      </c>
      <c r="M2" s="17"/>
      <c r="N2" s="17">
        <f ca="1">Q2-(L2+O2+P2)</f>
        <v>0</v>
      </c>
      <c r="O2" s="11" cm="1">
        <f t="array" aca="1" ref="O2" ca="1">INDIRECT("'data'!$F$" &amp; $A$1)</f>
        <v>14966.9</v>
      </c>
      <c r="P2" s="13">
        <f ca="1">IF(-(L2-Q2+O2)&lt;0, -(L2-Q2+O2), 0)</f>
        <v>-13407.903320921807</v>
      </c>
      <c r="Q2" s="17" cm="1">
        <f t="array" aca="1" ref="Q2" ca="1">INDIRECT("'data'!$D$" &amp; $A$1)</f>
        <v>2450</v>
      </c>
      <c r="R2" s="17">
        <f ca="1">SUM(L2:P2)</f>
        <v>2450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334.32835820895525</v>
      </c>
      <c r="G3" s="14">
        <f ca="1">Q3-O3-P3-F3</f>
        <v>94.701641791044722</v>
      </c>
      <c r="H3" s="14"/>
      <c r="I3" s="14"/>
      <c r="J3" s="14"/>
      <c r="K3" s="13"/>
      <c r="L3" s="16">
        <f t="shared" ca="1" si="0"/>
        <v>429.03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-68.039999999999992</v>
      </c>
      <c r="Q3" s="16" cm="1">
        <f t="array" aca="1" ref="Q3" ca="1">INDIRECT("'data'!$G$" &amp; $A$1)*parameters!$B$13</f>
        <v>360.99</v>
      </c>
      <c r="R3" s="16">
        <f t="shared" ref="R3:R10" ca="1" si="2">SUM(L3:P3)</f>
        <v>360.99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32.200000000000003</v>
      </c>
      <c r="H4" s="14"/>
      <c r="I4" s="14"/>
      <c r="J4" s="14"/>
      <c r="K4" s="13"/>
      <c r="L4" s="16">
        <f t="shared" ca="1" si="0"/>
        <v>32.200000000000003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524.4</v>
      </c>
      <c r="P4" s="13" cm="1">
        <f t="array" aca="1" ref="P4" ca="1">-INDIRECT("'data'!$L$" &amp; $A$1)*parameters!$B$14</f>
        <v>-32.200000000000003</v>
      </c>
      <c r="Q4" s="16" cm="1">
        <f t="array" aca="1" ref="Q4" ca="1">INDIRECT("'data'!$J$" &amp; $A$1)*parameters!$B$14</f>
        <v>524.4</v>
      </c>
      <c r="R4" s="16">
        <f t="shared" ca="1" si="2"/>
        <v>524.4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83.582089552238813</v>
      </c>
      <c r="G5" s="14">
        <f ca="1">Q7/parameters!$B$7-(G3+G4)</f>
        <v>2755.7524856906689</v>
      </c>
      <c r="H5" s="14"/>
      <c r="I5" s="14"/>
      <c r="J5" s="14"/>
      <c r="K5" s="13"/>
      <c r="L5" s="16">
        <f t="shared" ca="1" si="0"/>
        <v>2839.3345752429077</v>
      </c>
      <c r="M5" s="16"/>
      <c r="N5" s="16"/>
      <c r="O5" s="11" cm="1">
        <f t="array" aca="1" ref="O5" ca="1">INDIRECT("'data'!$M$" &amp; $A$1)*parameters!$B$15</f>
        <v>267.54000000000002</v>
      </c>
      <c r="P5" s="13" cm="1">
        <f t="array" aca="1" ref="P5" ca="1">-INDIRECT("'data'!$N$" &amp; $A$1)*parameters!$B$15</f>
        <v>-827.12</v>
      </c>
      <c r="Q5" s="16">
        <f ca="1">SUM(L5:P5)</f>
        <v>2279.7545752429078</v>
      </c>
      <c r="R5" s="16">
        <f t="shared" ca="1" si="2"/>
        <v>2279.7545752429078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392</v>
      </c>
      <c r="I6" s="14"/>
      <c r="J6" s="14"/>
      <c r="K6" s="13"/>
      <c r="L6" s="16">
        <f t="shared" ca="1" si="0"/>
        <v>392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392</v>
      </c>
      <c r="R6" s="16">
        <f t="shared" ca="1" si="2"/>
        <v>392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2758.7</v>
      </c>
      <c r="I7" s="14"/>
      <c r="J7" s="14"/>
      <c r="K7" s="13"/>
      <c r="L7" s="16">
        <f t="shared" ca="1" si="0"/>
        <v>2758.7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2758.7</v>
      </c>
      <c r="R7" s="16">
        <f t="shared" ca="1" si="2"/>
        <v>2758.7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3565</v>
      </c>
      <c r="J8" s="14">
        <f ca="1">Q10/J18</f>
        <v>201.11095305832148</v>
      </c>
      <c r="K8" s="13"/>
      <c r="L8" s="16">
        <f t="shared" ca="1" si="0"/>
        <v>3766.1109530583217</v>
      </c>
      <c r="M8" s="16"/>
      <c r="N8" s="16">
        <f t="shared" ca="1" si="3"/>
        <v>-356.69095305832207</v>
      </c>
      <c r="O8" s="11" cm="1">
        <f t="array" aca="1" ref="O8" ca="1">INDIRECT("'data'!$R$" &amp; $A$1)*parameters!$B$15</f>
        <v>57.82</v>
      </c>
      <c r="P8" s="13" cm="1">
        <f t="array" aca="1" ref="P8" ca="1">-INDIRECT("'data'!$S$" &amp; $A$1)*parameters!$B$15</f>
        <v>-316.54000000000002</v>
      </c>
      <c r="Q8" s="16">
        <f ca="1">SUM(Q6:Q7)</f>
        <v>3150.7</v>
      </c>
      <c r="R8" s="16">
        <f t="shared" ca="1" si="2"/>
        <v>3150.7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5095.0199999999995</v>
      </c>
      <c r="L9" s="16">
        <f t="shared" ca="1" si="0"/>
        <v>5095.0199999999995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422.38</v>
      </c>
      <c r="P9" s="13" cm="1">
        <f t="array" aca="1" ref="P9" ca="1">-INDIRECT("'data'!$V$" &amp; $A$1)*parameters!$B$15</f>
        <v>-2023.7</v>
      </c>
      <c r="Q9" s="16" cm="1">
        <f t="array" aca="1" ref="Q9" ca="1">INDIRECT("'data'!$T$" &amp; $A$1)*parameters!$B$15</f>
        <v>3493.7</v>
      </c>
      <c r="R9" s="16">
        <f t="shared" ca="1" si="2"/>
        <v>3493.7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3897.5687339971546</v>
      </c>
      <c r="L10" s="16">
        <f t="shared" ca="1" si="0"/>
        <v>3897.5687339971546</v>
      </c>
      <c r="M10" s="16"/>
      <c r="N10" s="16">
        <f t="shared" ca="1" si="3"/>
        <v>0</v>
      </c>
      <c r="O10" s="11" cm="1">
        <f t="array" aca="1" ref="O10" ca="1">INDIRECT("'data'!$X$" &amp; $A$1)*parameters!$B$15</f>
        <v>695.8</v>
      </c>
      <c r="P10" s="13" cm="1">
        <f t="array" aca="1" ref="P10" ca="1">-INDIRECT("'data'!$Y$" &amp; $A$1)*parameters!$B$15</f>
        <v>-4396.28</v>
      </c>
      <c r="Q10" s="16" cm="1">
        <f t="array" aca="1" ref="Q10" ca="1">INDIRECT("'data'!$W$" &amp; $A$1)*parameters!$B$15</f>
        <v>197.08873399715506</v>
      </c>
      <c r="R10" s="16">
        <f t="shared" ca="1" si="2"/>
        <v>197.08873399715503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9302.527911237552</v>
      </c>
      <c r="N11" s="19"/>
      <c r="O11" s="21" cm="1">
        <f t="array" aca="1" ref="O11" ca="1">INDIRECT("'data'!$Z$" &amp; $A$1)*parameters!$B$15</f>
        <v>1812.02</v>
      </c>
      <c r="P11" s="27" cm="1">
        <f t="array" aca="1" ref="P11" ca="1">-INDIRECT("'data'!$AA$" &amp; $A$1)*parameters!$B$15</f>
        <v>-2973.32</v>
      </c>
      <c r="Q11" s="16">
        <f ca="1">K9*parameters!$B$10+K10*parameters!$B$11</f>
        <v>8141.2279112375518</v>
      </c>
      <c r="R11" s="16">
        <f t="shared" ref="R11:R17" ca="1" si="4">SUM(L11:P11)</f>
        <v>8141.2279112375527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-2.2886555298379676</v>
      </c>
      <c r="D12" s="9">
        <f ca="1">-(D17-Q4)</f>
        <v>-3.3246653919693472</v>
      </c>
      <c r="E12" s="9">
        <f ca="1">-(E17-Q5)</f>
        <v>-281.76741941204455</v>
      </c>
      <c r="F12" s="9">
        <f ca="1">-(F17-Q6)</f>
        <v>-25.910447761194064</v>
      </c>
      <c r="G12" s="9">
        <f ca="1">-(G17-Q7)</f>
        <v>-123.95412748171384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-437.24531557675977</v>
      </c>
      <c r="M12" s="17"/>
      <c r="N12" s="17"/>
      <c r="O12" s="10"/>
      <c r="P12" s="12"/>
      <c r="Q12" s="9">
        <f t="shared" ref="Q12:Q17" ca="1" si="6">SUM(L12:P12)</f>
        <v>-437.24531557675977</v>
      </c>
      <c r="R12" s="17">
        <f t="shared" ca="1" si="4"/>
        <v>-437.24531557675977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-71.300000000000182</v>
      </c>
      <c r="J13" s="14">
        <f ca="1">-(J17-Q10)</f>
        <v>-4.0222190611664246</v>
      </c>
      <c r="K13" s="13">
        <f ca="1">-(K17-Q11)</f>
        <v>-851.36082275960234</v>
      </c>
      <c r="L13" s="14">
        <f t="shared" ca="1" si="5"/>
        <v>-926.68304182076895</v>
      </c>
      <c r="M13" s="16">
        <f ca="1">-E15</f>
        <v>-1634.8389528341834</v>
      </c>
      <c r="N13" s="16"/>
      <c r="O13" s="11"/>
      <c r="P13" s="13"/>
      <c r="Q13" s="14">
        <f t="shared" ca="1" si="6"/>
        <v>-2561.5219946549523</v>
      </c>
      <c r="R13" s="16">
        <f t="shared" ca="1" si="4"/>
        <v>-2561.5219946549523</v>
      </c>
    </row>
    <row r="14" spans="1:19">
      <c r="A14" s="18" t="s">
        <v>78</v>
      </c>
      <c r="B14" s="11"/>
      <c r="C14" s="14"/>
      <c r="D14" s="14"/>
      <c r="E14" s="14">
        <f ca="1">-(I13+J13)-K13</f>
        <v>926.68304182076895</v>
      </c>
      <c r="F14" s="14"/>
      <c r="G14" s="14"/>
      <c r="H14" s="14"/>
      <c r="I14" s="14"/>
      <c r="J14" s="14"/>
      <c r="K14" s="13"/>
      <c r="L14" s="14">
        <f t="shared" ca="1" si="5"/>
        <v>926.68304182076895</v>
      </c>
      <c r="M14" s="16"/>
      <c r="N14" s="16"/>
      <c r="O14" s="11"/>
      <c r="P14" s="13"/>
      <c r="Q14" s="14">
        <f t="shared" ca="1" si="6"/>
        <v>926.68304182076895</v>
      </c>
      <c r="R14" s="16">
        <f t="shared" ca="1" si="4"/>
        <v>926.68304182076895</v>
      </c>
    </row>
    <row r="15" spans="1:19">
      <c r="A15" s="18" t="s">
        <v>79</v>
      </c>
      <c r="B15" s="11"/>
      <c r="C15" s="14"/>
      <c r="D15" s="14"/>
      <c r="E15" s="14">
        <f ca="1">E17-E14</f>
        <v>1634.8389528341834</v>
      </c>
      <c r="F15" s="14"/>
      <c r="G15" s="14"/>
      <c r="H15" s="14"/>
      <c r="I15" s="14"/>
      <c r="J15" s="14"/>
      <c r="K15" s="13"/>
      <c r="L15" s="14">
        <f t="shared" ca="1" si="5"/>
        <v>1634.8389528341834</v>
      </c>
      <c r="M15" s="16"/>
      <c r="N15" s="16"/>
      <c r="O15" s="11"/>
      <c r="P15" s="13"/>
      <c r="Q15" s="14">
        <f t="shared" ca="1" si="6"/>
        <v>1634.8389528341834</v>
      </c>
      <c r="R15" s="16">
        <f t="shared" ca="1" si="4"/>
        <v>1634.8389528341834</v>
      </c>
    </row>
    <row r="16" spans="1:19">
      <c r="A16" s="30" t="s">
        <v>89</v>
      </c>
      <c r="B16" s="21">
        <f ca="1">Q2</f>
        <v>2450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2450</v>
      </c>
      <c r="M16" s="19"/>
      <c r="N16" s="19"/>
      <c r="O16" s="21"/>
      <c r="P16" s="27"/>
      <c r="Q16" s="22">
        <f t="shared" ca="1" si="6"/>
        <v>2450</v>
      </c>
      <c r="R16" s="19">
        <f t="shared" ca="1" si="4"/>
        <v>2450</v>
      </c>
    </row>
    <row r="17" spans="1:18">
      <c r="A17" s="29" t="s">
        <v>88</v>
      </c>
      <c r="B17" s="9">
        <f ca="1">B16</f>
        <v>2450</v>
      </c>
      <c r="C17" s="9">
        <f ca="1">SUM(C$2:C$11)</f>
        <v>363.27865552983798</v>
      </c>
      <c r="D17" s="9">
        <f ca="1">SUM(D$2:D$11)</f>
        <v>527.72466539196932</v>
      </c>
      <c r="E17" s="9">
        <f ca="1">$Q$5/parameters!$B$4</f>
        <v>2561.5219946549523</v>
      </c>
      <c r="F17" s="9">
        <f t="shared" ref="F17:K17" ca="1" si="7">SUM(F$2:F$11)</f>
        <v>417.91044776119406</v>
      </c>
      <c r="G17" s="9">
        <f t="shared" ca="1" si="7"/>
        <v>2882.6541274817137</v>
      </c>
      <c r="H17" s="9">
        <f t="shared" ca="1" si="7"/>
        <v>3150.7</v>
      </c>
      <c r="I17" s="9">
        <f t="shared" ca="1" si="7"/>
        <v>3565</v>
      </c>
      <c r="J17" s="9">
        <f t="shared" ca="1" si="7"/>
        <v>201.11095305832148</v>
      </c>
      <c r="K17" s="9">
        <f t="shared" ca="1" si="7"/>
        <v>8992.5887339971541</v>
      </c>
      <c r="L17" s="17">
        <f t="shared" ca="1" si="5"/>
        <v>25112.489577875142</v>
      </c>
      <c r="M17" s="17"/>
      <c r="N17" s="17"/>
      <c r="O17" s="9"/>
      <c r="P17" s="14"/>
      <c r="Q17" s="11">
        <f t="shared" ca="1" si="6"/>
        <v>25112.489577875142</v>
      </c>
      <c r="R17" s="17">
        <f t="shared" ca="1" si="4"/>
        <v>25112.489577875142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0.90532639177181884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387.45</v>
      </c>
      <c r="H3" s="14"/>
      <c r="I3" s="14"/>
      <c r="J3" s="14"/>
      <c r="K3" s="13"/>
      <c r="L3" s="16">
        <f t="shared" ca="1" si="0"/>
        <v>387.45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-388.39499999999998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6537.0641065830732</v>
      </c>
      <c r="H5" s="14"/>
      <c r="I5" s="14"/>
      <c r="J5" s="14"/>
      <c r="K5" s="13"/>
      <c r="L5" s="16">
        <f t="shared" ca="1" si="0"/>
        <v>6537.0641065830732</v>
      </c>
      <c r="M5" s="16"/>
      <c r="N5" s="16"/>
      <c r="O5" s="11" cm="1">
        <f t="array" aca="1" ref="O5" ca="1">INDIRECT("'data'!$M$" &amp; $A$1)*parameters!$B$15</f>
        <v>380.24</v>
      </c>
      <c r="P5" s="13" cm="1">
        <f t="array" aca="1" ref="P5" ca="1">-INDIRECT("'data'!$N$" &amp; $A$1)*parameters!$B$15</f>
        <v>-1706.18</v>
      </c>
      <c r="Q5" s="16">
        <f ca="1">SUM(L5:P5)</f>
        <v>5211.1241065830727</v>
      </c>
      <c r="R5" s="16">
        <f t="shared" ca="1" si="2"/>
        <v>5211.1241065830727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6626.76</v>
      </c>
      <c r="I7" s="14"/>
      <c r="J7" s="14"/>
      <c r="K7" s="13"/>
      <c r="L7" s="16">
        <f t="shared" ca="1" si="0"/>
        <v>6626.76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6626.76</v>
      </c>
      <c r="R7" s="16">
        <f t="shared" ca="1" si="2"/>
        <v>6626.76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6162.7100289027994</v>
      </c>
      <c r="J8" s="14">
        <f ca="1">Q10/J18</f>
        <v>3156.1099710972012</v>
      </c>
      <c r="K8" s="13"/>
      <c r="L8" s="16">
        <f t="shared" ca="1" si="0"/>
        <v>9318.82</v>
      </c>
      <c r="M8" s="16"/>
      <c r="N8" s="16">
        <f t="shared" ca="1" si="3"/>
        <v>0</v>
      </c>
      <c r="O8" s="11" cm="1">
        <f t="array" aca="1" ref="O8" ca="1">INDIRECT("'data'!$R$" &amp; $A$1)*parameters!$B$15</f>
        <v>249.9</v>
      </c>
      <c r="P8" s="13" cm="1">
        <f t="array" aca="1" ref="P8" ca="1">-INDIRECT("'data'!$S$" &amp; $A$1)*parameters!$B$15</f>
        <v>-2941.96</v>
      </c>
      <c r="Q8" s="16">
        <f ca="1">SUM(Q6:Q7)</f>
        <v>6626.76</v>
      </c>
      <c r="R8" s="16">
        <f t="shared" ca="1" si="2"/>
        <v>6626.7599999999993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7541.1</v>
      </c>
      <c r="L9" s="16">
        <f t="shared" ca="1" si="0"/>
        <v>7541.1</v>
      </c>
      <c r="M9" s="16"/>
      <c r="N9" s="16">
        <f t="shared" ca="1" si="3"/>
        <v>0</v>
      </c>
      <c r="O9" s="11" cm="1">
        <f t="array" aca="1" ref="O9" ca="1">INDIRECT("'data'!$U$" &amp; $A$1)*parameters!$B$15</f>
        <v>774.19999999999993</v>
      </c>
      <c r="P9" s="13" cm="1">
        <f t="array" aca="1" ref="P9" ca="1">-INDIRECT("'data'!$V$" &amp; $A$1)*parameters!$B$15</f>
        <v>-2336.3200000000002</v>
      </c>
      <c r="Q9" s="16" cm="1">
        <f t="array" aca="1" ref="Q9" ca="1">INDIRECT("'data'!$T$" &amp; $A$1)*parameters!$B$15</f>
        <v>5978.98</v>
      </c>
      <c r="R9" s="16">
        <f t="shared" ca="1" si="2"/>
        <v>5978.9800000000014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10889.276273115222</v>
      </c>
      <c r="L10" s="16">
        <f t="shared" ca="1" si="0"/>
        <v>10889.276273115222</v>
      </c>
      <c r="M10" s="16"/>
      <c r="N10" s="16">
        <f t="shared" ca="1" si="3"/>
        <v>0</v>
      </c>
      <c r="O10" s="11" cm="1">
        <f t="array" aca="1" ref="O10" ca="1">INDIRECT("'data'!$X$" &amp; $A$1)*parameters!$B$15</f>
        <v>419.44</v>
      </c>
      <c r="P10" s="13" cm="1">
        <f t="array" aca="1" ref="P10" ca="1">-INDIRECT("'data'!$Y$" &amp; $A$1)*parameters!$B$15</f>
        <v>-8246.7000000000007</v>
      </c>
      <c r="Q10" s="16" cm="1">
        <f t="array" aca="1" ref="Q10" ca="1">INDIRECT("'data'!$W$" &amp; $A$1)*parameters!$B$15</f>
        <v>3062.0162731152204</v>
      </c>
      <c r="R10" s="16">
        <f t="shared" ca="1" si="2"/>
        <v>3062.0162731152213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14404.231594879089</v>
      </c>
      <c r="N11" s="19"/>
      <c r="O11" s="21" cm="1">
        <f t="array" aca="1" ref="O11" ca="1">INDIRECT("'data'!$Z$" &amp; $A$1)*parameters!$B$15</f>
        <v>5560.5199999999995</v>
      </c>
      <c r="P11" s="27" cm="1">
        <f t="array" aca="1" ref="P11" ca="1">-INDIRECT("'data'!$AA$" &amp; $A$1)*parameters!$B$15</f>
        <v>-3511.34</v>
      </c>
      <c r="Q11" s="16">
        <f ca="1">K9*parameters!$B$10+K10*parameters!$B$11</f>
        <v>16453.41159487909</v>
      </c>
      <c r="R11" s="16">
        <f t="shared" ref="R11:R17" ca="1" si="4">SUM(L11:P11)</f>
        <v>16453.41159487909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-644.07151879116645</v>
      </c>
      <c r="F12" s="9">
        <f ca="1">-(F17-Q6)</f>
        <v>0</v>
      </c>
      <c r="G12" s="9">
        <f ca="1">-(G17-Q7)</f>
        <v>-297.75410658307283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-941.82562537423928</v>
      </c>
      <c r="M12" s="17"/>
      <c r="N12" s="17"/>
      <c r="O12" s="10"/>
      <c r="P12" s="12"/>
      <c r="Q12" s="9">
        <f t="shared" ref="Q12:Q17" ca="1" si="6">SUM(L12:P12)</f>
        <v>-941.82562537423928</v>
      </c>
      <c r="R12" s="17">
        <f t="shared" ca="1" si="4"/>
        <v>-941.82562537423928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-183.73002890279986</v>
      </c>
      <c r="J13" s="14">
        <f ca="1">-(J17-Q10)</f>
        <v>-94.093697981980768</v>
      </c>
      <c r="K13" s="13">
        <f ca="1">-(K17-Q11)</f>
        <v>-1976.9646782361342</v>
      </c>
      <c r="L13" s="14">
        <f t="shared" ca="1" si="5"/>
        <v>-2254.7884051209148</v>
      </c>
      <c r="M13" s="16">
        <f ca="1">-E15</f>
        <v>-3600.4072202533243</v>
      </c>
      <c r="N13" s="16"/>
      <c r="O13" s="11"/>
      <c r="P13" s="13"/>
      <c r="Q13" s="14">
        <f t="shared" ca="1" si="6"/>
        <v>-5855.1956253742392</v>
      </c>
      <c r="R13" s="16">
        <f t="shared" ca="1" si="4"/>
        <v>-5855.1956253742392</v>
      </c>
    </row>
    <row r="14" spans="1:20">
      <c r="A14" s="18" t="s">
        <v>78</v>
      </c>
      <c r="B14" s="11"/>
      <c r="C14" s="14"/>
      <c r="D14" s="14"/>
      <c r="E14" s="14">
        <f ca="1">-(I13+J13)-K13</f>
        <v>2254.7884051209148</v>
      </c>
      <c r="F14" s="14"/>
      <c r="G14" s="14"/>
      <c r="H14" s="14"/>
      <c r="I14" s="14"/>
      <c r="J14" s="14"/>
      <c r="K14" s="13"/>
      <c r="L14" s="14">
        <f t="shared" ca="1" si="5"/>
        <v>2254.7884051209148</v>
      </c>
      <c r="M14" s="16"/>
      <c r="N14" s="16"/>
      <c r="O14" s="11"/>
      <c r="P14" s="13"/>
      <c r="Q14" s="14">
        <f t="shared" ca="1" si="6"/>
        <v>2254.7884051209148</v>
      </c>
      <c r="R14" s="16">
        <f t="shared" ca="1" si="4"/>
        <v>2254.7884051209148</v>
      </c>
    </row>
    <row r="15" spans="1:20">
      <c r="A15" s="18" t="s">
        <v>79</v>
      </c>
      <c r="B15" s="11"/>
      <c r="C15" s="14"/>
      <c r="D15" s="14"/>
      <c r="E15" s="14">
        <f ca="1">E17-E14</f>
        <v>3600.4072202533243</v>
      </c>
      <c r="F15" s="14"/>
      <c r="G15" s="14"/>
      <c r="H15" s="14"/>
      <c r="I15" s="14"/>
      <c r="J15" s="14"/>
      <c r="K15" s="13"/>
      <c r="L15" s="14">
        <f t="shared" ca="1" si="5"/>
        <v>3600.4072202533243</v>
      </c>
      <c r="M15" s="16"/>
      <c r="N15" s="16"/>
      <c r="O15" s="11"/>
      <c r="P15" s="13"/>
      <c r="Q15" s="14">
        <f t="shared" ca="1" si="6"/>
        <v>3600.4072202533243</v>
      </c>
      <c r="R15" s="16">
        <f t="shared" ca="1" si="4"/>
        <v>3600.4072202533243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0</v>
      </c>
      <c r="E17" s="9">
        <f ca="1">$Q$5/parameters!$B$4</f>
        <v>5855.1956253742392</v>
      </c>
      <c r="F17" s="9">
        <f t="shared" ref="F17:K17" ca="1" si="7">SUM(F$2:F$11)</f>
        <v>0</v>
      </c>
      <c r="G17" s="9">
        <f t="shared" ca="1" si="7"/>
        <v>6924.514106583073</v>
      </c>
      <c r="H17" s="9">
        <f t="shared" ca="1" si="7"/>
        <v>6626.76</v>
      </c>
      <c r="I17" s="9">
        <f t="shared" ca="1" si="7"/>
        <v>6162.7100289027994</v>
      </c>
      <c r="J17" s="9">
        <f t="shared" ca="1" si="7"/>
        <v>3156.1099710972012</v>
      </c>
      <c r="K17" s="9">
        <f t="shared" ca="1" si="7"/>
        <v>18430.376273115224</v>
      </c>
      <c r="L17" s="17">
        <f t="shared" ca="1" si="5"/>
        <v>47155.666005072533</v>
      </c>
      <c r="M17" s="17"/>
      <c r="N17" s="17"/>
      <c r="O17" s="9"/>
      <c r="P17" s="14"/>
      <c r="Q17" s="11">
        <f t="shared" ca="1" si="6"/>
        <v>47155.666005072533</v>
      </c>
      <c r="R17" s="17">
        <f t="shared" ca="1" si="4"/>
        <v>47155.666005072533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0.97018681261310113</v>
      </c>
      <c r="J18" s="39">
        <f ca="1">I18</f>
        <v>0.97018681261310113</v>
      </c>
      <c r="K18" s="40">
        <f ca="1">1-(-K13)/K17</f>
        <v>0.89273335232336115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2958.5337627050417</v>
      </c>
      <c r="D2" s="9">
        <f ca="1">Q4/parameters!$B$3</f>
        <v>95.360772869075177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3053.8945355741171</v>
      </c>
      <c r="M2" s="17"/>
      <c r="N2" s="17">
        <f ca="1">Q2-(L2+O2+P2)</f>
        <v>3659.3054644258809</v>
      </c>
      <c r="O2" s="11" cm="1">
        <f t="array" aca="1" ref="O2" ca="1">INDIRECT("'data'!$F$" &amp; $A$1)</f>
        <v>15386.800000000001</v>
      </c>
      <c r="P2" s="13">
        <f ca="1">IF(-(L2-Q2+O2)&lt;0, -(L2-Q2+O2), 0)</f>
        <v>0</v>
      </c>
      <c r="Q2" s="17" cm="1">
        <f t="array" aca="1" ref="Q2" ca="1">INDIRECT("'data'!$D$" &amp; $A$1)</f>
        <v>22100</v>
      </c>
      <c r="R2" s="17">
        <f ca="1">SUM(L2:P2)</f>
        <v>22100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2572.6567164179105</v>
      </c>
      <c r="G3" s="14">
        <f ca="1">Q3-O3-P3-F3</f>
        <v>332.27328358208933</v>
      </c>
      <c r="H3" s="14"/>
      <c r="I3" s="14"/>
      <c r="J3" s="14"/>
      <c r="K3" s="13"/>
      <c r="L3" s="16">
        <f t="shared" ca="1" si="0"/>
        <v>2904.93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84.10499999999999</v>
      </c>
      <c r="P3" s="13" cm="1">
        <f t="array" aca="1" ref="P3" ca="1">-INDIRECT("'data'!$I$" &amp; $A$1)*parameters!$B$13</f>
        <v>-49.14</v>
      </c>
      <c r="Q3" s="16" cm="1">
        <f t="array" aca="1" ref="Q3" ca="1">INDIRECT("'data'!$G$" &amp; $A$1)*parameters!$B$13</f>
        <v>2939.895</v>
      </c>
      <c r="R3" s="16">
        <f t="shared" ref="R3:R10" ca="1" si="2">SUM(L3:P3)</f>
        <v>2939.895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121.44</v>
      </c>
      <c r="H4" s="14"/>
      <c r="I4" s="14"/>
      <c r="J4" s="14"/>
      <c r="K4" s="13"/>
      <c r="L4" s="16">
        <f t="shared" ca="1" si="0"/>
        <v>121.44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-28.52</v>
      </c>
      <c r="Q4" s="16" cm="1">
        <f t="array" aca="1" ref="Q4" ca="1">INDIRECT("'data'!$J$" &amp; $A$1)*parameters!$B$14</f>
        <v>94.76</v>
      </c>
      <c r="R4" s="16">
        <f t="shared" ca="1" si="2"/>
        <v>94.76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643.16417910447763</v>
      </c>
      <c r="G5" s="14">
        <f ca="1">Q7/parameters!$B$7-(G3+G4)</f>
        <v>1438.700509521359</v>
      </c>
      <c r="H5" s="14"/>
      <c r="I5" s="14"/>
      <c r="J5" s="14"/>
      <c r="K5" s="13"/>
      <c r="L5" s="16">
        <f t="shared" ca="1" si="0"/>
        <v>2081.8646886258366</v>
      </c>
      <c r="M5" s="16"/>
      <c r="N5" s="16"/>
      <c r="O5" s="11" cm="1">
        <f t="array" aca="1" ref="O5" ca="1">INDIRECT("'data'!$M$" &amp; $A$1)*parameters!$B$15</f>
        <v>1373.96</v>
      </c>
      <c r="P5" s="13" cm="1">
        <f t="array" aca="1" ref="P5" ca="1">-INDIRECT("'data'!$N$" &amp; $A$1)*parameters!$B$15</f>
        <v>-287.14</v>
      </c>
      <c r="Q5" s="16">
        <f ca="1">SUM(L5:P5)</f>
        <v>3168.6846886258368</v>
      </c>
      <c r="R5" s="16">
        <f t="shared" ca="1" si="2"/>
        <v>3168.6846886258368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3016.44</v>
      </c>
      <c r="I6" s="14"/>
      <c r="J6" s="14"/>
      <c r="K6" s="13"/>
      <c r="L6" s="16">
        <f t="shared" ca="1" si="0"/>
        <v>3016.44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3016.44</v>
      </c>
      <c r="R6" s="16">
        <f t="shared" ca="1" si="2"/>
        <v>3016.44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1811.04</v>
      </c>
      <c r="I7" s="14"/>
      <c r="J7" s="14"/>
      <c r="K7" s="13"/>
      <c r="L7" s="16">
        <f t="shared" ca="1" si="0"/>
        <v>1811.04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1811.04</v>
      </c>
      <c r="R7" s="16">
        <f t="shared" ca="1" si="2"/>
        <v>1811.04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1060.4749885678652</v>
      </c>
      <c r="J8" s="14">
        <f ca="1">Q10/J18</f>
        <v>3777.7850114321341</v>
      </c>
      <c r="K8" s="13"/>
      <c r="L8" s="16">
        <f t="shared" ca="1" si="0"/>
        <v>4838.2599999999993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215.6</v>
      </c>
      <c r="P8" s="13" cm="1">
        <f t="array" aca="1" ref="P8" ca="1">-INDIRECT("'data'!$S$" &amp; $A$1)*parameters!$B$15</f>
        <v>-226.38</v>
      </c>
      <c r="Q8" s="16">
        <f ca="1">SUM(Q6:Q7)</f>
        <v>4827.4799999999996</v>
      </c>
      <c r="R8" s="16">
        <f t="shared" ca="1" si="2"/>
        <v>4827.4799999999996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1246.56</v>
      </c>
      <c r="L9" s="16">
        <f t="shared" ca="1" si="0"/>
        <v>1246.56</v>
      </c>
      <c r="M9" s="16"/>
      <c r="N9" s="16">
        <f t="shared" ca="1" si="3"/>
        <v>0</v>
      </c>
      <c r="O9" s="11" cm="1">
        <f t="array" aca="1" ref="O9" ca="1">INDIRECT("'data'!$U$" &amp; $A$1)*parameters!$B$15</f>
        <v>539.98</v>
      </c>
      <c r="P9" s="13" cm="1">
        <f t="array" aca="1" ref="P9" ca="1">-INDIRECT("'data'!$V$" &amp; $A$1)*parameters!$B$15</f>
        <v>-904.54</v>
      </c>
      <c r="Q9" s="16" cm="1">
        <f t="array" aca="1" ref="Q9" ca="1">INDIRECT("'data'!$T$" &amp; $A$1)*parameters!$B$15</f>
        <v>882</v>
      </c>
      <c r="R9" s="16">
        <f t="shared" ca="1" si="2"/>
        <v>882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2392.2943100995735</v>
      </c>
      <c r="L10" s="16">
        <f t="shared" ca="1" si="0"/>
        <v>2392.2943100995735</v>
      </c>
      <c r="M10" s="16"/>
      <c r="N10" s="16">
        <f t="shared" ca="1" si="3"/>
        <v>0</v>
      </c>
      <c r="O10" s="11" cm="1">
        <f t="array" aca="1" ref="O10" ca="1">INDIRECT("'data'!$X$" &amp; $A$1)*parameters!$B$15</f>
        <v>2915.5</v>
      </c>
      <c r="P10" s="13" cm="1">
        <f t="array" aca="1" ref="P10" ca="1">-INDIRECT("'data'!$Y$" &amp; $A$1)*parameters!$B$15</f>
        <v>-2165.8000000000002</v>
      </c>
      <c r="Q10" s="16" cm="1">
        <f t="array" aca="1" ref="Q10" ca="1">INDIRECT("'data'!$W$" &amp; $A$1)*parameters!$B$15</f>
        <v>3141.9943100995733</v>
      </c>
      <c r="R10" s="16">
        <f t="shared" ca="1" si="2"/>
        <v>3141.9943100995733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3906.3195066856333</v>
      </c>
      <c r="N11" s="19"/>
      <c r="O11" s="21" cm="1">
        <f t="array" aca="1" ref="O11" ca="1">INDIRECT("'data'!$Z$" &amp; $A$1)*parameters!$B$15</f>
        <v>3096.7999999999997</v>
      </c>
      <c r="P11" s="27" cm="1">
        <f t="array" aca="1" ref="P11" ca="1">-INDIRECT("'data'!$AA$" &amp; $A$1)*parameters!$B$15</f>
        <v>-3773.98</v>
      </c>
      <c r="Q11" s="16">
        <f ca="1">K9*parameters!$B$10+K10*parameters!$B$11</f>
        <v>3229.139506685633</v>
      </c>
      <c r="R11" s="16">
        <f t="shared" ref="R11:R17" ca="1" si="4">SUM(L11:P11)</f>
        <v>3229.1395066856326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-18.6387627050417</v>
      </c>
      <c r="D12" s="9">
        <f ca="1">-(D17-Q4)</f>
        <v>-0.60077286907517191</v>
      </c>
      <c r="E12" s="9">
        <f ca="1">-(E17-Q5)</f>
        <v>-391.63518623465416</v>
      </c>
      <c r="F12" s="9">
        <f ca="1">-(F17-Q6)</f>
        <v>-199.38089552238807</v>
      </c>
      <c r="G12" s="9">
        <f ca="1">-(G17-Q7)</f>
        <v>-81.373793103448406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-691.62941043460751</v>
      </c>
      <c r="M12" s="17"/>
      <c r="N12" s="17"/>
      <c r="O12" s="10"/>
      <c r="P12" s="12"/>
      <c r="Q12" s="9">
        <f t="shared" ref="Q12:Q17" ca="1" si="6">SUM(L12:P12)</f>
        <v>-691.62941043460751</v>
      </c>
      <c r="R12" s="17">
        <f t="shared" ca="1" si="4"/>
        <v>-691.62941043460751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-178.47498856786524</v>
      </c>
      <c r="J13" s="14">
        <f ca="1">-(J17-Q10)</f>
        <v>-635.79070133256073</v>
      </c>
      <c r="K13" s="13">
        <f ca="1">-(K17-Q11)</f>
        <v>-409.71480341394044</v>
      </c>
      <c r="L13" s="14">
        <f t="shared" ca="1" si="5"/>
        <v>-1223.9804933143664</v>
      </c>
      <c r="M13" s="16">
        <f ca="1">-E15</f>
        <v>-2336.3393815461245</v>
      </c>
      <c r="N13" s="16"/>
      <c r="O13" s="11"/>
      <c r="P13" s="13"/>
      <c r="Q13" s="14">
        <f t="shared" ca="1" si="6"/>
        <v>-3560.3198748604909</v>
      </c>
      <c r="R13" s="16">
        <f t="shared" ca="1" si="4"/>
        <v>-3560.3198748604909</v>
      </c>
    </row>
    <row r="14" spans="1:20">
      <c r="A14" s="18" t="s">
        <v>78</v>
      </c>
      <c r="B14" s="11"/>
      <c r="C14" s="14"/>
      <c r="D14" s="14"/>
      <c r="E14" s="14">
        <f ca="1">-(I13+J13)-K13</f>
        <v>1223.9804933143664</v>
      </c>
      <c r="F14" s="14"/>
      <c r="G14" s="14"/>
      <c r="H14" s="14"/>
      <c r="I14" s="14"/>
      <c r="J14" s="14"/>
      <c r="K14" s="13"/>
      <c r="L14" s="14">
        <f t="shared" ca="1" si="5"/>
        <v>1223.9804933143664</v>
      </c>
      <c r="M14" s="16"/>
      <c r="N14" s="16"/>
      <c r="O14" s="11"/>
      <c r="P14" s="13"/>
      <c r="Q14" s="14">
        <f t="shared" ca="1" si="6"/>
        <v>1223.9804933143664</v>
      </c>
      <c r="R14" s="16">
        <f t="shared" ca="1" si="4"/>
        <v>1223.9804933143664</v>
      </c>
    </row>
    <row r="15" spans="1:20">
      <c r="A15" s="18" t="s">
        <v>79</v>
      </c>
      <c r="B15" s="11"/>
      <c r="C15" s="14"/>
      <c r="D15" s="14"/>
      <c r="E15" s="14">
        <f ca="1">E17-E14</f>
        <v>2336.3393815461245</v>
      </c>
      <c r="F15" s="14"/>
      <c r="G15" s="14"/>
      <c r="H15" s="14"/>
      <c r="I15" s="14"/>
      <c r="J15" s="14"/>
      <c r="K15" s="13"/>
      <c r="L15" s="14">
        <f t="shared" ca="1" si="5"/>
        <v>2336.3393815461245</v>
      </c>
      <c r="M15" s="16"/>
      <c r="N15" s="16"/>
      <c r="O15" s="11"/>
      <c r="P15" s="13"/>
      <c r="Q15" s="14">
        <f t="shared" ca="1" si="6"/>
        <v>2336.3393815461245</v>
      </c>
      <c r="R15" s="16">
        <f t="shared" ca="1" si="4"/>
        <v>2336.3393815461245</v>
      </c>
    </row>
    <row r="16" spans="1:20">
      <c r="A16" s="30" t="s">
        <v>89</v>
      </c>
      <c r="B16" s="21">
        <f ca="1">Q2</f>
        <v>22100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22100</v>
      </c>
      <c r="M16" s="19"/>
      <c r="N16" s="19"/>
      <c r="O16" s="21"/>
      <c r="P16" s="27"/>
      <c r="Q16" s="22">
        <f t="shared" ca="1" si="6"/>
        <v>22100</v>
      </c>
      <c r="R16" s="19">
        <f t="shared" ca="1" si="4"/>
        <v>22100</v>
      </c>
    </row>
    <row r="17" spans="1:18">
      <c r="A17" s="29" t="s">
        <v>88</v>
      </c>
      <c r="B17" s="9">
        <f ca="1">B16</f>
        <v>22100</v>
      </c>
      <c r="C17" s="9">
        <f ca="1">SUM(C$2:C$11)</f>
        <v>2958.5337627050417</v>
      </c>
      <c r="D17" s="9">
        <f ca="1">SUM(D$2:D$11)</f>
        <v>95.360772869075177</v>
      </c>
      <c r="E17" s="9">
        <f ca="1">$Q$5/parameters!$B$4</f>
        <v>3560.3198748604909</v>
      </c>
      <c r="F17" s="9">
        <f t="shared" ref="F17:K17" ca="1" si="7">SUM(F$2:F$11)</f>
        <v>3215.8208955223881</v>
      </c>
      <c r="G17" s="9">
        <f t="shared" ca="1" si="7"/>
        <v>1892.4137931034484</v>
      </c>
      <c r="H17" s="9">
        <f t="shared" ca="1" si="7"/>
        <v>4827.4799999999996</v>
      </c>
      <c r="I17" s="9">
        <f t="shared" ca="1" si="7"/>
        <v>1060.4749885678652</v>
      </c>
      <c r="J17" s="9">
        <f t="shared" ca="1" si="7"/>
        <v>3777.7850114321341</v>
      </c>
      <c r="K17" s="9">
        <f t="shared" ca="1" si="7"/>
        <v>3638.8543100995735</v>
      </c>
      <c r="L17" s="17">
        <f t="shared" ca="1" si="5"/>
        <v>47127.043409160025</v>
      </c>
      <c r="M17" s="17"/>
      <c r="N17" s="17"/>
      <c r="O17" s="9"/>
      <c r="P17" s="14"/>
      <c r="Q17" s="11">
        <f t="shared" ca="1" si="6"/>
        <v>47127.043409160025</v>
      </c>
      <c r="R17" s="17">
        <f t="shared" ca="1" si="4"/>
        <v>47127.043409160025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0.83170278366594064</v>
      </c>
      <c r="J18" s="39">
        <f ca="1">I18</f>
        <v>0.83170278366594064</v>
      </c>
      <c r="K18" s="40">
        <f ca="1">1-(-K13)/K17</f>
        <v>0.88740554897271251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2024-08-12T07:11:37Z</dcterms:modified>
</cp:coreProperties>
</file>