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"/>
    </mc:Choice>
  </mc:AlternateContent>
  <xr:revisionPtr revIDLastSave="0" documentId="13_ncr:1_{220BC9D7-9030-5C43-AD37-ABAF499454EC}" xr6:coauthVersionLast="47" xr6:coauthVersionMax="47" xr10:uidLastSave="{00000000-0000-0000-0000-000000000000}"/>
  <bookViews>
    <workbookView xWindow="0" yWindow="76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9" l="1"/>
  <c r="K19" i="29" s="1"/>
  <c r="J19" i="27"/>
  <c r="K19" i="27" s="1"/>
  <c r="K19" i="21"/>
  <c r="J19" i="21"/>
  <c r="P11" i="22" a="1"/>
  <c r="R7" i="38" a="1"/>
  <c r="R11" i="29" a="1"/>
  <c r="R10" i="42" a="1"/>
  <c r="P4" i="11" a="1"/>
  <c r="P2" i="23" a="1"/>
  <c r="P10" i="14" a="1"/>
  <c r="Q10" i="19" a="1"/>
  <c r="Q3" i="31" a="1"/>
  <c r="R10" i="20" a="1"/>
  <c r="R2" i="11" a="1"/>
  <c r="Q10" i="43" a="1"/>
  <c r="R3" i="14" a="1"/>
  <c r="P12" i="27" a="1"/>
  <c r="P4" i="22" a="1"/>
  <c r="P12" i="32" a="1"/>
  <c r="R7" i="30" a="1"/>
  <c r="Q4" i="32" a="1"/>
  <c r="R10" i="23" a="1"/>
  <c r="R2" i="16" a="1"/>
  <c r="Q9" i="27" a="1"/>
  <c r="Q12" i="23" a="1"/>
  <c r="P3" i="16" a="1"/>
  <c r="R6" i="33" a="1"/>
  <c r="R7" i="20" a="1"/>
  <c r="R7" i="18" a="1"/>
  <c r="P10" i="21" a="1"/>
  <c r="R7" i="33" a="1"/>
  <c r="Q11" i="11" a="1"/>
  <c r="Q4" i="15" a="1"/>
  <c r="R11" i="23" a="1"/>
  <c r="P2" i="37" a="1"/>
  <c r="R3" i="38" a="1"/>
  <c r="R7" i="31" a="1"/>
  <c r="R6" i="15" a="1"/>
  <c r="R11" i="22" a="1"/>
  <c r="Q10" i="30" a="1"/>
  <c r="R10" i="35" a="1"/>
  <c r="R4" i="16" a="1"/>
  <c r="R10" i="31" a="1"/>
  <c r="Q3" i="18" a="1"/>
  <c r="Q11" i="22" a="1"/>
  <c r="P11" i="39" a="1"/>
  <c r="Q11" i="30" a="1"/>
  <c r="P9" i="32" a="1"/>
  <c r="R2" i="31" a="1"/>
  <c r="R11" i="15" a="1"/>
  <c r="P9" i="42" a="1"/>
  <c r="P11" i="19" a="1"/>
  <c r="P12" i="16" a="1"/>
  <c r="P4" i="23" a="1"/>
  <c r="P4" i="38" a="1"/>
  <c r="Q5" i="17" a="1"/>
  <c r="Q5" i="15" a="1"/>
  <c r="P5" i="35" a="1"/>
  <c r="R3" i="34" a="1"/>
  <c r="P2" i="21" a="1"/>
  <c r="R10" i="41" a="1"/>
  <c r="R2" i="23" a="1"/>
  <c r="R2" i="14" a="1"/>
  <c r="P4" i="33" a="1"/>
  <c r="Q9" i="34" a="1"/>
  <c r="Q4" i="24" a="1"/>
  <c r="P5" i="41" a="1"/>
  <c r="P2" i="36" a="1"/>
  <c r="R10" i="17" a="1"/>
  <c r="P3" i="38" a="1"/>
  <c r="Q11" i="41" a="1"/>
  <c r="Q5" i="33" a="1"/>
  <c r="P11" i="23" a="1"/>
  <c r="R11" i="39" a="1"/>
  <c r="R3" i="27" a="1"/>
  <c r="P4" i="42" a="1"/>
  <c r="Q10" i="17" a="1"/>
  <c r="Q5" i="18" a="1"/>
  <c r="Q5" i="43" a="1"/>
  <c r="R3" i="18" a="1"/>
  <c r="Q9" i="37" a="1"/>
  <c r="P4" i="41" a="1"/>
  <c r="Q12" i="14" a="1"/>
  <c r="P2" i="17" a="1"/>
  <c r="P5" i="19" a="1"/>
  <c r="R4" i="41" a="1"/>
  <c r="P5" i="29" a="1"/>
  <c r="P3" i="31" a="1"/>
  <c r="Q12" i="28" a="1"/>
  <c r="R3" i="16" a="1"/>
  <c r="R10" i="15" a="1"/>
  <c r="P11" i="31" a="1"/>
  <c r="Q9" i="30" a="1"/>
  <c r="Q5" i="11" a="1"/>
  <c r="P9" i="22" a="1"/>
  <c r="P3" i="34" a="1"/>
  <c r="P5" i="28" a="1"/>
  <c r="Q5" i="23" a="1"/>
  <c r="Q4" i="28" a="1"/>
  <c r="R2" i="39" a="1"/>
  <c r="R10" i="38" a="1"/>
  <c r="Q3" i="28" a="1"/>
  <c r="P9" i="29" a="1"/>
  <c r="Q12" i="11" a="1"/>
  <c r="Q12" i="34" a="1"/>
  <c r="R2" i="36" a="1"/>
  <c r="R7" i="28" a="1"/>
  <c r="Q5" i="19" a="1"/>
  <c r="R7" i="35" a="1"/>
  <c r="P10" i="11" a="1"/>
  <c r="P12" i="26" a="1"/>
  <c r="P11" i="35" a="1"/>
  <c r="Q10" i="18" a="1"/>
  <c r="Q12" i="39" a="1"/>
  <c r="P11" i="37" a="1"/>
  <c r="P3" i="42" a="1"/>
  <c r="R7" i="19" a="1"/>
  <c r="Q10" i="21" a="1"/>
  <c r="R2" i="41" a="1"/>
  <c r="P3" i="29" a="1"/>
  <c r="Q10" i="36" a="1"/>
  <c r="Q9" i="16" a="1"/>
  <c r="R11" i="24" a="1"/>
  <c r="P3" i="14" a="1"/>
  <c r="Q4" i="23" a="1"/>
  <c r="R2" i="15" a="1"/>
  <c r="Q5" i="14" a="1"/>
  <c r="Q5" i="27" a="1"/>
  <c r="P2" i="41" a="1"/>
  <c r="R6" i="29" a="1"/>
  <c r="P11" i="43" a="1"/>
  <c r="R11" i="42" a="1"/>
  <c r="Q12" i="33" a="1"/>
  <c r="Q9" i="23" a="1"/>
  <c r="Q9" i="17" a="1"/>
  <c r="R7" i="17" a="1"/>
  <c r="Q4" i="37" a="1"/>
  <c r="P5" i="26" a="1"/>
  <c r="Q5" i="20" a="1"/>
  <c r="P5" i="37" a="1"/>
  <c r="P9" i="19" a="1"/>
  <c r="R2" i="35" a="1"/>
  <c r="P11" i="30" a="1"/>
  <c r="Q10" i="40" a="1"/>
  <c r="R8" i="16" a="1"/>
  <c r="P5" i="38" a="1"/>
  <c r="R2" i="42" a="1"/>
  <c r="Q9" i="40" a="1"/>
  <c r="Q10" i="42" a="1"/>
  <c r="R8" i="34" a="1"/>
  <c r="P12" i="43" a="1"/>
  <c r="P3" i="41" a="1"/>
  <c r="Q9" i="32" a="1"/>
  <c r="R2" i="27" a="1"/>
  <c r="P5" i="33" a="1"/>
  <c r="Q3" i="38" a="1"/>
  <c r="Q3" i="22" a="1"/>
  <c r="R8" i="38" a="1"/>
  <c r="R11" i="18" a="1"/>
  <c r="R10" i="30" a="1"/>
  <c r="P3" i="20" a="1"/>
  <c r="P4" i="32" a="1"/>
  <c r="R11" i="30" a="1"/>
  <c r="Q3" i="33" a="1"/>
  <c r="Q9" i="42" a="1"/>
  <c r="P5" i="42" a="1"/>
  <c r="R6" i="39" a="1"/>
  <c r="P10" i="41" a="1"/>
  <c r="Q10" i="24" a="1"/>
  <c r="P11" i="38" a="1"/>
  <c r="P11" i="32" a="1"/>
  <c r="R3" i="42" a="1"/>
  <c r="Q9" i="43" a="1"/>
  <c r="Q12" i="43" a="1"/>
  <c r="P3" i="19" a="1"/>
  <c r="Q4" i="18" a="1"/>
  <c r="R6" i="18" a="1"/>
  <c r="R3" i="17" a="1"/>
  <c r="P9" i="34" a="1"/>
  <c r="Q10" i="28" a="1"/>
  <c r="P2" i="14" a="1"/>
  <c r="R7" i="26" a="1"/>
  <c r="R11" i="41" a="1"/>
  <c r="P10" i="42" a="1"/>
  <c r="R6" i="42" a="1"/>
  <c r="Q12" i="15" a="1"/>
  <c r="R7" i="22" a="1"/>
  <c r="P3" i="23" a="1"/>
  <c r="R11" i="40" a="1"/>
  <c r="R10" i="27" a="1"/>
  <c r="P10" i="17" a="1"/>
  <c r="R3" i="23" a="1"/>
  <c r="R4" i="43" a="1"/>
  <c r="P5" i="36" a="1"/>
  <c r="P9" i="20" a="1"/>
  <c r="R7" i="24" a="1"/>
  <c r="Q10" i="31" a="1"/>
  <c r="R10" i="28" a="1"/>
  <c r="R7" i="14" a="1"/>
  <c r="P12" i="17" a="1"/>
  <c r="P12" i="11" a="1"/>
  <c r="P4" i="14" a="1"/>
  <c r="P9" i="23" a="1"/>
  <c r="R8" i="37" a="1"/>
  <c r="Q9" i="20" a="1"/>
  <c r="Q12" i="31" a="1"/>
  <c r="P9" i="36" a="1"/>
  <c r="Q10" i="23" a="1"/>
  <c r="R8" i="21" a="1"/>
  <c r="P2" i="22" a="1"/>
  <c r="P2" i="19" a="1"/>
  <c r="R4" i="42" a="1"/>
  <c r="R11" i="17" a="1"/>
  <c r="Q10" i="35" a="1"/>
  <c r="Q5" i="34" a="1"/>
  <c r="P12" i="39" a="1"/>
  <c r="R10" i="16" a="1"/>
  <c r="Q3" i="42" a="1"/>
  <c r="R8" i="43" a="1"/>
  <c r="P12" i="29" a="1"/>
  <c r="Q11" i="27" a="1"/>
  <c r="R8" i="35" a="1"/>
  <c r="Q4" i="43" a="1"/>
  <c r="P2" i="34" a="1"/>
  <c r="Q12" i="41" a="1"/>
  <c r="P4" i="29" a="1"/>
  <c r="Q11" i="23" a="1"/>
  <c r="R3" i="24" a="1"/>
  <c r="P5" i="11" a="1"/>
  <c r="R8" i="30" a="1"/>
  <c r="R8" i="19" a="1"/>
  <c r="P4" i="30" a="1"/>
  <c r="R10" i="24" a="1"/>
  <c r="P9" i="17" a="1"/>
  <c r="P3" i="28" a="1"/>
  <c r="R3" i="33" a="1"/>
  <c r="P5" i="30" a="1"/>
  <c r="R8" i="27" a="1"/>
  <c r="P11" i="41" a="1"/>
  <c r="P12" i="14" a="1"/>
  <c r="P4" i="36" a="1"/>
  <c r="Q11" i="18" a="1"/>
  <c r="P5" i="39" a="1"/>
  <c r="P12" i="38" a="1"/>
  <c r="R11" i="36" a="1"/>
  <c r="Q11" i="37" a="1"/>
  <c r="P4" i="35" a="1"/>
  <c r="P9" i="38" a="1"/>
  <c r="Q9" i="39" a="1"/>
  <c r="Q3" i="30" a="1"/>
  <c r="R10" i="21" a="1"/>
  <c r="P4" i="27" a="1"/>
  <c r="R4" i="21" a="1"/>
  <c r="P12" i="18" a="1"/>
  <c r="R11" i="33" a="1"/>
  <c r="R10" i="29" a="1"/>
  <c r="Q12" i="35" a="1"/>
  <c r="P3" i="22" a="1"/>
  <c r="R4" i="18" a="1"/>
  <c r="P11" i="11" a="1"/>
  <c r="P2" i="24" a="1"/>
  <c r="R2" i="32" a="1"/>
  <c r="Q3" i="37" a="1"/>
  <c r="P3" i="33" a="1"/>
  <c r="R2" i="34" a="1"/>
  <c r="R8" i="29" a="1"/>
  <c r="Q12" i="30" a="1"/>
  <c r="Q9" i="35" a="1"/>
  <c r="P4" i="26" a="1"/>
  <c r="Q4" i="16" a="1"/>
  <c r="Q4" i="38" a="1"/>
  <c r="Q3" i="19" a="1"/>
  <c r="R4" i="32" a="1"/>
  <c r="R2" i="18" a="1"/>
  <c r="R7" i="36" a="1"/>
  <c r="Q5" i="24" a="1"/>
  <c r="R6" i="41" a="1"/>
  <c r="P5" i="21" a="1"/>
  <c r="P4" i="17" a="1"/>
  <c r="R3" i="19" a="1"/>
  <c r="Q5" i="32" a="1"/>
  <c r="Q12" i="19" a="1"/>
  <c r="R7" i="15" a="1"/>
  <c r="P9" i="26" a="1"/>
  <c r="P5" i="16" a="1"/>
  <c r="P9" i="39" a="1"/>
  <c r="P12" i="40" a="1"/>
  <c r="R3" i="40" a="1"/>
  <c r="R7" i="29" a="1"/>
  <c r="R6" i="28" a="1"/>
  <c r="P3" i="37" a="1"/>
  <c r="Q3" i="39" a="1"/>
  <c r="P2" i="40" a="1"/>
  <c r="P4" i="16" a="1"/>
  <c r="R4" i="26" a="1"/>
  <c r="P3" i="40" a="1"/>
  <c r="P12" i="41" a="1"/>
  <c r="Q4" i="41" a="1"/>
  <c r="P4" i="28" a="1"/>
  <c r="R6" i="27" a="1"/>
  <c r="P2" i="20" a="1"/>
  <c r="Q5" i="42" a="1"/>
  <c r="P11" i="36" a="1"/>
  <c r="P2" i="11" a="1"/>
  <c r="R6" i="21" a="1"/>
  <c r="Q12" i="42" a="1"/>
  <c r="R2" i="38" a="1"/>
  <c r="R2" i="29" a="1"/>
  <c r="Q4" i="14" a="1"/>
  <c r="Q11" i="38" a="1"/>
  <c r="P9" i="16" a="1"/>
  <c r="R11" i="34" a="1"/>
  <c r="R6" i="22" a="1"/>
  <c r="P5" i="22" a="1"/>
  <c r="P12" i="34" a="1"/>
  <c r="Q3" i="43" a="1"/>
  <c r="Q4" i="22" a="1"/>
  <c r="Q11" i="20" a="1"/>
  <c r="P4" i="24" a="1"/>
  <c r="Q12" i="22" a="1"/>
  <c r="Q4" i="17" a="1"/>
  <c r="Q5" i="29" a="1"/>
  <c r="P2" i="29" a="1"/>
  <c r="P11" i="20" a="1"/>
  <c r="R6" i="37" a="1"/>
  <c r="R3" i="21" a="1"/>
  <c r="Q11" i="32" a="1"/>
  <c r="Q4" i="29" a="1"/>
  <c r="Q4" i="40" a="1"/>
  <c r="P3" i="26" a="1"/>
  <c r="R8" i="32" a="1"/>
  <c r="R7" i="11" a="1"/>
  <c r="Q10" i="32" a="1"/>
  <c r="R10" i="37" a="1"/>
  <c r="P12" i="20" a="1"/>
  <c r="Q9" i="29" a="1"/>
  <c r="P10" i="22" a="1"/>
  <c r="R8" i="15" a="1"/>
  <c r="R6" i="26" a="1"/>
  <c r="R11" i="14" a="1"/>
  <c r="R11" i="16" a="1"/>
  <c r="Q9" i="15" a="1"/>
  <c r="R4" i="34" a="1"/>
  <c r="P9" i="15" a="1"/>
  <c r="P10" i="28" a="1"/>
  <c r="P5" i="32" a="1"/>
  <c r="Q9" i="31" a="1"/>
  <c r="R10" i="18" a="1"/>
  <c r="R8" i="18" a="1"/>
  <c r="Q9" i="28" a="1"/>
  <c r="P11" i="16" a="1"/>
  <c r="R2" i="19" a="1"/>
  <c r="P3" i="39" a="1"/>
  <c r="Q3" i="29" a="1"/>
  <c r="P10" i="24" a="1"/>
  <c r="R4" i="39" a="1"/>
  <c r="Q4" i="19" a="1"/>
  <c r="R6" i="24" a="1"/>
  <c r="R8" i="42" a="1"/>
  <c r="Q11" i="34" a="1"/>
  <c r="R4" i="36" a="1"/>
  <c r="Q4" i="33" a="1"/>
  <c r="P12" i="15" a="1"/>
  <c r="Q10" i="29" a="1"/>
  <c r="P5" i="23" a="1"/>
  <c r="Q10" i="22" a="1"/>
  <c r="P10" i="38" a="1"/>
  <c r="R6" i="31" a="1"/>
  <c r="Q9" i="22" a="1"/>
  <c r="P3" i="15" a="1"/>
  <c r="P10" i="34" a="1"/>
  <c r="R3" i="35" a="1"/>
  <c r="P5" i="15" a="1"/>
  <c r="P3" i="24" a="1"/>
  <c r="P10" i="39" a="1"/>
  <c r="Q9" i="33" a="1"/>
  <c r="R7" i="27" a="1"/>
  <c r="R7" i="41" a="1"/>
  <c r="P12" i="23" a="1"/>
  <c r="P10" i="20" a="1"/>
  <c r="Q4" i="30" a="1"/>
  <c r="R6" i="16" a="1"/>
  <c r="R6" i="40" a="1"/>
  <c r="R8" i="20" a="1"/>
  <c r="P5" i="40" a="1"/>
  <c r="R4" i="22" a="1"/>
  <c r="Q12" i="29" a="1"/>
  <c r="R3" i="22" a="1"/>
  <c r="P11" i="14" a="1"/>
  <c r="Q9" i="36" a="1"/>
  <c r="Q5" i="22" a="1"/>
  <c r="P10" i="26" a="1"/>
  <c r="Q4" i="39" a="1"/>
  <c r="R11" i="21" a="1"/>
  <c r="Q11" i="35" a="1"/>
  <c r="P10" i="15" a="1"/>
  <c r="Q3" i="32" a="1"/>
  <c r="Q4" i="31" a="1"/>
  <c r="R4" i="20" a="1"/>
  <c r="P3" i="21" a="1"/>
  <c r="R8" i="40" a="1"/>
  <c r="Q10" i="27" a="1"/>
  <c r="P10" i="32" a="1"/>
  <c r="Q5" i="31" a="1"/>
  <c r="Q11" i="42" a="1"/>
  <c r="P5" i="18" a="1"/>
  <c r="R8" i="36" a="1"/>
  <c r="P11" i="18" a="1"/>
  <c r="R7" i="37" a="1"/>
  <c r="Q10" i="39" a="1"/>
  <c r="P3" i="27" a="1"/>
  <c r="P2" i="42" a="1"/>
  <c r="Q5" i="30" a="1"/>
  <c r="R11" i="43" a="1"/>
  <c r="R8" i="41" a="1"/>
  <c r="P2" i="31" a="1"/>
  <c r="R11" i="37" a="1"/>
  <c r="R7" i="40" a="1"/>
  <c r="P11" i="29" a="1"/>
  <c r="P9" i="18" a="1"/>
  <c r="Q11" i="31" a="1"/>
  <c r="Q4" i="11" a="1"/>
  <c r="P4" i="34" a="1"/>
  <c r="R10" i="11" a="1"/>
  <c r="P9" i="21" a="1"/>
  <c r="R6" i="14" a="1"/>
  <c r="P3" i="18" a="1"/>
  <c r="R3" i="11" a="1"/>
  <c r="R4" i="40" a="1"/>
  <c r="Q12" i="36" a="1"/>
  <c r="Q5" i="38" a="1"/>
  <c r="R2" i="33" a="1"/>
  <c r="Q12" i="18" a="1"/>
  <c r="Q5" i="36" a="1"/>
  <c r="Q11" i="19" a="1"/>
  <c r="P9" i="40" a="1"/>
  <c r="R2" i="30" a="1"/>
  <c r="P11" i="24" a="1"/>
  <c r="P5" i="20" a="1"/>
  <c r="R2" i="40" a="1"/>
  <c r="P11" i="33" a="1"/>
  <c r="P9" i="11" a="1"/>
  <c r="R4" i="38" a="1"/>
  <c r="Q9" i="21" a="1"/>
  <c r="P2" i="38" a="1"/>
  <c r="R3" i="15" a="1"/>
  <c r="R7" i="32" a="1"/>
  <c r="R2" i="24" a="1"/>
  <c r="Q3" i="24" a="1"/>
  <c r="R2" i="28" a="1"/>
  <c r="R8" i="23" a="1"/>
  <c r="P12" i="42" a="1"/>
  <c r="R4" i="31" a="1"/>
  <c r="P4" i="20" a="1"/>
  <c r="P10" i="27" a="1"/>
  <c r="P10" i="18" a="1"/>
  <c r="R2" i="22" a="1"/>
  <c r="Q5" i="35" a="1"/>
  <c r="Q4" i="42" a="1"/>
  <c r="R4" i="27" a="1"/>
  <c r="Q11" i="39" a="1"/>
  <c r="Q11" i="40" a="1"/>
  <c r="P9" i="30" a="1"/>
  <c r="Q11" i="26" a="1"/>
  <c r="R6" i="23" a="1"/>
  <c r="Q12" i="17" a="1"/>
  <c r="R10" i="32" a="1"/>
  <c r="P5" i="24" a="1"/>
  <c r="Q3" i="35" a="1"/>
  <c r="P2" i="27" a="1"/>
  <c r="R6" i="36" a="1"/>
  <c r="Q3" i="34" a="1"/>
  <c r="P10" i="40" a="1"/>
  <c r="Q5" i="26" a="1"/>
  <c r="Q4" i="21" a="1"/>
  <c r="Q10" i="33" a="1"/>
  <c r="P9" i="28" a="1"/>
  <c r="R10" i="34" a="1"/>
  <c r="P11" i="26" a="1"/>
  <c r="P3" i="30" a="1"/>
  <c r="R7" i="39" a="1"/>
  <c r="Q3" i="36" a="1"/>
  <c r="Q5" i="21" a="1"/>
  <c r="P10" i="37" a="1"/>
  <c r="R4" i="33" a="1"/>
  <c r="R11" i="38" a="1"/>
  <c r="R8" i="31" a="1"/>
  <c r="R2" i="37" a="1"/>
  <c r="R6" i="35" a="1"/>
  <c r="P10" i="19" a="1"/>
  <c r="R8" i="14" a="1"/>
  <c r="P10" i="23" a="1"/>
  <c r="P4" i="37" a="1"/>
  <c r="P5" i="34" a="1"/>
  <c r="R8" i="11" a="1"/>
  <c r="P3" i="11" a="1"/>
  <c r="Q10" i="14" a="1"/>
  <c r="P2" i="32" a="1"/>
  <c r="P12" i="37" a="1"/>
  <c r="Q10" i="41" a="1"/>
  <c r="P5" i="17" a="1"/>
  <c r="R4" i="37" a="1"/>
  <c r="Q3" i="40" a="1"/>
  <c r="Q10" i="26" a="1"/>
  <c r="P9" i="35" a="1"/>
  <c r="R7" i="16" a="1"/>
  <c r="P2" i="15" a="1"/>
  <c r="Q11" i="14" a="1"/>
  <c r="Q11" i="29" a="1"/>
  <c r="R7" i="43" a="1"/>
  <c r="R6" i="43" a="1"/>
  <c r="P9" i="33" a="1"/>
  <c r="R7" i="23" a="1"/>
  <c r="R10" i="40" a="1"/>
  <c r="Q12" i="27" a="1"/>
  <c r="P10" i="33" a="1"/>
  <c r="P12" i="24" a="1"/>
  <c r="R7" i="21" a="1"/>
  <c r="P9" i="14" a="1"/>
  <c r="R11" i="31" a="1"/>
  <c r="Q10" i="34" a="1"/>
  <c r="Q11" i="36" a="1"/>
  <c r="R4" i="17" a="1"/>
  <c r="R6" i="19" a="1"/>
  <c r="P9" i="37" a="1"/>
  <c r="Q12" i="21" a="1"/>
  <c r="P12" i="22" a="1"/>
  <c r="R3" i="20" a="1"/>
  <c r="R10" i="14" a="1"/>
  <c r="P11" i="34" a="1"/>
  <c r="R11" i="35" a="1"/>
  <c r="Q9" i="26" a="1"/>
  <c r="Q10" i="38" a="1"/>
  <c r="Q4" i="26" a="1"/>
  <c r="Q12" i="40" a="1"/>
  <c r="P12" i="35" a="1"/>
  <c r="P12" i="36" a="1"/>
  <c r="R3" i="43" a="1"/>
  <c r="P11" i="21" a="1"/>
  <c r="Q9" i="14" a="1"/>
  <c r="R3" i="28" a="1"/>
  <c r="Q3" i="14" a="1"/>
  <c r="Q9" i="41" a="1"/>
  <c r="P10" i="36" a="1"/>
  <c r="P4" i="15" a="1"/>
  <c r="R2" i="26" a="1"/>
  <c r="P11" i="28" a="1"/>
  <c r="P3" i="17" a="1"/>
  <c r="P2" i="39" a="1"/>
  <c r="Q3" i="17" a="1"/>
  <c r="P5" i="43" a="1"/>
  <c r="P11" i="27" a="1"/>
  <c r="R4" i="30" a="1"/>
  <c r="Q12" i="38" a="1"/>
  <c r="R10" i="22" a="1"/>
  <c r="P12" i="31" a="1"/>
  <c r="P11" i="17" a="1"/>
  <c r="R3" i="41" a="1"/>
  <c r="Q11" i="28" a="1"/>
  <c r="Q10" i="11" a="1"/>
  <c r="R10" i="43" a="1"/>
  <c r="P4" i="43" a="1"/>
  <c r="P5" i="27" a="1"/>
  <c r="R2" i="20" a="1"/>
  <c r="Q10" i="15" a="1"/>
  <c r="R8" i="24" a="1"/>
  <c r="R10" i="19" a="1"/>
  <c r="Q11" i="21" a="1"/>
  <c r="P10" i="16" a="1"/>
  <c r="R10" i="33" a="1"/>
  <c r="R6" i="11" a="1"/>
  <c r="Q4" i="20" a="1"/>
  <c r="R4" i="28" a="1"/>
  <c r="Q9" i="38" a="1"/>
  <c r="Q3" i="15" a="1"/>
  <c r="Q11" i="15" a="1"/>
  <c r="Q10" i="20" a="1"/>
  <c r="P2" i="30" a="1"/>
  <c r="R11" i="28" a="1"/>
  <c r="Q5" i="41" a="1"/>
  <c r="Q4" i="34" a="1"/>
  <c r="R6" i="38" a="1"/>
  <c r="Q10" i="16" a="1"/>
  <c r="P9" i="43" a="1"/>
  <c r="R6" i="30" a="1"/>
  <c r="R7" i="34" a="1"/>
  <c r="P2" i="16" a="1"/>
  <c r="R8" i="33" a="1"/>
  <c r="R3" i="32" a="1"/>
  <c r="Q9" i="18" a="1"/>
  <c r="R11" i="32" a="1"/>
  <c r="Q12" i="37" a="1"/>
  <c r="R8" i="28" a="1"/>
  <c r="R8" i="22" a="1"/>
  <c r="Q3" i="21" a="1"/>
  <c r="R8" i="17" a="1"/>
  <c r="R8" i="39" a="1"/>
  <c r="Q3" i="16" a="1"/>
  <c r="Q12" i="24" a="1"/>
  <c r="P3" i="32" a="1"/>
  <c r="Q3" i="11" a="1"/>
  <c r="R4" i="35" a="1"/>
  <c r="R10" i="26" a="1"/>
  <c r="Q9" i="19" a="1"/>
  <c r="R4" i="14" a="1"/>
  <c r="Q4" i="36" a="1"/>
  <c r="P11" i="40" a="1"/>
  <c r="P2" i="28" a="1"/>
  <c r="R4" i="11" a="1"/>
  <c r="P10" i="31" a="1"/>
  <c r="P4" i="39" a="1"/>
  <c r="Q4" i="27" a="1"/>
  <c r="P10" i="30" a="1"/>
  <c r="P11" i="15" a="1"/>
  <c r="P11" i="42" a="1"/>
  <c r="P3" i="43" a="1"/>
  <c r="R6" i="17" a="1"/>
  <c r="Q5" i="16" a="1"/>
  <c r="Q5" i="40" a="1"/>
  <c r="Q11" i="33" a="1"/>
  <c r="R10" i="39" a="1"/>
  <c r="P10" i="43" a="1"/>
  <c r="Q4" i="35" a="1"/>
  <c r="P4" i="40" a="1"/>
  <c r="Q3" i="27" a="1"/>
  <c r="P3" i="36" a="1"/>
  <c r="Q3" i="23" a="1"/>
  <c r="Q3" i="41" a="1"/>
  <c r="R3" i="36" a="1"/>
  <c r="R4" i="23" a="1"/>
  <c r="P12" i="28" a="1"/>
  <c r="R3" i="29" a="1"/>
  <c r="R3" i="26" a="1"/>
  <c r="R4" i="15" a="1"/>
  <c r="P4" i="18" a="1"/>
  <c r="R11" i="27" a="1"/>
  <c r="Q11" i="43" a="1"/>
  <c r="P2" i="33" a="1"/>
  <c r="Q9" i="11" a="1"/>
  <c r="Q12" i="32" a="1"/>
  <c r="Q11" i="24" a="1"/>
  <c r="R4" i="19" a="1"/>
  <c r="R10" i="36" a="1"/>
  <c r="R3" i="39" a="1"/>
  <c r="P12" i="21" a="1"/>
  <c r="P4" i="21" a="1"/>
  <c r="Q5" i="28" a="1"/>
  <c r="Q5" i="39" a="1"/>
  <c r="R3" i="31" a="1"/>
  <c r="Q12" i="16" a="1"/>
  <c r="P9" i="27" a="1"/>
  <c r="Q11" i="17" a="1"/>
  <c r="R6" i="20" a="1"/>
  <c r="P12" i="30" a="1"/>
  <c r="P2" i="43" a="1"/>
  <c r="P12" i="19" a="1"/>
  <c r="P9" i="41" a="1"/>
  <c r="Q9" i="24" a="1"/>
  <c r="P9" i="31" a="1"/>
  <c r="R11" i="19" a="1"/>
  <c r="Q10" i="37" a="1"/>
  <c r="R6" i="32" a="1"/>
  <c r="R2" i="17" a="1"/>
  <c r="Q12" i="20" a="1"/>
  <c r="P5" i="14" a="1"/>
  <c r="R11" i="11" a="1"/>
  <c r="P10" i="29" a="1"/>
  <c r="R3" i="30" a="1"/>
  <c r="R11" i="26" a="1"/>
  <c r="R6" i="34" a="1"/>
  <c r="R7" i="42" a="1"/>
  <c r="P3" i="35" a="1"/>
  <c r="P2" i="26" a="1"/>
  <c r="R2" i="21" a="1"/>
  <c r="P2" i="18" a="1"/>
  <c r="P12" i="33" a="1"/>
  <c r="R2" i="43" a="1"/>
  <c r="R4" i="24" a="1"/>
  <c r="R4" i="29" a="1"/>
  <c r="P5" i="31" a="1"/>
  <c r="R3" i="37" a="1"/>
  <c r="Q12" i="26" a="1"/>
  <c r="P2" i="35" a="1"/>
  <c r="P10" i="35" a="1"/>
  <c r="P9" i="24" a="1"/>
  <c r="R11" i="20" a="1"/>
  <c r="Q5" i="37" a="1"/>
  <c r="Q11" i="16" a="1"/>
  <c r="P4" i="19" a="1"/>
  <c r="Q3" i="20" a="1"/>
  <c r="R8" i="26" a="1"/>
  <c r="Q3" i="26" a="1"/>
  <c r="P4" i="31" a="1"/>
  <c r="Q11" i="42" l="1"/>
  <c r="P4" i="41"/>
  <c r="Q11" i="40"/>
  <c r="P4" i="16"/>
  <c r="P11" i="16"/>
  <c r="P3" i="38"/>
  <c r="P11" i="38"/>
  <c r="R7" i="37"/>
  <c r="P2" i="35"/>
  <c r="Q10" i="34"/>
  <c r="R3" i="38"/>
  <c r="Q11" i="38"/>
  <c r="P9" i="37"/>
  <c r="R11" i="35"/>
  <c r="Q11" i="34"/>
  <c r="R2" i="43"/>
  <c r="P10" i="43"/>
  <c r="R2" i="42"/>
  <c r="R11" i="42"/>
  <c r="Q4" i="41"/>
  <c r="P10" i="41"/>
  <c r="R2" i="40"/>
  <c r="R11" i="40"/>
  <c r="R4" i="16"/>
  <c r="Q11" i="16"/>
  <c r="P3" i="20"/>
  <c r="P12" i="20"/>
  <c r="R4" i="43"/>
  <c r="Q10" i="43"/>
  <c r="P3" i="42"/>
  <c r="P12" i="42"/>
  <c r="R4" i="41"/>
  <c r="Q10" i="41"/>
  <c r="P3" i="40"/>
  <c r="P12" i="40"/>
  <c r="Q5" i="16"/>
  <c r="P12" i="16"/>
  <c r="P4" i="38"/>
  <c r="P12" i="38"/>
  <c r="P10" i="37"/>
  <c r="Q12" i="35"/>
  <c r="R11" i="33"/>
  <c r="Q3" i="32"/>
  <c r="Q5" i="43"/>
  <c r="P11" i="43"/>
  <c r="R3" i="42"/>
  <c r="Q5" i="41"/>
  <c r="P11" i="41"/>
  <c r="R3" i="40"/>
  <c r="R4" i="38"/>
  <c r="P2" i="37"/>
  <c r="Q10" i="37"/>
  <c r="P4" i="35"/>
  <c r="Q12" i="33"/>
  <c r="P4" i="20"/>
  <c r="R11" i="43"/>
  <c r="Q4" i="42"/>
  <c r="Q11" i="20"/>
  <c r="P4" i="43"/>
  <c r="R2" i="20"/>
  <c r="R11" i="20"/>
  <c r="Q4" i="43"/>
  <c r="R3" i="20"/>
  <c r="Q9" i="20"/>
  <c r="P2" i="43"/>
  <c r="Q9" i="42"/>
  <c r="P2" i="41"/>
  <c r="Q9" i="40"/>
  <c r="P2" i="16"/>
  <c r="Q10" i="39"/>
  <c r="Q5" i="38"/>
  <c r="Q4" i="35"/>
  <c r="P3" i="33"/>
  <c r="Q11" i="41"/>
  <c r="P4" i="40"/>
  <c r="P3" i="39"/>
  <c r="P11" i="39"/>
  <c r="Q9" i="36"/>
  <c r="P5" i="35"/>
  <c r="Q4" i="34"/>
  <c r="Q3" i="33"/>
  <c r="P4" i="37"/>
  <c r="R4" i="18"/>
  <c r="R6" i="35"/>
  <c r="R4" i="34"/>
  <c r="R4" i="20"/>
  <c r="Q10" i="20"/>
  <c r="P3" i="43"/>
  <c r="P12" i="43"/>
  <c r="R4" i="42"/>
  <c r="Q10" i="42"/>
  <c r="P3" i="41"/>
  <c r="P12" i="41"/>
  <c r="R4" i="40"/>
  <c r="Q10" i="40"/>
  <c r="P3" i="16"/>
  <c r="Q9" i="16"/>
  <c r="P4" i="39"/>
  <c r="P12" i="39"/>
  <c r="Q4" i="37"/>
  <c r="R7" i="35"/>
  <c r="P10" i="20"/>
  <c r="R11" i="41"/>
  <c r="Q4" i="40"/>
  <c r="P10" i="40"/>
  <c r="R2" i="16"/>
  <c r="R3" i="39"/>
  <c r="Q11" i="39"/>
  <c r="Q5" i="20"/>
  <c r="P11" i="20"/>
  <c r="R3" i="43"/>
  <c r="Q5" i="42"/>
  <c r="P11" i="42"/>
  <c r="R3" i="41"/>
  <c r="Q5" i="40"/>
  <c r="P11" i="40"/>
  <c r="R3" i="16"/>
  <c r="R4" i="39"/>
  <c r="P5" i="37"/>
  <c r="P3" i="36"/>
  <c r="Q11" i="36"/>
  <c r="P9" i="35"/>
  <c r="R8" i="34"/>
  <c r="P9" i="18"/>
  <c r="R4" i="31"/>
  <c r="Q11" i="43"/>
  <c r="P4" i="42"/>
  <c r="Q4" i="20"/>
  <c r="P10" i="42"/>
  <c r="R2" i="41"/>
  <c r="P2" i="20"/>
  <c r="Q9" i="43"/>
  <c r="P2" i="42"/>
  <c r="Q9" i="41"/>
  <c r="P2" i="40"/>
  <c r="Q10" i="16"/>
  <c r="Q5" i="39"/>
  <c r="Q10" i="38"/>
  <c r="R6" i="37"/>
  <c r="Q3" i="36"/>
  <c r="P12" i="36"/>
  <c r="P9" i="34"/>
  <c r="Q10" i="18"/>
  <c r="P9" i="31"/>
  <c r="R11" i="32"/>
  <c r="Q10" i="31"/>
  <c r="R8" i="20"/>
  <c r="P9" i="20"/>
  <c r="P9" i="43"/>
  <c r="P9" i="42"/>
  <c r="P9" i="41"/>
  <c r="P9" i="40"/>
  <c r="P9" i="16"/>
  <c r="P9" i="39"/>
  <c r="P9" i="38"/>
  <c r="R11" i="37"/>
  <c r="R4" i="36"/>
  <c r="R8" i="36"/>
  <c r="R10" i="36"/>
  <c r="P10" i="35"/>
  <c r="P4" i="34"/>
  <c r="P5" i="33"/>
  <c r="P10" i="33"/>
  <c r="P4" i="18"/>
  <c r="P5" i="32"/>
  <c r="P10" i="32"/>
  <c r="P4" i="31"/>
  <c r="P5" i="30"/>
  <c r="P10" i="30"/>
  <c r="Q11" i="29"/>
  <c r="P4" i="28"/>
  <c r="R2" i="27"/>
  <c r="R8" i="27"/>
  <c r="Q4" i="18"/>
  <c r="R8" i="18"/>
  <c r="Q11" i="18"/>
  <c r="P3" i="32"/>
  <c r="Q12" i="32"/>
  <c r="Q4" i="31"/>
  <c r="R8" i="31"/>
  <c r="Q11" i="31"/>
  <c r="P3" i="30"/>
  <c r="R2" i="29"/>
  <c r="R11" i="29"/>
  <c r="Q4" i="28"/>
  <c r="P10" i="28"/>
  <c r="P4" i="26"/>
  <c r="P2" i="39"/>
  <c r="Q9" i="39"/>
  <c r="P2" i="38"/>
  <c r="Q9" i="38"/>
  <c r="P12" i="37"/>
  <c r="P5" i="36"/>
  <c r="P9" i="36"/>
  <c r="Q10" i="35"/>
  <c r="R11" i="34"/>
  <c r="Q10" i="33"/>
  <c r="R11" i="18"/>
  <c r="Q10" i="32"/>
  <c r="R11" i="31"/>
  <c r="Q10" i="30"/>
  <c r="R7" i="29"/>
  <c r="P10" i="27"/>
  <c r="Q4" i="26"/>
  <c r="Q3" i="30"/>
  <c r="P3" i="29"/>
  <c r="P12" i="29"/>
  <c r="R4" i="28"/>
  <c r="Q10" i="28"/>
  <c r="P4" i="27"/>
  <c r="R7" i="15"/>
  <c r="R7" i="24"/>
  <c r="R7" i="22"/>
  <c r="R6" i="20"/>
  <c r="R6" i="43"/>
  <c r="R6" i="42"/>
  <c r="R6" i="41"/>
  <c r="R6" i="40"/>
  <c r="R6" i="16"/>
  <c r="R6" i="39"/>
  <c r="R6" i="38"/>
  <c r="R2" i="37"/>
  <c r="Q12" i="37"/>
  <c r="R2" i="35"/>
  <c r="R10" i="35"/>
  <c r="R2" i="34"/>
  <c r="P12" i="34"/>
  <c r="R7" i="33"/>
  <c r="R10" i="33"/>
  <c r="R2" i="18"/>
  <c r="P12" i="18"/>
  <c r="R7" i="32"/>
  <c r="R10" i="32"/>
  <c r="R2" i="31"/>
  <c r="P12" i="31"/>
  <c r="R7" i="30"/>
  <c r="R8" i="29"/>
  <c r="Q4" i="27"/>
  <c r="P10" i="38"/>
  <c r="R11" i="36"/>
  <c r="R4" i="35"/>
  <c r="R8" i="35"/>
  <c r="P5" i="34"/>
  <c r="P10" i="34"/>
  <c r="P4" i="33"/>
  <c r="P5" i="18"/>
  <c r="P10" i="18"/>
  <c r="P4" i="32"/>
  <c r="P5" i="31"/>
  <c r="P10" i="31"/>
  <c r="P4" i="30"/>
  <c r="Q11" i="30"/>
  <c r="P4" i="29"/>
  <c r="Q11" i="28"/>
  <c r="Q11" i="27"/>
  <c r="Q4" i="16"/>
  <c r="P10" i="16"/>
  <c r="R11" i="16"/>
  <c r="R2" i="39"/>
  <c r="Q4" i="39"/>
  <c r="P10" i="39"/>
  <c r="R11" i="39"/>
  <c r="R2" i="38"/>
  <c r="Q4" i="38"/>
  <c r="R11" i="38"/>
  <c r="R4" i="37"/>
  <c r="R8" i="37"/>
  <c r="R10" i="37"/>
  <c r="R7" i="20"/>
  <c r="R7" i="43"/>
  <c r="R7" i="42"/>
  <c r="R7" i="41"/>
  <c r="R7" i="40"/>
  <c r="R7" i="16"/>
  <c r="R7" i="39"/>
  <c r="G3" i="39" s="1"/>
  <c r="R7" i="38"/>
  <c r="P3" i="37"/>
  <c r="P2" i="36"/>
  <c r="P4" i="36"/>
  <c r="R6" i="36"/>
  <c r="P10" i="36"/>
  <c r="P3" i="35"/>
  <c r="Q11" i="35"/>
  <c r="P3" i="34"/>
  <c r="Q12" i="34"/>
  <c r="Q4" i="33"/>
  <c r="R8" i="33"/>
  <c r="Q11" i="33"/>
  <c r="P3" i="18"/>
  <c r="Q12" i="18"/>
  <c r="Q4" i="32"/>
  <c r="R8" i="32"/>
  <c r="Q11" i="32"/>
  <c r="P3" i="31"/>
  <c r="Q12" i="31"/>
  <c r="Q4" i="30"/>
  <c r="R8" i="30"/>
  <c r="R11" i="30"/>
  <c r="Q4" i="29"/>
  <c r="P10" i="29"/>
  <c r="R2" i="28"/>
  <c r="R11" i="28"/>
  <c r="R11" i="27"/>
  <c r="R7" i="26"/>
  <c r="R7" i="28"/>
  <c r="R8" i="43"/>
  <c r="R8" i="42"/>
  <c r="R8" i="41"/>
  <c r="R8" i="40"/>
  <c r="R8" i="16"/>
  <c r="R8" i="39"/>
  <c r="R8" i="38"/>
  <c r="Q3" i="37"/>
  <c r="Q9" i="37"/>
  <c r="Q11" i="37"/>
  <c r="Q4" i="36"/>
  <c r="R7" i="36"/>
  <c r="Q10" i="36"/>
  <c r="Q3" i="35"/>
  <c r="Q3" i="34"/>
  <c r="R4" i="33"/>
  <c r="P9" i="33"/>
  <c r="Q3" i="18"/>
  <c r="R4" i="32"/>
  <c r="P9" i="32"/>
  <c r="Q3" i="31"/>
  <c r="R4" i="30"/>
  <c r="P9" i="30"/>
  <c r="P12" i="30"/>
  <c r="R4" i="29"/>
  <c r="Q10" i="29"/>
  <c r="P3" i="28"/>
  <c r="P10" i="26"/>
  <c r="R7" i="14"/>
  <c r="R7" i="23"/>
  <c r="R7" i="21"/>
  <c r="Q3" i="20"/>
  <c r="P5" i="20"/>
  <c r="R10" i="20"/>
  <c r="Q12" i="20"/>
  <c r="Q3" i="43"/>
  <c r="P5" i="43"/>
  <c r="R10" i="43"/>
  <c r="Q12" i="43"/>
  <c r="Q3" i="42"/>
  <c r="P5" i="42"/>
  <c r="R10" i="42"/>
  <c r="Q12" i="42"/>
  <c r="Q3" i="41"/>
  <c r="P5" i="41"/>
  <c r="R10" i="41"/>
  <c r="Q12" i="41"/>
  <c r="Q3" i="40"/>
  <c r="P5" i="40"/>
  <c r="R10" i="40"/>
  <c r="Q12" i="40"/>
  <c r="Q3" i="16"/>
  <c r="P5" i="16"/>
  <c r="R10" i="16"/>
  <c r="Q12" i="16"/>
  <c r="Q3" i="39"/>
  <c r="P5" i="39"/>
  <c r="R10" i="39"/>
  <c r="Q12" i="39"/>
  <c r="Q3" i="38"/>
  <c r="P5" i="38"/>
  <c r="R10" i="38"/>
  <c r="Q12" i="38"/>
  <c r="R2" i="36"/>
  <c r="Q12" i="36"/>
  <c r="P12" i="35"/>
  <c r="R7" i="34"/>
  <c r="R10" i="34"/>
  <c r="R2" i="33"/>
  <c r="P12" i="33"/>
  <c r="R7" i="18"/>
  <c r="R10" i="18"/>
  <c r="R2" i="32"/>
  <c r="P12" i="32"/>
  <c r="R7" i="31"/>
  <c r="R10" i="31"/>
  <c r="R2" i="30"/>
  <c r="R8" i="28"/>
  <c r="R7" i="27"/>
  <c r="R2" i="26"/>
  <c r="Q9" i="35"/>
  <c r="P2" i="34"/>
  <c r="Q9" i="34"/>
  <c r="P2" i="33"/>
  <c r="Q9" i="33"/>
  <c r="P2" i="18"/>
  <c r="Q9" i="18"/>
  <c r="P2" i="32"/>
  <c r="Q9" i="32"/>
  <c r="P2" i="31"/>
  <c r="Q9" i="31"/>
  <c r="P2" i="30"/>
  <c r="Q9" i="30"/>
  <c r="P2" i="29"/>
  <c r="Q9" i="29"/>
  <c r="P2" i="28"/>
  <c r="Q9" i="28"/>
  <c r="P2" i="27"/>
  <c r="Q9" i="27"/>
  <c r="P2" i="26"/>
  <c r="Q9" i="26"/>
  <c r="P2" i="15"/>
  <c r="Q9" i="15"/>
  <c r="P2" i="14"/>
  <c r="Q9" i="14"/>
  <c r="P2" i="24"/>
  <c r="Q9" i="24"/>
  <c r="P2" i="23"/>
  <c r="Q9" i="23"/>
  <c r="P2" i="22"/>
  <c r="Q9" i="22"/>
  <c r="P2" i="21"/>
  <c r="Q9" i="21"/>
  <c r="P2" i="11"/>
  <c r="Q9" i="11"/>
  <c r="P2" i="17"/>
  <c r="Q9" i="17"/>
  <c r="Q11" i="26"/>
  <c r="P4" i="15"/>
  <c r="Q11" i="15"/>
  <c r="P4" i="14"/>
  <c r="Q11" i="14"/>
  <c r="P4" i="24"/>
  <c r="Q11" i="24"/>
  <c r="P4" i="23"/>
  <c r="Q11" i="23"/>
  <c r="P4" i="22"/>
  <c r="Q11" i="22"/>
  <c r="P4" i="21"/>
  <c r="Q11" i="21"/>
  <c r="P4" i="11"/>
  <c r="Q11" i="11"/>
  <c r="P4" i="17"/>
  <c r="Q11" i="17"/>
  <c r="R6" i="34"/>
  <c r="R6" i="33"/>
  <c r="R6" i="18"/>
  <c r="R6" i="32"/>
  <c r="R6" i="31"/>
  <c r="R6" i="30"/>
  <c r="R6" i="29"/>
  <c r="R6" i="28"/>
  <c r="R6" i="27"/>
  <c r="R6" i="26"/>
  <c r="R6" i="15"/>
  <c r="R6" i="14"/>
  <c r="R6" i="24"/>
  <c r="R6" i="23"/>
  <c r="R6" i="22"/>
  <c r="R6" i="21"/>
  <c r="R6" i="11"/>
  <c r="R6" i="17"/>
  <c r="R11" i="26"/>
  <c r="R2" i="15"/>
  <c r="Q4" i="15"/>
  <c r="P10" i="15"/>
  <c r="R11" i="15"/>
  <c r="R2" i="14"/>
  <c r="Q4" i="14"/>
  <c r="P10" i="14"/>
  <c r="R11" i="14"/>
  <c r="R2" i="24"/>
  <c r="Q4" i="24"/>
  <c r="P10" i="24"/>
  <c r="R11" i="24"/>
  <c r="R2" i="23"/>
  <c r="Q4" i="23"/>
  <c r="P10" i="23"/>
  <c r="R11" i="23"/>
  <c r="R2" i="22"/>
  <c r="Q4" i="22"/>
  <c r="P10" i="22"/>
  <c r="R11" i="22"/>
  <c r="R2" i="21"/>
  <c r="Q4" i="21"/>
  <c r="P10" i="21"/>
  <c r="R11" i="21"/>
  <c r="R2" i="11"/>
  <c r="Q4" i="11"/>
  <c r="P10" i="11"/>
  <c r="R11" i="11"/>
  <c r="R2" i="17"/>
  <c r="Q4" i="17"/>
  <c r="P10" i="17"/>
  <c r="R11" i="17"/>
  <c r="R7" i="11"/>
  <c r="R7" i="17"/>
  <c r="P12" i="28"/>
  <c r="P3" i="27"/>
  <c r="R4" i="27"/>
  <c r="Q10" i="27"/>
  <c r="P12" i="27"/>
  <c r="P3" i="26"/>
  <c r="R4" i="26"/>
  <c r="Q10" i="26"/>
  <c r="P12" i="26"/>
  <c r="P3" i="15"/>
  <c r="R4" i="15"/>
  <c r="Q10" i="15"/>
  <c r="P12" i="15"/>
  <c r="P3" i="14"/>
  <c r="R4" i="14"/>
  <c r="Q10" i="14"/>
  <c r="P12" i="14"/>
  <c r="P3" i="24"/>
  <c r="R4" i="24"/>
  <c r="Q10" i="24"/>
  <c r="P12" i="24"/>
  <c r="P3" i="23"/>
  <c r="R4" i="23"/>
  <c r="Q10" i="23"/>
  <c r="P12" i="23"/>
  <c r="P3" i="22"/>
  <c r="R4" i="22"/>
  <c r="Q10" i="22"/>
  <c r="P12" i="22"/>
  <c r="P3" i="21"/>
  <c r="R4" i="21"/>
  <c r="Q10" i="21"/>
  <c r="P12" i="21"/>
  <c r="P3" i="11"/>
  <c r="R4" i="11"/>
  <c r="Q10" i="11"/>
  <c r="P12" i="11"/>
  <c r="P3" i="17"/>
  <c r="R4" i="17"/>
  <c r="Q10" i="17"/>
  <c r="P12" i="17"/>
  <c r="R8" i="26"/>
  <c r="R8" i="15"/>
  <c r="R8" i="14"/>
  <c r="R8" i="24"/>
  <c r="R8" i="23"/>
  <c r="R8" i="22"/>
  <c r="R8" i="21"/>
  <c r="R8" i="11"/>
  <c r="R8" i="17"/>
  <c r="R10" i="30"/>
  <c r="Q12" i="30"/>
  <c r="Q3" i="29"/>
  <c r="P5" i="29"/>
  <c r="R10" i="29"/>
  <c r="Q12" i="29"/>
  <c r="Q3" i="28"/>
  <c r="P5" i="28"/>
  <c r="R10" i="28"/>
  <c r="Q12" i="28"/>
  <c r="Q3" i="27"/>
  <c r="P5" i="27"/>
  <c r="R10" i="27"/>
  <c r="Q12" i="27"/>
  <c r="Q3" i="26"/>
  <c r="P5" i="26"/>
  <c r="R10" i="26"/>
  <c r="Q12" i="26"/>
  <c r="Q3" i="15"/>
  <c r="P5" i="15"/>
  <c r="R10" i="15"/>
  <c r="Q12" i="15"/>
  <c r="Q3" i="14"/>
  <c r="P5" i="14"/>
  <c r="R10" i="14"/>
  <c r="Q12" i="14"/>
  <c r="Q3" i="24"/>
  <c r="P5" i="24"/>
  <c r="R10" i="24"/>
  <c r="Q12" i="24"/>
  <c r="Q3" i="23"/>
  <c r="P5" i="23"/>
  <c r="R10" i="23"/>
  <c r="Q12" i="23"/>
  <c r="Q3" i="22"/>
  <c r="P5" i="22"/>
  <c r="R10" i="22"/>
  <c r="Q12" i="22"/>
  <c r="Q3" i="21"/>
  <c r="P5" i="21"/>
  <c r="R10" i="21"/>
  <c r="Q12" i="21"/>
  <c r="Q3" i="11"/>
  <c r="P5" i="11"/>
  <c r="R10" i="11"/>
  <c r="Q12" i="11"/>
  <c r="Q3" i="17"/>
  <c r="P5" i="17"/>
  <c r="R10" i="17"/>
  <c r="Q12" i="17"/>
  <c r="P9" i="29"/>
  <c r="P9" i="28"/>
  <c r="P9" i="27"/>
  <c r="P9" i="26"/>
  <c r="P9" i="15"/>
  <c r="P9" i="14"/>
  <c r="P9" i="24"/>
  <c r="P9" i="23"/>
  <c r="P9" i="22"/>
  <c r="P9" i="21"/>
  <c r="P9" i="11"/>
  <c r="P9" i="17"/>
  <c r="R3" i="37"/>
  <c r="Q5" i="37"/>
  <c r="P11" i="37"/>
  <c r="R3" i="36"/>
  <c r="Q5" i="36"/>
  <c r="P11" i="36"/>
  <c r="R3" i="35"/>
  <c r="Q5" i="35"/>
  <c r="P11" i="35"/>
  <c r="R3" i="34"/>
  <c r="Q5" i="34"/>
  <c r="P11" i="34"/>
  <c r="R3" i="33"/>
  <c r="Q5" i="33"/>
  <c r="P11" i="33"/>
  <c r="R3" i="18"/>
  <c r="Q5" i="18"/>
  <c r="P11" i="18"/>
  <c r="R3" i="32"/>
  <c r="Q5" i="32"/>
  <c r="P11" i="32"/>
  <c r="R3" i="31"/>
  <c r="Q5" i="31"/>
  <c r="P11" i="31"/>
  <c r="R3" i="30"/>
  <c r="Q5" i="30"/>
  <c r="P11" i="30"/>
  <c r="R3" i="29"/>
  <c r="Q5" i="29"/>
  <c r="P11" i="29"/>
  <c r="R3" i="28"/>
  <c r="Q5" i="28"/>
  <c r="P11" i="28"/>
  <c r="R3" i="27"/>
  <c r="Q5" i="27"/>
  <c r="P11" i="27"/>
  <c r="R3" i="26"/>
  <c r="Q5" i="26"/>
  <c r="P11" i="26"/>
  <c r="R3" i="15"/>
  <c r="Q5" i="15"/>
  <c r="P11" i="15"/>
  <c r="R3" i="14"/>
  <c r="Q5" i="14"/>
  <c r="P11" i="14"/>
  <c r="R3" i="24"/>
  <c r="Q5" i="24"/>
  <c r="P11" i="24"/>
  <c r="R3" i="23"/>
  <c r="Q5" i="23"/>
  <c r="P11" i="23"/>
  <c r="R3" i="22"/>
  <c r="Q5" i="22"/>
  <c r="P11" i="22"/>
  <c r="R3" i="21"/>
  <c r="Q5" i="21"/>
  <c r="P11" i="21"/>
  <c r="R3" i="11"/>
  <c r="Q5" i="11"/>
  <c r="P11" i="11"/>
  <c r="R3" i="17"/>
  <c r="Q5" i="17"/>
  <c r="P11" i="17"/>
  <c r="Q12" i="19"/>
  <c r="P12" i="19"/>
  <c r="Q11" i="19"/>
  <c r="P11" i="19"/>
  <c r="Q10" i="19"/>
  <c r="P10" i="19"/>
  <c r="R11" i="19"/>
  <c r="Q9" i="19"/>
  <c r="P9" i="19"/>
  <c r="Q5" i="19"/>
  <c r="P5" i="19"/>
  <c r="Q4" i="19"/>
  <c r="P4" i="19"/>
  <c r="Q3" i="19"/>
  <c r="P3" i="19"/>
  <c r="P2" i="19"/>
  <c r="R10" i="19"/>
  <c r="R8" i="19"/>
  <c r="R7" i="19"/>
  <c r="R6" i="19"/>
  <c r="R4" i="19"/>
  <c r="R3" i="19"/>
  <c r="R2" i="19"/>
  <c r="F5" i="11" l="1"/>
  <c r="F5" i="36"/>
  <c r="F5" i="39"/>
  <c r="F3" i="39" s="1"/>
  <c r="H3" i="39" s="1"/>
  <c r="F5" i="26"/>
  <c r="F5" i="16"/>
  <c r="F5" i="37"/>
  <c r="F5" i="29"/>
  <c r="F5" i="27"/>
  <c r="F5" i="15"/>
  <c r="F5" i="34"/>
  <c r="F5" i="40"/>
  <c r="F5" i="19"/>
  <c r="F5" i="17"/>
  <c r="F5" i="28"/>
  <c r="F5" i="41"/>
  <c r="F5" i="42"/>
  <c r="F5" i="21"/>
  <c r="F5" i="30"/>
  <c r="F5" i="43"/>
  <c r="F5" i="22"/>
  <c r="F5" i="31"/>
  <c r="F5" i="20"/>
  <c r="F5" i="35"/>
  <c r="F5" i="23"/>
  <c r="F5" i="32"/>
  <c r="F5" i="24"/>
  <c r="F5" i="18"/>
  <c r="F5" i="14"/>
  <c r="F5" i="33"/>
  <c r="F5" i="38"/>
  <c r="H4" i="39"/>
  <c r="H4" i="18"/>
  <c r="R9" i="17"/>
  <c r="R9" i="23"/>
  <c r="R9" i="32"/>
  <c r="R9" i="15"/>
  <c r="R9" i="18"/>
  <c r="R9" i="14"/>
  <c r="J19" i="14" s="1"/>
  <c r="K19" i="14" s="1"/>
  <c r="R9" i="36"/>
  <c r="R9" i="39"/>
  <c r="R9" i="34"/>
  <c r="J19" i="34" s="1"/>
  <c r="K19" i="34" s="1"/>
  <c r="R9" i="26"/>
  <c r="R9" i="16"/>
  <c r="R9" i="37"/>
  <c r="J19" i="37" s="1"/>
  <c r="R9" i="27"/>
  <c r="R9" i="40"/>
  <c r="R9" i="41"/>
  <c r="J19" i="41" s="1"/>
  <c r="K19" i="41" s="1"/>
  <c r="R9" i="11"/>
  <c r="R9" i="29"/>
  <c r="R9" i="42"/>
  <c r="R9" i="21"/>
  <c r="R9" i="30"/>
  <c r="R9" i="43"/>
  <c r="R9" i="28"/>
  <c r="R9" i="22"/>
  <c r="R9" i="31"/>
  <c r="R9" i="20"/>
  <c r="R9" i="35"/>
  <c r="R9" i="24"/>
  <c r="R9" i="33"/>
  <c r="R9" i="38"/>
  <c r="C2" i="35"/>
  <c r="H5" i="39" l="1"/>
  <c r="D2" i="35"/>
  <c r="M2" i="35" s="1"/>
  <c r="Q2" i="35" s="1"/>
  <c r="O2" i="35" l="1"/>
  <c r="S2" i="35" s="1"/>
  <c r="F3" i="35" l="1"/>
  <c r="I6" i="35"/>
  <c r="M6" i="35" s="1"/>
  <c r="O6" i="35" s="1"/>
  <c r="G3" i="35" l="1"/>
  <c r="H3" i="35" s="1"/>
  <c r="I7" i="35"/>
  <c r="M7" i="35" s="1"/>
  <c r="O7" i="35" s="1"/>
  <c r="S6" i="35"/>
  <c r="I8" i="35" l="1"/>
  <c r="M8" i="35" s="1"/>
  <c r="S7" i="35"/>
  <c r="M3" i="35" l="1"/>
  <c r="O8" i="35"/>
  <c r="S8" i="35" s="1"/>
  <c r="O3" i="35" l="1"/>
  <c r="S3" i="35" s="1"/>
  <c r="L10" i="35" l="1"/>
  <c r="M10" i="35" l="1"/>
  <c r="O10" i="35" s="1"/>
  <c r="S10" i="35" l="1"/>
  <c r="L11" i="35"/>
  <c r="M11" i="35" l="1"/>
  <c r="O11" i="35" s="1"/>
  <c r="S11" i="35" s="1"/>
  <c r="R12" i="35"/>
  <c r="B17" i="35"/>
  <c r="M17" i="35" s="1"/>
  <c r="S17" i="35" s="1"/>
  <c r="C18" i="35"/>
  <c r="C13" i="35" s="1"/>
  <c r="C19" i="35" s="1"/>
  <c r="D18" i="35"/>
  <c r="D13" i="35" s="1"/>
  <c r="F18" i="35"/>
  <c r="F13" i="35" s="1"/>
  <c r="F19" i="35" s="1"/>
  <c r="G18" i="35"/>
  <c r="G13" i="35" s="1"/>
  <c r="G19" i="35" s="1"/>
  <c r="I18" i="35"/>
  <c r="I13" i="35" s="1"/>
  <c r="I19" i="35" s="1"/>
  <c r="L18" i="35"/>
  <c r="J19" i="35"/>
  <c r="J9" i="35" s="1"/>
  <c r="D19" i="35" l="1"/>
  <c r="B18" i="35"/>
  <c r="B13" i="35" s="1"/>
  <c r="B19" i="35" s="1"/>
  <c r="K19" i="35"/>
  <c r="K9" i="35" s="1"/>
  <c r="K18" i="35" s="1"/>
  <c r="K14" i="35" s="1"/>
  <c r="L14" i="35"/>
  <c r="L19" i="35" s="1"/>
  <c r="R17" i="35"/>
  <c r="N12" i="35"/>
  <c r="S12" i="35" s="1"/>
  <c r="J18" i="35"/>
  <c r="J14" i="35" s="1"/>
  <c r="M9" i="35" l="1"/>
  <c r="O9" i="35" s="1"/>
  <c r="S9" i="35" s="1"/>
  <c r="M14" i="35"/>
  <c r="E15" i="35"/>
  <c r="H5" i="35" s="1"/>
  <c r="H4" i="35" s="1"/>
  <c r="M15" i="35" l="1"/>
  <c r="S15" i="35" l="1"/>
  <c r="R15" i="35"/>
  <c r="M5" i="35"/>
  <c r="R5" i="35" l="1"/>
  <c r="E18" i="35" s="1"/>
  <c r="M4" i="35"/>
  <c r="H18" i="35"/>
  <c r="H13" i="35" s="1"/>
  <c r="H19" i="35" s="1"/>
  <c r="S5" i="35"/>
  <c r="E13" i="35" l="1"/>
  <c r="E19" i="35" s="1"/>
  <c r="E16" i="35"/>
  <c r="M18" i="35"/>
  <c r="O4" i="35"/>
  <c r="S4" i="35" s="1"/>
  <c r="N14" i="35" l="1"/>
  <c r="M16" i="35"/>
  <c r="M13" i="35"/>
  <c r="R18" i="35"/>
  <c r="S18" i="35"/>
  <c r="R13" i="35" l="1"/>
  <c r="S13" i="35"/>
  <c r="S16" i="35"/>
  <c r="R16" i="35"/>
  <c r="R14" i="35"/>
  <c r="S14" i="35"/>
  <c r="C2" i="20"/>
  <c r="D2" i="20" l="1"/>
  <c r="M2" i="20" s="1"/>
  <c r="Q2" i="20" s="1"/>
  <c r="I6" i="20" l="1"/>
  <c r="M6" i="20" s="1"/>
  <c r="O6" i="20" s="1"/>
  <c r="G3" i="20" l="1"/>
  <c r="I7" i="20"/>
  <c r="M7" i="20" s="1"/>
  <c r="O7" i="20" s="1"/>
  <c r="S6" i="20"/>
  <c r="F3" i="20"/>
  <c r="H3" i="20" l="1"/>
  <c r="S7" i="20"/>
  <c r="C18" i="20" l="1"/>
  <c r="C13" i="20" s="1"/>
  <c r="C19" i="20" s="1"/>
  <c r="D18" i="20"/>
  <c r="F18" i="20"/>
  <c r="F13" i="20" s="1"/>
  <c r="F19" i="20" s="1"/>
  <c r="G18" i="20"/>
  <c r="G13" i="20" s="1"/>
  <c r="G19" i="20" s="1"/>
  <c r="D13" i="20" l="1"/>
  <c r="D19" i="20" l="1"/>
  <c r="L11" i="20" l="1"/>
  <c r="M11" i="20" s="1"/>
  <c r="O11" i="20" l="1"/>
  <c r="S11" i="20" s="1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D2" i="41"/>
  <c r="H4" i="41"/>
  <c r="M4" i="41" s="1"/>
  <c r="L11" i="41"/>
  <c r="M11" i="41" s="1"/>
  <c r="O11" i="41" s="1"/>
  <c r="C2" i="41"/>
  <c r="C18" i="41" s="1"/>
  <c r="H4" i="40"/>
  <c r="M4" i="40" s="1"/>
  <c r="D2" i="40"/>
  <c r="L11" i="40"/>
  <c r="M11" i="40" s="1"/>
  <c r="O11" i="40" s="1"/>
  <c r="C2" i="40"/>
  <c r="C18" i="40" s="1"/>
  <c r="M4" i="39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O4" i="39" l="1"/>
  <c r="S4" i="39" s="1"/>
  <c r="D18" i="39"/>
  <c r="D13" i="39" s="1"/>
  <c r="D18" i="38"/>
  <c r="D13" i="38" s="1"/>
  <c r="D18" i="40"/>
  <c r="D18" i="41"/>
  <c r="D13" i="41" s="1"/>
  <c r="D18" i="36"/>
  <c r="D13" i="36" s="1"/>
  <c r="D18" i="42"/>
  <c r="D18" i="43"/>
  <c r="O4" i="41"/>
  <c r="S4" i="41" s="1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C13" i="41"/>
  <c r="C19" i="41" s="1"/>
  <c r="M2" i="41"/>
  <c r="Q2" i="41" s="1"/>
  <c r="S11" i="4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41"/>
  <c r="D19" i="39"/>
  <c r="D13" i="43"/>
  <c r="D13" i="42"/>
  <c r="D13" i="40"/>
  <c r="D19" i="42" l="1"/>
  <c r="D19" i="43"/>
  <c r="D19" i="40"/>
  <c r="C2" i="34" l="1"/>
  <c r="C18" i="34" s="1"/>
  <c r="D2" i="34" l="1"/>
  <c r="M2" i="34" l="1"/>
  <c r="Q2" i="34" s="1"/>
  <c r="D18" i="34"/>
  <c r="L11" i="34" l="1"/>
  <c r="M11" i="34" l="1"/>
  <c r="O11" i="34" s="1"/>
  <c r="C13" i="34"/>
  <c r="C19" i="34" s="1"/>
  <c r="D13" i="34"/>
  <c r="D19" i="34" l="1"/>
  <c r="S11" i="34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9"/>
  <c r="M11" i="29" s="1"/>
  <c r="O11" i="29" s="1"/>
  <c r="D2" i="29"/>
  <c r="C2" i="29"/>
  <c r="C18" i="29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H4" i="24"/>
  <c r="M4" i="24" s="1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C2" i="19"/>
  <c r="C18" i="19" s="1"/>
  <c r="H4" i="19"/>
  <c r="M4" i="19" s="1"/>
  <c r="D2" i="19"/>
  <c r="D2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S11" i="29"/>
  <c r="C13" i="29"/>
  <c r="C19" i="29" s="1"/>
  <c r="M2" i="29"/>
  <c r="Q2" i="29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9"/>
  <c r="S4" i="19" s="1"/>
  <c r="C13" i="19"/>
  <c r="C19" i="19" s="1"/>
  <c r="M2" i="19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M4" i="16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D2" i="15"/>
  <c r="C2" i="15"/>
  <c r="C18" i="15" s="1"/>
  <c r="L10" i="37" l="1"/>
  <c r="L10" i="20"/>
  <c r="R12" i="20" s="1"/>
  <c r="I8" i="20"/>
  <c r="J19" i="20"/>
  <c r="O2" i="20"/>
  <c r="S2" i="20" s="1"/>
  <c r="B17" i="20"/>
  <c r="L10" i="34"/>
  <c r="R12" i="34" s="1"/>
  <c r="F3" i="18"/>
  <c r="H4" i="29"/>
  <c r="M4" i="29" s="1"/>
  <c r="F3" i="16"/>
  <c r="F18" i="16" s="1"/>
  <c r="F3" i="17"/>
  <c r="F18" i="17" s="1"/>
  <c r="F3" i="22"/>
  <c r="F18" i="22" s="1"/>
  <c r="F3" i="11"/>
  <c r="F18" i="11" s="1"/>
  <c r="F3" i="15"/>
  <c r="B17" i="37"/>
  <c r="B18" i="37" s="1"/>
  <c r="B13" i="37" s="1"/>
  <c r="B19" i="37" s="1"/>
  <c r="B17" i="39"/>
  <c r="M17" i="39" s="1"/>
  <c r="I6" i="39"/>
  <c r="M6" i="39" s="1"/>
  <c r="O6" i="39" s="1"/>
  <c r="S6" i="39" s="1"/>
  <c r="F3" i="33"/>
  <c r="I6" i="33"/>
  <c r="M6" i="33" s="1"/>
  <c r="O6" i="33" s="1"/>
  <c r="S6" i="33" s="1"/>
  <c r="F3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I8" i="41"/>
  <c r="L10" i="30"/>
  <c r="R12" i="30" s="1"/>
  <c r="B17" i="38"/>
  <c r="I8" i="30"/>
  <c r="I8" i="28"/>
  <c r="L10" i="41"/>
  <c r="R12" i="41" s="1"/>
  <c r="L10" i="39"/>
  <c r="R12" i="39" s="1"/>
  <c r="L10" i="40"/>
  <c r="R12" i="40" s="1"/>
  <c r="L10" i="26"/>
  <c r="R12" i="26" s="1"/>
  <c r="L10" i="23"/>
  <c r="R12" i="23" s="1"/>
  <c r="B17" i="41"/>
  <c r="L10" i="29"/>
  <c r="R12" i="29" s="1"/>
  <c r="I8" i="36"/>
  <c r="B17" i="28"/>
  <c r="I8" i="42"/>
  <c r="I8" i="26"/>
  <c r="L10" i="33"/>
  <c r="R12" i="33" s="1"/>
  <c r="I8" i="23"/>
  <c r="I8" i="38"/>
  <c r="L10" i="42"/>
  <c r="R12" i="42" s="1"/>
  <c r="B17" i="34"/>
  <c r="L10" i="38"/>
  <c r="R12" i="38" s="1"/>
  <c r="L10" i="28"/>
  <c r="R12" i="28" s="1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4"/>
  <c r="B17" i="16"/>
  <c r="B17" i="17"/>
  <c r="B17" i="19"/>
  <c r="D18" i="15"/>
  <c r="D13" i="15" s="1"/>
  <c r="L11" i="15"/>
  <c r="M11" i="15" s="1"/>
  <c r="O11" i="15" s="1"/>
  <c r="L10" i="15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L11" i="19"/>
  <c r="M11" i="19" s="1"/>
  <c r="O11" i="19" s="1"/>
  <c r="S11" i="19" s="1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C13" i="15"/>
  <c r="C19" i="15" s="1"/>
  <c r="H4" i="14"/>
  <c r="M4" i="14" s="1"/>
  <c r="D2" i="14"/>
  <c r="D18" i="14" s="1"/>
  <c r="I6" i="14"/>
  <c r="L11" i="14"/>
  <c r="M11" i="14" s="1"/>
  <c r="L10" i="14"/>
  <c r="I8" i="14"/>
  <c r="M8" i="14" s="1"/>
  <c r="C2" i="14"/>
  <c r="F18" i="18" l="1"/>
  <c r="F13" i="18" s="1"/>
  <c r="F19" i="18" s="1"/>
  <c r="F18" i="39"/>
  <c r="F13" i="39" s="1"/>
  <c r="F19" i="39" s="1"/>
  <c r="F18" i="15"/>
  <c r="F13" i="15" s="1"/>
  <c r="F19" i="15" s="1"/>
  <c r="D19" i="15"/>
  <c r="R12" i="15"/>
  <c r="R12" i="11"/>
  <c r="R12" i="17"/>
  <c r="R12" i="18"/>
  <c r="R12" i="22"/>
  <c r="R12" i="16"/>
  <c r="R12" i="21"/>
  <c r="R12" i="14"/>
  <c r="R12" i="37"/>
  <c r="M10" i="20"/>
  <c r="N12" i="20"/>
  <c r="S12" i="20" s="1"/>
  <c r="L18" i="20"/>
  <c r="B18" i="20"/>
  <c r="M17" i="20"/>
  <c r="J9" i="20"/>
  <c r="K19" i="20"/>
  <c r="K9" i="20" s="1"/>
  <c r="K18" i="20" s="1"/>
  <c r="K14" i="20" s="1"/>
  <c r="M8" i="20"/>
  <c r="I18" i="20"/>
  <c r="I13" i="20" s="1"/>
  <c r="I19" i="20" s="1"/>
  <c r="R12" i="19"/>
  <c r="L18" i="34"/>
  <c r="L14" i="34" s="1"/>
  <c r="L19" i="34" s="1"/>
  <c r="M10" i="34"/>
  <c r="O10" i="34" s="1"/>
  <c r="S10" i="34" s="1"/>
  <c r="G3" i="14"/>
  <c r="G18" i="14" s="1"/>
  <c r="G13" i="14" s="1"/>
  <c r="G19" i="14" s="1"/>
  <c r="O4" i="29"/>
  <c r="S4" i="29" s="1"/>
  <c r="N12" i="34"/>
  <c r="S12" i="34" s="1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J19" i="19" s="1"/>
  <c r="K19" i="19" s="1"/>
  <c r="O2" i="33"/>
  <c r="S2" i="33" s="1"/>
  <c r="O2" i="28"/>
  <c r="S2" i="28" s="1"/>
  <c r="O2" i="40"/>
  <c r="S2" i="40" s="1"/>
  <c r="O2" i="39"/>
  <c r="S2" i="39" s="1"/>
  <c r="O2" i="31"/>
  <c r="S2" i="31" s="1"/>
  <c r="O2" i="34"/>
  <c r="S2" i="34" s="1"/>
  <c r="O2" i="26"/>
  <c r="S2" i="26" s="1"/>
  <c r="O2" i="38"/>
  <c r="S2" i="38" s="1"/>
  <c r="O2" i="27"/>
  <c r="S2" i="27" s="1"/>
  <c r="O2" i="42"/>
  <c r="O2" i="41"/>
  <c r="S2" i="41" s="1"/>
  <c r="O2" i="32"/>
  <c r="S2" i="32" s="1"/>
  <c r="O2" i="24"/>
  <c r="S2" i="24" s="1"/>
  <c r="O2" i="29"/>
  <c r="S2" i="29" s="1"/>
  <c r="O2" i="43"/>
  <c r="O2" i="30"/>
  <c r="S2" i="30" s="1"/>
  <c r="M17" i="37"/>
  <c r="S17" i="37" s="1"/>
  <c r="B18" i="39"/>
  <c r="B13" i="39" s="1"/>
  <c r="B19" i="39" s="1"/>
  <c r="B17" i="36"/>
  <c r="M17" i="36" s="1"/>
  <c r="F3" i="29"/>
  <c r="F18" i="29" s="1"/>
  <c r="F13" i="29" s="1"/>
  <c r="F19" i="29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3" i="18"/>
  <c r="G18" i="18" s="1"/>
  <c r="G13" i="18" s="1"/>
  <c r="G19" i="18" s="1"/>
  <c r="I7" i="40"/>
  <c r="M7" i="40" s="1"/>
  <c r="G3" i="40"/>
  <c r="G18" i="40" s="1"/>
  <c r="G13" i="40" s="1"/>
  <c r="G19" i="40" s="1"/>
  <c r="G3" i="15"/>
  <c r="G18" i="15" s="1"/>
  <c r="G13" i="15" s="1"/>
  <c r="G19" i="15" s="1"/>
  <c r="I7" i="15"/>
  <c r="M7" i="15" s="1"/>
  <c r="O7" i="15" s="1"/>
  <c r="S7" i="15" s="1"/>
  <c r="G3" i="34"/>
  <c r="G18" i="34" s="1"/>
  <c r="G13" i="34" s="1"/>
  <c r="G19" i="34" s="1"/>
  <c r="I7" i="34"/>
  <c r="M7" i="34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I7" i="41"/>
  <c r="M7" i="41" s="1"/>
  <c r="O7" i="41" s="1"/>
  <c r="S7" i="41" s="1"/>
  <c r="G3" i="41"/>
  <c r="G18" i="41" s="1"/>
  <c r="G13" i="41" s="1"/>
  <c r="G19" i="41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9"/>
  <c r="M7" i="29" s="1"/>
  <c r="G3" i="29"/>
  <c r="G18" i="29" s="1"/>
  <c r="G13" i="29" s="1"/>
  <c r="G19" i="29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G3" i="19"/>
  <c r="G18" i="19" s="1"/>
  <c r="G13" i="19" s="1"/>
  <c r="G19" i="19" s="1"/>
  <c r="I7" i="19"/>
  <c r="M7" i="19" s="1"/>
  <c r="I7" i="39"/>
  <c r="M7" i="39" s="1"/>
  <c r="F18" i="34"/>
  <c r="F13" i="34" s="1"/>
  <c r="F19" i="34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41"/>
  <c r="F13" i="41" s="1"/>
  <c r="F19" i="4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M8" i="34"/>
  <c r="M10" i="29"/>
  <c r="O10" i="29" s="1"/>
  <c r="S10" i="29" s="1"/>
  <c r="L18" i="29"/>
  <c r="M8" i="41"/>
  <c r="O8" i="41" s="1"/>
  <c r="S8" i="41" s="1"/>
  <c r="L18" i="24"/>
  <c r="M10" i="24"/>
  <c r="O10" i="24" s="1"/>
  <c r="S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L18" i="41"/>
  <c r="M10" i="41"/>
  <c r="O10" i="41" s="1"/>
  <c r="S10" i="41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B18" i="41"/>
  <c r="B13" i="41" s="1"/>
  <c r="B19" i="41" s="1"/>
  <c r="M17" i="41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S10" i="16" s="1"/>
  <c r="L18" i="16"/>
  <c r="M10" i="15"/>
  <c r="O10" i="15" s="1"/>
  <c r="S10" i="15" s="1"/>
  <c r="L18" i="15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S11" i="15"/>
  <c r="O2" i="16"/>
  <c r="O2" i="11"/>
  <c r="S2" i="11" s="1"/>
  <c r="O2" i="17"/>
  <c r="S2" i="17" s="1"/>
  <c r="O2" i="21"/>
  <c r="S2" i="21" s="1"/>
  <c r="O2" i="18"/>
  <c r="S2" i="18" s="1"/>
  <c r="O2" i="19"/>
  <c r="S2" i="19" s="1"/>
  <c r="M6" i="15"/>
  <c r="O6" i="15" s="1"/>
  <c r="S6" i="15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9"/>
  <c r="O10" i="19" s="1"/>
  <c r="S10" i="19" s="1"/>
  <c r="M6" i="19"/>
  <c r="O6" i="19" s="1"/>
  <c r="S6" i="19" s="1"/>
  <c r="M10" i="17"/>
  <c r="O10" i="17" s="1"/>
  <c r="S10" i="17" s="1"/>
  <c r="M8" i="17"/>
  <c r="M8" i="16"/>
  <c r="O8" i="16" s="1"/>
  <c r="S8" i="16" s="1"/>
  <c r="D13" i="14"/>
  <c r="O11" i="14"/>
  <c r="S11" i="14" s="1"/>
  <c r="M6" i="14"/>
  <c r="O8" i="14"/>
  <c r="S8" i="14" s="1"/>
  <c r="F3" i="14"/>
  <c r="F18" i="14" s="1"/>
  <c r="M10" i="14"/>
  <c r="O4" i="14"/>
  <c r="S4" i="14" s="1"/>
  <c r="H3" i="34" l="1"/>
  <c r="M3" i="34" s="1"/>
  <c r="H3" i="18"/>
  <c r="H5" i="18" s="1"/>
  <c r="H3" i="15"/>
  <c r="M3" i="15" s="1"/>
  <c r="D19" i="37"/>
  <c r="D19" i="14"/>
  <c r="L14" i="20"/>
  <c r="L19" i="20" s="1"/>
  <c r="O10" i="20"/>
  <c r="S10" i="20" s="1"/>
  <c r="O8" i="20"/>
  <c r="S8" i="20" s="1"/>
  <c r="J18" i="20"/>
  <c r="J14" i="20" s="1"/>
  <c r="M9" i="20"/>
  <c r="O9" i="20" s="1"/>
  <c r="S9" i="20" s="1"/>
  <c r="R17" i="20"/>
  <c r="S17" i="20"/>
  <c r="B13" i="20"/>
  <c r="B19" i="20" s="1"/>
  <c r="J19" i="15"/>
  <c r="K19" i="15" s="1"/>
  <c r="K9" i="15" s="1"/>
  <c r="K18" i="15" s="1"/>
  <c r="K14" i="15" s="1"/>
  <c r="H3" i="23"/>
  <c r="H5" i="23" s="1"/>
  <c r="M5" i="23" s="1"/>
  <c r="J19" i="11"/>
  <c r="K19" i="11" s="1"/>
  <c r="K9" i="11" s="1"/>
  <c r="K18" i="11" s="1"/>
  <c r="K14" i="11" s="1"/>
  <c r="J19" i="18"/>
  <c r="K19" i="18" s="1"/>
  <c r="K9" i="18" s="1"/>
  <c r="J19" i="31"/>
  <c r="K19" i="31" s="1"/>
  <c r="K9" i="31" s="1"/>
  <c r="K18" i="31" s="1"/>
  <c r="K14" i="31" s="1"/>
  <c r="S2" i="42"/>
  <c r="J19" i="17"/>
  <c r="J9" i="17" s="1"/>
  <c r="J18" i="17" s="1"/>
  <c r="J9" i="19"/>
  <c r="J18" i="19" s="1"/>
  <c r="K9" i="2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S4" i="37" s="1"/>
  <c r="N12" i="36"/>
  <c r="S12" i="36" s="1"/>
  <c r="N12" i="24"/>
  <c r="S12" i="24" s="1"/>
  <c r="N12" i="38"/>
  <c r="S12" i="38" s="1"/>
  <c r="N12" i="29"/>
  <c r="S12" i="29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41"/>
  <c r="S12" i="41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K9" i="29"/>
  <c r="K18" i="29" s="1"/>
  <c r="K14" i="29" s="1"/>
  <c r="J19" i="39"/>
  <c r="J19" i="30"/>
  <c r="J19" i="38"/>
  <c r="J19" i="36"/>
  <c r="J19" i="28"/>
  <c r="J19" i="32"/>
  <c r="J19" i="24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H5" i="22" s="1"/>
  <c r="M5" i="22" s="1"/>
  <c r="I18" i="36"/>
  <c r="I13" i="36" s="1"/>
  <c r="I19" i="36" s="1"/>
  <c r="I18" i="24"/>
  <c r="I13" i="24" s="1"/>
  <c r="I19" i="24" s="1"/>
  <c r="I18" i="19"/>
  <c r="I13" i="19" s="1"/>
  <c r="I19" i="19" s="1"/>
  <c r="I18" i="28"/>
  <c r="I13" i="28" s="1"/>
  <c r="I19" i="28" s="1"/>
  <c r="H3" i="16"/>
  <c r="H5" i="16" s="1"/>
  <c r="H18" i="16" s="1"/>
  <c r="I18" i="18"/>
  <c r="I13" i="18" s="1"/>
  <c r="I19" i="18" s="1"/>
  <c r="I18" i="32"/>
  <c r="I13" i="32" s="1"/>
  <c r="I19" i="32" s="1"/>
  <c r="I18" i="27"/>
  <c r="I13" i="27" s="1"/>
  <c r="I19" i="27" s="1"/>
  <c r="H3" i="24"/>
  <c r="H5" i="24" s="1"/>
  <c r="M5" i="24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I18" i="41"/>
  <c r="I13" i="41" s="1"/>
  <c r="I19" i="4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J9" i="34"/>
  <c r="H3" i="42"/>
  <c r="M3" i="42" s="1"/>
  <c r="I18" i="29"/>
  <c r="I13" i="29" s="1"/>
  <c r="I19" i="29" s="1"/>
  <c r="H3" i="41"/>
  <c r="L14" i="29"/>
  <c r="L19" i="29" s="1"/>
  <c r="H3" i="38"/>
  <c r="M3" i="38" s="1"/>
  <c r="I18" i="26"/>
  <c r="I13" i="26" s="1"/>
  <c r="I19" i="26" s="1"/>
  <c r="H3" i="29"/>
  <c r="M3" i="29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O8" i="34"/>
  <c r="S8" i="34" s="1"/>
  <c r="S17" i="29"/>
  <c r="R17" i="29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41"/>
  <c r="R17" i="41"/>
  <c r="S17" i="27"/>
  <c r="R17" i="27"/>
  <c r="R17" i="43"/>
  <c r="S17" i="43"/>
  <c r="L14" i="27"/>
  <c r="L19" i="27" s="1"/>
  <c r="L14" i="41"/>
  <c r="L19" i="41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S17" i="34"/>
  <c r="R17" i="34"/>
  <c r="L14" i="37"/>
  <c r="L19" i="37" s="1"/>
  <c r="B17" i="23"/>
  <c r="K9" i="41"/>
  <c r="K18" i="41" s="1"/>
  <c r="K14" i="41" s="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C19" i="14" s="1"/>
  <c r="S2" i="16"/>
  <c r="L14" i="15"/>
  <c r="L19" i="15" s="1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15"/>
  <c r="S12" i="15" s="1"/>
  <c r="N12" i="21"/>
  <c r="S12" i="21" s="1"/>
  <c r="N12" i="14"/>
  <c r="S12" i="14" s="1"/>
  <c r="N12" i="19"/>
  <c r="S12" i="19" s="1"/>
  <c r="O2" i="15"/>
  <c r="O2" i="22"/>
  <c r="S2" i="22" s="1"/>
  <c r="L14" i="19"/>
  <c r="L19" i="19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L14" i="14"/>
  <c r="L19" i="14" s="1"/>
  <c r="F13" i="14"/>
  <c r="F19" i="14" s="1"/>
  <c r="H3" i="14"/>
  <c r="O10" i="14"/>
  <c r="S10" i="14" s="1"/>
  <c r="O6" i="14"/>
  <c r="S6" i="14" s="1"/>
  <c r="R5" i="31" l="1"/>
  <c r="R5" i="40"/>
  <c r="R5" i="22"/>
  <c r="R5" i="24"/>
  <c r="E18" i="24" s="1"/>
  <c r="E13" i="24" s="1"/>
  <c r="E19" i="24" s="1"/>
  <c r="R5" i="28"/>
  <c r="E18" i="28" s="1"/>
  <c r="E13" i="28" s="1"/>
  <c r="E19" i="28" s="1"/>
  <c r="R5" i="30"/>
  <c r="E18" i="30" s="1"/>
  <c r="E13" i="30" s="1"/>
  <c r="E19" i="30" s="1"/>
  <c r="S5" i="23"/>
  <c r="R5" i="23"/>
  <c r="E18" i="23" s="1"/>
  <c r="E13" i="23" s="1"/>
  <c r="E19" i="23" s="1"/>
  <c r="E15" i="20"/>
  <c r="H5" i="20" s="1"/>
  <c r="H4" i="20" s="1"/>
  <c r="M14" i="20"/>
  <c r="J9" i="15"/>
  <c r="M9" i="15" s="1"/>
  <c r="O9" i="15" s="1"/>
  <c r="S9" i="15" s="1"/>
  <c r="K19" i="17"/>
  <c r="K9" i="17" s="1"/>
  <c r="M9" i="17" s="1"/>
  <c r="O9" i="17" s="1"/>
  <c r="S9" i="17" s="1"/>
  <c r="K9" i="34"/>
  <c r="K18" i="34" s="1"/>
  <c r="K14" i="34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K9" i="19"/>
  <c r="K18" i="19" s="1"/>
  <c r="K14" i="19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O3" i="34"/>
  <c r="S3" i="34" s="1"/>
  <c r="S5" i="40"/>
  <c r="O3" i="29"/>
  <c r="S3" i="29" s="1"/>
  <c r="J9" i="29"/>
  <c r="J18" i="29" s="1"/>
  <c r="J14" i="29" s="1"/>
  <c r="E15" i="29" s="1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9" i="27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24"/>
  <c r="S5" i="30"/>
  <c r="M3" i="16"/>
  <c r="S5" i="28"/>
  <c r="I18" i="37"/>
  <c r="I13" i="37" s="1"/>
  <c r="I19" i="37" s="1"/>
  <c r="M3" i="24"/>
  <c r="M3" i="40"/>
  <c r="M3" i="30"/>
  <c r="H18" i="24"/>
  <c r="H13" i="24" s="1"/>
  <c r="H19" i="24" s="1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M5" i="33" s="1"/>
  <c r="H5" i="41"/>
  <c r="M5" i="41" s="1"/>
  <c r="H5" i="42"/>
  <c r="M5" i="42" s="1"/>
  <c r="M3" i="41"/>
  <c r="H18" i="28"/>
  <c r="H13" i="28" s="1"/>
  <c r="H19" i="28" s="1"/>
  <c r="H5" i="32"/>
  <c r="M5" i="32" s="1"/>
  <c r="H5" i="27"/>
  <c r="M5" i="27" s="1"/>
  <c r="M3" i="27"/>
  <c r="H3" i="37"/>
  <c r="M3" i="37" s="1"/>
  <c r="H5" i="29"/>
  <c r="M5" i="29" s="1"/>
  <c r="H5" i="38"/>
  <c r="M5" i="38" s="1"/>
  <c r="H5" i="36"/>
  <c r="M5" i="36" s="1"/>
  <c r="S7" i="37"/>
  <c r="M5" i="39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H18" i="22"/>
  <c r="H13" i="22" s="1"/>
  <c r="H19" i="22" s="1"/>
  <c r="H13" i="11"/>
  <c r="H19" i="11" s="1"/>
  <c r="S2" i="15"/>
  <c r="O3" i="17"/>
  <c r="S3" i="17" s="1"/>
  <c r="J14" i="19"/>
  <c r="S5" i="22"/>
  <c r="M5" i="16"/>
  <c r="H13" i="16"/>
  <c r="H19" i="16" s="1"/>
  <c r="H5" i="21"/>
  <c r="M5" i="21" s="1"/>
  <c r="J14" i="17"/>
  <c r="O3" i="15"/>
  <c r="S3" i="15" s="1"/>
  <c r="H5" i="14"/>
  <c r="M5" i="14" s="1"/>
  <c r="M3" i="14"/>
  <c r="R5" i="21" l="1"/>
  <c r="R5" i="43"/>
  <c r="R5" i="32"/>
  <c r="O3" i="23"/>
  <c r="S3" i="23" s="1"/>
  <c r="R5" i="42"/>
  <c r="R5" i="16"/>
  <c r="R5" i="14"/>
  <c r="R5" i="41"/>
  <c r="R5" i="27"/>
  <c r="R5" i="39"/>
  <c r="R5" i="36"/>
  <c r="R5" i="17"/>
  <c r="E18" i="17" s="1"/>
  <c r="E13" i="17" s="1"/>
  <c r="E19" i="17" s="1"/>
  <c r="R5" i="38"/>
  <c r="R5" i="33"/>
  <c r="R5" i="29"/>
  <c r="R5" i="26"/>
  <c r="M4" i="20"/>
  <c r="M15" i="20"/>
  <c r="J18" i="15"/>
  <c r="J14" i="15" s="1"/>
  <c r="E15" i="15" s="1"/>
  <c r="H5" i="15" s="1"/>
  <c r="H4" i="15" s="1"/>
  <c r="K18" i="17"/>
  <c r="K14" i="17" s="1"/>
  <c r="E15" i="17" s="1"/>
  <c r="M9" i="11"/>
  <c r="O9" i="11" s="1"/>
  <c r="S9" i="11" s="1"/>
  <c r="M9" i="34"/>
  <c r="O9" i="34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9" i="19"/>
  <c r="O9" i="19" s="1"/>
  <c r="S9" i="19" s="1"/>
  <c r="M14" i="26"/>
  <c r="M9" i="21"/>
  <c r="O9" i="21" s="1"/>
  <c r="S9" i="21" s="1"/>
  <c r="M9" i="26"/>
  <c r="O9" i="26" s="1"/>
  <c r="S9" i="26" s="1"/>
  <c r="M9" i="31"/>
  <c r="O9" i="31" s="1"/>
  <c r="S9" i="31" s="1"/>
  <c r="M15" i="29"/>
  <c r="S15" i="29" s="1"/>
  <c r="O3" i="27"/>
  <c r="S3" i="27" s="1"/>
  <c r="O3" i="28"/>
  <c r="S3" i="28" s="1"/>
  <c r="O3" i="31"/>
  <c r="S3" i="31" s="1"/>
  <c r="O3" i="24"/>
  <c r="S3" i="24" s="1"/>
  <c r="O3" i="16"/>
  <c r="S3" i="16" s="1"/>
  <c r="O3" i="41"/>
  <c r="S3" i="41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M9" i="29"/>
  <c r="O9" i="29" s="1"/>
  <c r="S9" i="29" s="1"/>
  <c r="M14" i="29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41"/>
  <c r="H13" i="41" s="1"/>
  <c r="H19" i="41" s="1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H18" i="29"/>
  <c r="H13" i="29" s="1"/>
  <c r="H19" i="29" s="1"/>
  <c r="S5" i="33"/>
  <c r="S5" i="26"/>
  <c r="H18" i="36"/>
  <c r="H13" i="36" s="1"/>
  <c r="H19" i="36" s="1"/>
  <c r="S5" i="42"/>
  <c r="E15" i="33"/>
  <c r="S5" i="32"/>
  <c r="S5" i="41"/>
  <c r="S5" i="38"/>
  <c r="M9" i="43"/>
  <c r="O9" i="43" s="1"/>
  <c r="S9" i="43" s="1"/>
  <c r="H18" i="39"/>
  <c r="H13" i="39" s="1"/>
  <c r="H19" i="39" s="1"/>
  <c r="S5" i="29"/>
  <c r="H5" i="37"/>
  <c r="M5" i="37" s="1"/>
  <c r="S5" i="36"/>
  <c r="E15" i="26"/>
  <c r="S5" i="27"/>
  <c r="S5" i="43"/>
  <c r="S5" i="39"/>
  <c r="E15" i="31"/>
  <c r="M13" i="28"/>
  <c r="M13" i="24"/>
  <c r="L14" i="43"/>
  <c r="L19" i="43" s="1"/>
  <c r="M13" i="30"/>
  <c r="S17" i="23"/>
  <c r="R17" i="23"/>
  <c r="B13" i="23"/>
  <c r="B19" i="23" s="1"/>
  <c r="E15" i="34"/>
  <c r="H5" i="34" s="1"/>
  <c r="H4" i="34" s="1"/>
  <c r="M14" i="34"/>
  <c r="O9" i="41"/>
  <c r="J14" i="41"/>
  <c r="E15" i="16"/>
  <c r="M14" i="16"/>
  <c r="M14" i="21"/>
  <c r="E15" i="21"/>
  <c r="H18" i="21"/>
  <c r="H13" i="21" s="1"/>
  <c r="H19" i="21" s="1"/>
  <c r="H18" i="14"/>
  <c r="H13" i="14" s="1"/>
  <c r="H19" i="14" s="1"/>
  <c r="E15" i="11"/>
  <c r="E18" i="22"/>
  <c r="M18" i="22" s="1"/>
  <c r="S5" i="16"/>
  <c r="M14" i="19"/>
  <c r="E15" i="19"/>
  <c r="E15" i="22"/>
  <c r="M14" i="22"/>
  <c r="M14" i="18"/>
  <c r="E15" i="18"/>
  <c r="S5" i="21"/>
  <c r="O3" i="14"/>
  <c r="S3" i="14" s="1"/>
  <c r="S5" i="14"/>
  <c r="O4" i="20" l="1"/>
  <c r="S4" i="20" s="1"/>
  <c r="R5" i="37"/>
  <c r="M5" i="34"/>
  <c r="M4" i="18"/>
  <c r="M13" i="40"/>
  <c r="R13" i="40" s="1"/>
  <c r="E19" i="40"/>
  <c r="M5" i="20"/>
  <c r="R15" i="20"/>
  <c r="S15" i="20"/>
  <c r="M14" i="15"/>
  <c r="M14" i="17"/>
  <c r="R15" i="29"/>
  <c r="M15" i="11"/>
  <c r="R15" i="11" s="1"/>
  <c r="M15" i="33"/>
  <c r="S15" i="33" s="1"/>
  <c r="M15" i="21"/>
  <c r="S15" i="21" s="1"/>
  <c r="M15" i="15"/>
  <c r="S15" i="15" s="1"/>
  <c r="M15" i="26"/>
  <c r="S15" i="26" s="1"/>
  <c r="M15" i="16"/>
  <c r="R15" i="16" s="1"/>
  <c r="M15" i="31"/>
  <c r="S15" i="31" s="1"/>
  <c r="M18" i="28"/>
  <c r="R18" i="28" s="1"/>
  <c r="S9" i="41"/>
  <c r="S9" i="34"/>
  <c r="M13" i="31"/>
  <c r="R13" i="31" s="1"/>
  <c r="M18" i="31"/>
  <c r="S18" i="31" s="1"/>
  <c r="M13" i="17"/>
  <c r="R13" i="17" s="1"/>
  <c r="M18" i="23"/>
  <c r="S18" i="23" s="1"/>
  <c r="M18" i="17"/>
  <c r="S18" i="17" s="1"/>
  <c r="M18" i="24"/>
  <c r="S18" i="24" s="1"/>
  <c r="M18" i="40"/>
  <c r="S18" i="40" s="1"/>
  <c r="E18" i="39"/>
  <c r="M18" i="39" s="1"/>
  <c r="E18" i="36"/>
  <c r="E13" i="36" s="1"/>
  <c r="E19" i="36" s="1"/>
  <c r="E18" i="41"/>
  <c r="E13" i="41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29"/>
  <c r="E16" i="29" s="1"/>
  <c r="E18" i="33"/>
  <c r="E13" i="33" s="1"/>
  <c r="E19" i="33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S13" i="24"/>
  <c r="R13" i="24"/>
  <c r="M13" i="23"/>
  <c r="M15" i="34"/>
  <c r="R15" i="34" s="1"/>
  <c r="E15" i="41"/>
  <c r="M14" i="41"/>
  <c r="S18" i="22"/>
  <c r="R18" i="22"/>
  <c r="E13" i="22"/>
  <c r="E19" i="22" s="1"/>
  <c r="E18" i="21"/>
  <c r="M18" i="21" s="1"/>
  <c r="E18" i="16"/>
  <c r="M18" i="16" s="1"/>
  <c r="M15" i="18"/>
  <c r="M15" i="22"/>
  <c r="M15" i="19"/>
  <c r="E16" i="22"/>
  <c r="M15" i="17"/>
  <c r="E16" i="17"/>
  <c r="E18" i="14"/>
  <c r="R5" i="20" l="1"/>
  <c r="E18" i="20" s="1"/>
  <c r="O4" i="18"/>
  <c r="S4" i="18" s="1"/>
  <c r="R5" i="34"/>
  <c r="E18" i="34" s="1"/>
  <c r="E13" i="34" s="1"/>
  <c r="E19" i="34" s="1"/>
  <c r="S5" i="34"/>
  <c r="M4" i="34"/>
  <c r="H18" i="34"/>
  <c r="H13" i="34" s="1"/>
  <c r="H19" i="34" s="1"/>
  <c r="M5" i="18"/>
  <c r="M3" i="18"/>
  <c r="H18" i="18"/>
  <c r="H13" i="18" s="1"/>
  <c r="H19" i="18" s="1"/>
  <c r="S13" i="40"/>
  <c r="M13" i="41"/>
  <c r="S13" i="41" s="1"/>
  <c r="E19" i="41"/>
  <c r="M3" i="20"/>
  <c r="H18" i="20"/>
  <c r="H13" i="20" s="1"/>
  <c r="H19" i="20" s="1"/>
  <c r="S5" i="20"/>
  <c r="R15" i="15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E13" i="29"/>
  <c r="E19" i="29" s="1"/>
  <c r="R18" i="24"/>
  <c r="E16" i="26"/>
  <c r="M18" i="43"/>
  <c r="S18" i="43" s="1"/>
  <c r="M18" i="32"/>
  <c r="S18" i="32" s="1"/>
  <c r="E16" i="27"/>
  <c r="M18" i="29"/>
  <c r="S18" i="29" s="1"/>
  <c r="M13" i="43"/>
  <c r="S13" i="43" s="1"/>
  <c r="E16" i="39"/>
  <c r="E16" i="36"/>
  <c r="M18" i="41"/>
  <c r="S18" i="41" s="1"/>
  <c r="M18" i="36"/>
  <c r="R18" i="36" s="1"/>
  <c r="M18" i="38"/>
  <c r="S18" i="38" s="1"/>
  <c r="M18" i="33"/>
  <c r="R18" i="33" s="1"/>
  <c r="R18" i="40"/>
  <c r="E16" i="42"/>
  <c r="E13" i="39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26"/>
  <c r="R18" i="26" s="1"/>
  <c r="M15" i="24"/>
  <c r="E16" i="24"/>
  <c r="E16" i="40"/>
  <c r="M15" i="23"/>
  <c r="E16" i="23"/>
  <c r="M16" i="31"/>
  <c r="S16" i="31" s="1"/>
  <c r="M15" i="43"/>
  <c r="R15" i="43" s="1"/>
  <c r="M13" i="42"/>
  <c r="M13" i="32"/>
  <c r="M13" i="36"/>
  <c r="M16" i="29"/>
  <c r="N14" i="29"/>
  <c r="M13" i="38"/>
  <c r="S18" i="39"/>
  <c r="R18" i="39"/>
  <c r="S13" i="23"/>
  <c r="R13" i="23"/>
  <c r="S15" i="34"/>
  <c r="M15" i="41"/>
  <c r="E16" i="41"/>
  <c r="S18" i="16"/>
  <c r="R18" i="16"/>
  <c r="S18" i="21"/>
  <c r="R18" i="21"/>
  <c r="S15" i="19"/>
  <c r="R15" i="19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E13" i="14"/>
  <c r="O4" i="34" l="1"/>
  <c r="S4" i="34" s="1"/>
  <c r="O3" i="20"/>
  <c r="S3" i="20" s="1"/>
  <c r="O3" i="18"/>
  <c r="S3" i="18" s="1"/>
  <c r="E16" i="34"/>
  <c r="N14" i="34" s="1"/>
  <c r="S14" i="34" s="1"/>
  <c r="M18" i="34"/>
  <c r="R18" i="34" s="1"/>
  <c r="M13" i="34"/>
  <c r="R13" i="34" s="1"/>
  <c r="R13" i="41"/>
  <c r="M13" i="27"/>
  <c r="R13" i="27" s="1"/>
  <c r="E19" i="27"/>
  <c r="M13" i="39"/>
  <c r="S13" i="39" s="1"/>
  <c r="E19" i="39"/>
  <c r="M13" i="14"/>
  <c r="S13" i="14" s="1"/>
  <c r="E19" i="14"/>
  <c r="E16" i="20"/>
  <c r="E13" i="20"/>
  <c r="E19" i="20" s="1"/>
  <c r="M18" i="20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5" i="37"/>
  <c r="R15" i="37" s="1"/>
  <c r="M16" i="43"/>
  <c r="R16" i="43" s="1"/>
  <c r="M16" i="26"/>
  <c r="S16" i="26" s="1"/>
  <c r="S18" i="36"/>
  <c r="R18" i="32"/>
  <c r="R18" i="41"/>
  <c r="R18" i="29"/>
  <c r="N14" i="36"/>
  <c r="S14" i="36" s="1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4" i="33" s="1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R16" i="31"/>
  <c r="S15" i="43"/>
  <c r="S13" i="32"/>
  <c r="R13" i="32"/>
  <c r="S13" i="42"/>
  <c r="R13" i="42"/>
  <c r="S14" i="29"/>
  <c r="R14" i="29"/>
  <c r="M13" i="37"/>
  <c r="S16" i="29"/>
  <c r="R16" i="29"/>
  <c r="R13" i="36"/>
  <c r="S13" i="36"/>
  <c r="S13" i="38"/>
  <c r="R13" i="38"/>
  <c r="M16" i="41"/>
  <c r="N14" i="41"/>
  <c r="R15" i="41"/>
  <c r="S15" i="41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M16" i="34" l="1"/>
  <c r="R16" i="34" s="1"/>
  <c r="S18" i="34"/>
  <c r="S13" i="34"/>
  <c r="S13" i="27"/>
  <c r="R13" i="14"/>
  <c r="R13" i="39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N14" i="37"/>
  <c r="R14" i="37" s="1"/>
  <c r="R16" i="26"/>
  <c r="S16" i="43"/>
  <c r="S16" i="32"/>
  <c r="R14" i="34"/>
  <c r="R13" i="29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S16" i="34" l="1"/>
  <c r="S16" i="20"/>
  <c r="R16" i="20"/>
  <c r="R14" i="20"/>
  <c r="S14" i="20"/>
  <c r="R13" i="20"/>
  <c r="S13" i="20"/>
  <c r="S14" i="37"/>
  <c r="R16" i="37"/>
  <c r="M2" i="14"/>
  <c r="Q2" i="14" s="1"/>
  <c r="O2" i="14" l="1"/>
  <c r="M3" i="11"/>
  <c r="C13" i="11"/>
  <c r="C19" i="11" s="1"/>
  <c r="S2" i="14" l="1"/>
  <c r="O3" i="11"/>
  <c r="S3" i="11" s="1"/>
  <c r="M5" i="15" l="1"/>
  <c r="R5" i="15" l="1"/>
  <c r="M4" i="15"/>
  <c r="H18" i="15"/>
  <c r="S5" i="15"/>
  <c r="O4" i="15" l="1"/>
  <c r="E18" i="15"/>
  <c r="M18" i="15" s="1"/>
  <c r="H13" i="15"/>
  <c r="H19" i="15" s="1"/>
  <c r="S4" i="15" l="1"/>
  <c r="S18" i="15"/>
  <c r="R18" i="15"/>
  <c r="E16" i="15"/>
  <c r="E13" i="15"/>
  <c r="E19" i="15" s="1"/>
  <c r="M16" i="15" l="1"/>
  <c r="S16" i="15" s="1"/>
  <c r="N14" i="15"/>
  <c r="S14" i="15" s="1"/>
  <c r="M13" i="15"/>
  <c r="I13" i="11"/>
  <c r="I19" i="11" s="1"/>
  <c r="M5" i="11"/>
  <c r="R5" i="11" l="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K9" i="14"/>
  <c r="K18" i="14" s="1"/>
  <c r="J9" i="14"/>
  <c r="J18" i="14" s="1"/>
  <c r="S14" i="11" l="1"/>
  <c r="S16" i="11"/>
  <c r="R16" i="11"/>
  <c r="S13" i="11"/>
  <c r="R13" i="11"/>
  <c r="M18" i="14"/>
  <c r="J14" i="14"/>
  <c r="K14" i="14"/>
  <c r="M9" i="14"/>
  <c r="O9" i="14" s="1"/>
  <c r="S18" i="14" l="1"/>
  <c r="R18" i="14"/>
  <c r="S9" i="14"/>
  <c r="E15" i="14"/>
  <c r="M14" i="14"/>
  <c r="M15" i="14" l="1"/>
  <c r="E16" i="14"/>
  <c r="S15" i="14" l="1"/>
  <c r="R15" i="14"/>
  <c r="N14" i="14"/>
  <c r="M16" i="14"/>
  <c r="S16" i="14" l="1"/>
  <c r="R16" i="14"/>
  <c r="S14" i="14"/>
  <c r="R14" i="14"/>
  <c r="F3" i="19" l="1"/>
  <c r="H3" i="19" l="1"/>
  <c r="F18" i="19"/>
  <c r="F13" i="19" s="1"/>
  <c r="F19" i="19" s="1"/>
  <c r="H5" i="19" l="1"/>
  <c r="M5" i="19" s="1"/>
  <c r="M3" i="19"/>
  <c r="S5" i="19" l="1"/>
  <c r="R5" i="19"/>
  <c r="E18" i="19" s="1"/>
  <c r="H18" i="19"/>
  <c r="H13" i="19" s="1"/>
  <c r="H19" i="19" s="1"/>
  <c r="O3" i="19"/>
  <c r="S3" i="19" s="1"/>
  <c r="E13" i="19" l="1"/>
  <c r="E16" i="19"/>
  <c r="M18" i="19"/>
  <c r="R18" i="19" s="1"/>
  <c r="M13" i="19" l="1"/>
  <c r="R13" i="19" s="1"/>
  <c r="E19" i="19"/>
  <c r="M16" i="19"/>
  <c r="S16" i="19" s="1"/>
  <c r="S18" i="19"/>
  <c r="N14" i="19"/>
  <c r="R14" i="19" s="1"/>
  <c r="S13" i="19" l="1"/>
  <c r="R16" i="19"/>
  <c r="S14" i="19"/>
  <c r="R5" i="18" l="1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<sst xmlns="http://schemas.openxmlformats.org/spreadsheetml/2006/main" count="1224" uniqueCount="110">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</sst>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0.95</v>
      </c>
      <c r="C9" t="s">
        <v>97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200472.85680979752</v>
      </c>
      <c r="D3" s="1">
        <v>124205.02885333775</v>
      </c>
      <c r="E3" s="47">
        <v>0.61956032766660107</v>
      </c>
      <c r="F3" s="1">
        <v>1.3</v>
      </c>
      <c r="G3" s="1">
        <v>309387.52658213663</v>
      </c>
      <c r="H3" s="1">
        <v>2243</v>
      </c>
      <c r="I3" s="1">
        <v>270</v>
      </c>
      <c r="J3" s="1">
        <v>282.61144246339171</v>
      </c>
      <c r="K3" s="1">
        <v>14</v>
      </c>
      <c r="L3" s="1">
        <v>748</v>
      </c>
      <c r="M3" s="1">
        <v>0</v>
      </c>
      <c r="N3" s="1">
        <v>10136</v>
      </c>
      <c r="O3" s="1">
        <v>313495</v>
      </c>
      <c r="P3" s="1">
        <v>0</v>
      </c>
      <c r="Q3" s="1">
        <v>40490</v>
      </c>
      <c r="R3" s="1">
        <v>7236</v>
      </c>
      <c r="S3" s="1">
        <v>1353</v>
      </c>
      <c r="T3" s="1">
        <v>202354</v>
      </c>
      <c r="U3" s="1">
        <v>7725</v>
      </c>
      <c r="V3" s="1">
        <v>2263</v>
      </c>
      <c r="W3" s="1">
        <v>109781.320056899</v>
      </c>
      <c r="X3" s="1">
        <v>8450</v>
      </c>
      <c r="Y3" s="1">
        <v>22478</v>
      </c>
      <c r="Z3" s="1">
        <v>32030</v>
      </c>
      <c r="AA3" s="1">
        <v>6216</v>
      </c>
    </row>
    <row r="4" spans="1:27">
      <c r="A4">
        <v>4</v>
      </c>
      <c r="B4" t="s">
        <v>22</v>
      </c>
      <c r="C4" s="1">
        <v>143325.82682941318</v>
      </c>
      <c r="D4" s="1">
        <v>91935.974446498585</v>
      </c>
      <c r="E4" s="47">
        <v>0.64144736842105265</v>
      </c>
      <c r="F4" s="1">
        <v>58230.25</v>
      </c>
      <c r="G4" s="1">
        <v>25577.059557551529</v>
      </c>
      <c r="H4" s="1">
        <v>316</v>
      </c>
      <c r="I4" s="1">
        <v>7</v>
      </c>
      <c r="J4" s="1">
        <v>11364.229374658471</v>
      </c>
      <c r="K4" s="1">
        <v>24</v>
      </c>
      <c r="L4" s="1">
        <v>19</v>
      </c>
      <c r="M4" s="1">
        <v>0</v>
      </c>
      <c r="N4" s="1">
        <v>4909</v>
      </c>
      <c r="O4" s="1">
        <v>20000</v>
      </c>
      <c r="P4" s="1">
        <v>1000</v>
      </c>
      <c r="Q4" s="1">
        <v>24755</v>
      </c>
      <c r="R4" s="1">
        <v>276</v>
      </c>
      <c r="S4" s="1">
        <v>738</v>
      </c>
      <c r="T4" s="1">
        <v>16446</v>
      </c>
      <c r="U4" s="1">
        <v>589</v>
      </c>
      <c r="V4" s="1">
        <v>570</v>
      </c>
      <c r="W4" s="1">
        <v>24106.11095305832</v>
      </c>
      <c r="X4" s="1">
        <v>4056</v>
      </c>
      <c r="Y4" s="1">
        <v>2647</v>
      </c>
      <c r="Z4" s="1">
        <v>2248</v>
      </c>
      <c r="AA4" s="1">
        <v>1721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35.75</v>
      </c>
      <c r="G5" s="1">
        <v>83058</v>
      </c>
      <c r="H5" s="1">
        <v>32</v>
      </c>
      <c r="I5" s="1">
        <v>1039</v>
      </c>
      <c r="J5" s="1">
        <v>0</v>
      </c>
      <c r="K5" s="1">
        <v>1</v>
      </c>
      <c r="L5" s="1">
        <v>24</v>
      </c>
      <c r="M5" s="1">
        <v>7576</v>
      </c>
      <c r="N5" s="1">
        <v>181</v>
      </c>
      <c r="O5" s="1">
        <v>83627</v>
      </c>
      <c r="P5" s="1">
        <v>0</v>
      </c>
      <c r="Q5" s="1">
        <v>28509</v>
      </c>
      <c r="R5" s="1">
        <v>4072</v>
      </c>
      <c r="S5" s="1">
        <v>281</v>
      </c>
      <c r="T5" s="1">
        <v>35790</v>
      </c>
      <c r="U5" s="1">
        <v>4018</v>
      </c>
      <c r="V5" s="1">
        <v>781</v>
      </c>
      <c r="W5" s="1">
        <v>63178.9573257468</v>
      </c>
      <c r="X5" s="1">
        <v>20604</v>
      </c>
      <c r="Y5" s="1">
        <v>3859</v>
      </c>
      <c r="Z5" s="1">
        <v>27029</v>
      </c>
      <c r="AA5" s="1">
        <v>5368</v>
      </c>
    </row>
    <row r="6" spans="1:27">
      <c r="A6">
        <v>6</v>
      </c>
      <c r="B6" t="s">
        <v>14</v>
      </c>
      <c r="C6" s="1">
        <v>54329.241999999998</v>
      </c>
      <c r="D6" s="1">
        <v>34201.881000000001</v>
      </c>
      <c r="E6" s="47">
        <v>0.62952987637854407</v>
      </c>
      <c r="F6" s="1">
        <v>7657.6500000000005</v>
      </c>
      <c r="G6" s="1">
        <v>37222</v>
      </c>
      <c r="H6" s="1">
        <v>71</v>
      </c>
      <c r="I6" s="1">
        <v>6029</v>
      </c>
      <c r="J6" s="1">
        <v>220</v>
      </c>
      <c r="K6" s="1">
        <v>16</v>
      </c>
      <c r="L6" s="1">
        <v>2483</v>
      </c>
      <c r="M6" s="1">
        <v>13001</v>
      </c>
      <c r="N6" s="1">
        <v>3836</v>
      </c>
      <c r="O6" s="1">
        <v>42704</v>
      </c>
      <c r="P6" s="1">
        <v>0</v>
      </c>
      <c r="Q6" s="1">
        <v>52192</v>
      </c>
      <c r="R6" s="1">
        <v>350</v>
      </c>
      <c r="S6" s="1">
        <v>6257</v>
      </c>
      <c r="T6" s="1">
        <v>28096</v>
      </c>
      <c r="U6" s="1">
        <v>2145</v>
      </c>
      <c r="V6" s="1">
        <v>7832</v>
      </c>
      <c r="W6" s="1">
        <v>66014.913229018493</v>
      </c>
      <c r="X6" s="1">
        <v>5407</v>
      </c>
      <c r="Y6" s="1">
        <v>10140</v>
      </c>
      <c r="Z6" s="1">
        <v>23744</v>
      </c>
      <c r="AA6" s="1">
        <v>44117</v>
      </c>
    </row>
    <row r="7" spans="1:27">
      <c r="A7">
        <v>7</v>
      </c>
      <c r="B7" t="s">
        <v>10</v>
      </c>
      <c r="C7" s="1">
        <v>96764.4</v>
      </c>
      <c r="D7" s="1">
        <v>56100</v>
      </c>
      <c r="E7" s="47">
        <v>0.57975867157756367</v>
      </c>
      <c r="F7" s="1">
        <v>11382.800000000001</v>
      </c>
      <c r="G7" s="1">
        <v>48410</v>
      </c>
      <c r="H7" s="1">
        <v>4949</v>
      </c>
      <c r="I7" s="1">
        <v>0</v>
      </c>
      <c r="J7" s="1">
        <v>3340</v>
      </c>
      <c r="K7" s="1">
        <v>1281</v>
      </c>
      <c r="L7" s="1">
        <v>0</v>
      </c>
      <c r="M7" s="1">
        <v>12358</v>
      </c>
      <c r="N7" s="1">
        <v>120</v>
      </c>
      <c r="O7" s="1">
        <v>40750</v>
      </c>
      <c r="P7" s="1">
        <v>14600</v>
      </c>
      <c r="Q7" s="1">
        <v>8800</v>
      </c>
      <c r="R7" s="1">
        <v>13984</v>
      </c>
      <c r="S7" s="1">
        <v>20</v>
      </c>
      <c r="T7" s="1">
        <v>22400</v>
      </c>
      <c r="U7" s="1">
        <v>4307</v>
      </c>
      <c r="V7" s="1">
        <v>1279</v>
      </c>
      <c r="W7" s="1">
        <v>33706.001422475107</v>
      </c>
      <c r="X7" s="1">
        <v>11039</v>
      </c>
      <c r="Y7" s="1">
        <v>2278</v>
      </c>
      <c r="Z7" s="1">
        <v>2446</v>
      </c>
      <c r="AA7" s="1">
        <v>5369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27309</v>
      </c>
      <c r="H8" s="1">
        <v>0</v>
      </c>
      <c r="I8" s="1">
        <v>1508</v>
      </c>
      <c r="J8" s="1">
        <v>0</v>
      </c>
      <c r="K8" s="1">
        <v>0</v>
      </c>
      <c r="L8" s="1">
        <v>733</v>
      </c>
      <c r="M8" s="1">
        <v>207</v>
      </c>
      <c r="N8" s="1">
        <v>6813</v>
      </c>
      <c r="O8" s="1">
        <v>26728</v>
      </c>
      <c r="P8" s="1">
        <v>0</v>
      </c>
      <c r="Q8" s="1">
        <v>20822</v>
      </c>
      <c r="R8" s="1">
        <v>184</v>
      </c>
      <c r="S8" s="1">
        <v>4869</v>
      </c>
      <c r="T8" s="1">
        <v>18818</v>
      </c>
      <c r="U8" s="1">
        <v>2991</v>
      </c>
      <c r="V8" s="1">
        <v>3381</v>
      </c>
      <c r="W8" s="1">
        <v>29701.27027027027</v>
      </c>
      <c r="X8" s="1">
        <v>11645</v>
      </c>
      <c r="Y8" s="1">
        <v>9948</v>
      </c>
      <c r="Z8" s="1">
        <v>15009</v>
      </c>
      <c r="AA8" s="1">
        <v>3043</v>
      </c>
    </row>
    <row r="9" spans="1:27">
      <c r="A9">
        <v>9</v>
      </c>
      <c r="B9" t="s">
        <v>2</v>
      </c>
      <c r="C9" s="1">
        <v>362.10599999999999</v>
      </c>
      <c r="D9" s="1">
        <v>37.799999999999997</v>
      </c>
      <c r="E9" s="47">
        <v>0.10438932246358801</v>
      </c>
      <c r="F9" s="1">
        <v>4.55</v>
      </c>
      <c r="G9" s="1">
        <v>28854</v>
      </c>
      <c r="H9" s="1">
        <v>83</v>
      </c>
      <c r="I9" s="1">
        <v>320</v>
      </c>
      <c r="J9" s="1">
        <v>440</v>
      </c>
      <c r="K9" s="1">
        <v>124</v>
      </c>
      <c r="L9" s="1">
        <v>69</v>
      </c>
      <c r="M9" s="1">
        <v>6688</v>
      </c>
      <c r="N9" s="1">
        <v>5025</v>
      </c>
      <c r="O9" s="1">
        <v>30857</v>
      </c>
      <c r="P9" s="1">
        <v>0</v>
      </c>
      <c r="Q9" s="1">
        <v>13652</v>
      </c>
      <c r="R9" s="1">
        <v>1950</v>
      </c>
      <c r="S9" s="1">
        <v>2331</v>
      </c>
      <c r="T9" s="1">
        <v>14344</v>
      </c>
      <c r="U9" s="1">
        <v>7350</v>
      </c>
      <c r="V9" s="1">
        <v>5915</v>
      </c>
      <c r="W9" s="1">
        <v>24334.4253200569</v>
      </c>
      <c r="X9" s="1">
        <v>13055</v>
      </c>
      <c r="Y9" s="1">
        <v>10249</v>
      </c>
      <c r="Z9" s="1">
        <v>24727</v>
      </c>
      <c r="AA9" s="1">
        <v>16705</v>
      </c>
    </row>
    <row r="10" spans="1:27">
      <c r="A10">
        <v>10</v>
      </c>
      <c r="B10" t="s">
        <v>8</v>
      </c>
      <c r="C10" s="1">
        <v>4297.5429764674182</v>
      </c>
      <c r="D10" s="1">
        <v>2289.9043698010387</v>
      </c>
      <c r="E10" s="47">
        <v>0.53284036537625057</v>
      </c>
      <c r="F10" s="1">
        <v>0</v>
      </c>
      <c r="G10" s="1">
        <v>5579.8894235560001</v>
      </c>
      <c r="H10" s="1">
        <v>10</v>
      </c>
      <c r="I10" s="1">
        <v>409</v>
      </c>
      <c r="J10" s="1">
        <v>0</v>
      </c>
      <c r="K10" s="1">
        <v>0</v>
      </c>
      <c r="L10" s="1">
        <v>69</v>
      </c>
      <c r="M10" s="1">
        <v>67</v>
      </c>
      <c r="N10" s="1">
        <v>10228</v>
      </c>
      <c r="O10" s="1">
        <v>6117</v>
      </c>
      <c r="P10" s="1">
        <v>0</v>
      </c>
      <c r="Q10" s="1">
        <v>14844</v>
      </c>
      <c r="R10" s="1">
        <v>2209</v>
      </c>
      <c r="S10" s="1">
        <v>1896</v>
      </c>
      <c r="T10" s="1">
        <v>11500</v>
      </c>
      <c r="U10" s="1">
        <v>7665</v>
      </c>
      <c r="V10" s="1">
        <v>917</v>
      </c>
      <c r="W10" s="1">
        <v>7795.1200612377106</v>
      </c>
      <c r="X10" s="1">
        <v>1185</v>
      </c>
      <c r="Y10" s="1">
        <v>6777</v>
      </c>
      <c r="Z10" s="1">
        <v>3601</v>
      </c>
      <c r="AA10" s="1">
        <v>2636</v>
      </c>
    </row>
    <row r="11" spans="1:27">
      <c r="A11">
        <v>11</v>
      </c>
      <c r="B11" t="s">
        <v>15</v>
      </c>
      <c r="C11" s="1">
        <v>281462.08799999999</v>
      </c>
      <c r="D11" s="1">
        <v>186891</v>
      </c>
      <c r="E11" s="47">
        <v>0.66400061666564492</v>
      </c>
      <c r="F11" s="1">
        <v>146337.75</v>
      </c>
      <c r="G11" s="1">
        <v>33884</v>
      </c>
      <c r="H11" s="1">
        <v>7086</v>
      </c>
      <c r="I11" s="1">
        <v>0</v>
      </c>
      <c r="J11" s="1">
        <v>411</v>
      </c>
      <c r="K11" s="1">
        <v>0</v>
      </c>
      <c r="L11" s="1">
        <v>0</v>
      </c>
      <c r="M11" s="1">
        <v>12</v>
      </c>
      <c r="N11" s="1">
        <v>93</v>
      </c>
      <c r="O11" s="1">
        <v>24070</v>
      </c>
      <c r="P11" s="1">
        <v>0</v>
      </c>
      <c r="Q11" s="1">
        <v>6929</v>
      </c>
      <c r="R11" s="1">
        <v>5957</v>
      </c>
      <c r="S11" s="1">
        <v>23</v>
      </c>
      <c r="T11" s="1">
        <v>7550</v>
      </c>
      <c r="U11" s="1">
        <v>2611</v>
      </c>
      <c r="V11" s="1">
        <v>308</v>
      </c>
      <c r="W11" s="1">
        <v>13733.837837837838</v>
      </c>
      <c r="X11" s="1">
        <v>3555</v>
      </c>
      <c r="Y11" s="1">
        <v>336</v>
      </c>
      <c r="Z11" s="1">
        <v>3456</v>
      </c>
      <c r="AA11" s="1">
        <v>1415</v>
      </c>
    </row>
    <row r="12" spans="1:27">
      <c r="A12">
        <v>12</v>
      </c>
      <c r="B12" t="s">
        <v>18</v>
      </c>
      <c r="C12" s="1">
        <v>15454.054571918718</v>
      </c>
      <c r="D12" s="1">
        <v>7320.3416393299194</v>
      </c>
      <c r="E12" s="47">
        <v>0.47368421052631576</v>
      </c>
      <c r="F12" s="1">
        <v>923.65</v>
      </c>
      <c r="G12" s="1">
        <v>1874.8208309617182</v>
      </c>
      <c r="H12" s="1">
        <v>0</v>
      </c>
      <c r="I12" s="1">
        <v>0</v>
      </c>
      <c r="J12" s="1">
        <v>5590.3008985682818</v>
      </c>
      <c r="K12" s="1">
        <v>0</v>
      </c>
      <c r="L12" s="1">
        <v>0</v>
      </c>
      <c r="M12" s="1">
        <v>0</v>
      </c>
      <c r="N12" s="1">
        <v>104</v>
      </c>
      <c r="O12" s="1">
        <v>2465</v>
      </c>
      <c r="P12" s="1">
        <v>0</v>
      </c>
      <c r="Q12" s="1">
        <v>6939</v>
      </c>
      <c r="R12" s="1">
        <v>0</v>
      </c>
      <c r="S12" s="1">
        <v>2061</v>
      </c>
      <c r="T12" s="1">
        <v>4687</v>
      </c>
      <c r="U12" s="1">
        <v>0</v>
      </c>
      <c r="V12" s="1">
        <v>1734</v>
      </c>
      <c r="W12" s="1">
        <v>4391.4082503556183</v>
      </c>
      <c r="X12" s="1">
        <v>0</v>
      </c>
      <c r="Y12" s="1">
        <v>3390</v>
      </c>
      <c r="Z12" s="1">
        <v>83</v>
      </c>
      <c r="AA12" s="1">
        <v>1708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11423</v>
      </c>
      <c r="H13" s="1">
        <v>16</v>
      </c>
      <c r="I13" s="1">
        <v>1729</v>
      </c>
      <c r="J13" s="1">
        <v>0</v>
      </c>
      <c r="K13" s="1">
        <v>0</v>
      </c>
      <c r="L13" s="1">
        <v>399</v>
      </c>
      <c r="M13" s="1">
        <v>186</v>
      </c>
      <c r="N13" s="1">
        <v>5360</v>
      </c>
      <c r="O13" s="1">
        <v>11688</v>
      </c>
      <c r="P13" s="1">
        <v>0</v>
      </c>
      <c r="Q13" s="1">
        <v>17526</v>
      </c>
      <c r="R13" s="1">
        <v>698</v>
      </c>
      <c r="S13" s="1">
        <v>4308</v>
      </c>
      <c r="T13" s="1">
        <v>15287</v>
      </c>
      <c r="U13" s="1">
        <v>4427</v>
      </c>
      <c r="V13" s="1">
        <v>3112</v>
      </c>
      <c r="W13" s="1">
        <v>13831.964438122333</v>
      </c>
      <c r="X13" s="1">
        <v>5939</v>
      </c>
      <c r="Y13" s="1">
        <v>9813</v>
      </c>
      <c r="Z13" s="1">
        <v>12341</v>
      </c>
      <c r="AA13" s="1">
        <v>7274</v>
      </c>
    </row>
    <row r="14" spans="1:27">
      <c r="A14">
        <v>14</v>
      </c>
      <c r="B14" t="s">
        <v>11</v>
      </c>
      <c r="C14" s="1">
        <v>68569.600000000006</v>
      </c>
      <c r="D14" s="1">
        <v>37700</v>
      </c>
      <c r="E14" s="47">
        <v>0.54980632816875108</v>
      </c>
      <c r="F14" s="1">
        <v>12725.050000000001</v>
      </c>
      <c r="G14" s="1">
        <v>30782</v>
      </c>
      <c r="H14" s="1">
        <v>879</v>
      </c>
      <c r="I14" s="1">
        <v>195</v>
      </c>
      <c r="J14" s="1">
        <v>0</v>
      </c>
      <c r="K14" s="1">
        <v>0</v>
      </c>
      <c r="L14" s="1">
        <v>528</v>
      </c>
      <c r="M14" s="1">
        <v>1264</v>
      </c>
      <c r="N14" s="1">
        <v>12</v>
      </c>
      <c r="O14" s="1">
        <v>19300</v>
      </c>
      <c r="P14" s="1">
        <v>15550</v>
      </c>
      <c r="Q14" s="1">
        <v>3300</v>
      </c>
      <c r="R14" s="1">
        <v>9887</v>
      </c>
      <c r="S14" s="1">
        <v>340</v>
      </c>
      <c r="T14" s="1">
        <v>17480</v>
      </c>
      <c r="U14" s="1">
        <v>6142</v>
      </c>
      <c r="V14" s="1">
        <v>217</v>
      </c>
      <c r="W14" s="1">
        <v>15634.190611664295</v>
      </c>
      <c r="X14" s="1">
        <v>9571</v>
      </c>
      <c r="Y14" s="1">
        <v>405</v>
      </c>
      <c r="Z14" s="1">
        <v>1834</v>
      </c>
      <c r="AA14" s="1">
        <v>1362</v>
      </c>
    </row>
    <row r="15" spans="1:27">
      <c r="A15">
        <v>15</v>
      </c>
      <c r="B15" t="s">
        <v>13</v>
      </c>
      <c r="C15" s="1">
        <v>11687</v>
      </c>
      <c r="D15" s="1">
        <v>7012</v>
      </c>
      <c r="E15" s="47">
        <v>0.5999828869684265</v>
      </c>
      <c r="F15" s="1">
        <v>1032.8500000000001</v>
      </c>
      <c r="G15" s="1">
        <v>4047</v>
      </c>
      <c r="H15" s="1">
        <v>0</v>
      </c>
      <c r="I15" s="1">
        <v>677</v>
      </c>
      <c r="J15" s="1">
        <v>6065</v>
      </c>
      <c r="K15" s="1">
        <v>0</v>
      </c>
      <c r="L15" s="1">
        <v>0</v>
      </c>
      <c r="M15" s="1">
        <v>561</v>
      </c>
      <c r="N15" s="1">
        <v>1450</v>
      </c>
      <c r="O15" s="1">
        <v>4505</v>
      </c>
      <c r="P15" s="1">
        <v>0</v>
      </c>
      <c r="Q15" s="1">
        <v>11690</v>
      </c>
      <c r="R15" s="1">
        <v>2591</v>
      </c>
      <c r="S15" s="1">
        <v>882</v>
      </c>
      <c r="T15" s="1">
        <v>7110</v>
      </c>
      <c r="U15" s="1">
        <v>761</v>
      </c>
      <c r="V15" s="1">
        <v>1288</v>
      </c>
      <c r="W15" s="1">
        <v>6428.7496443812233</v>
      </c>
      <c r="X15" s="1">
        <v>1202</v>
      </c>
      <c r="Y15" s="1">
        <v>3573</v>
      </c>
      <c r="Z15" s="1">
        <v>7319</v>
      </c>
      <c r="AA15" s="1">
        <v>6905</v>
      </c>
    </row>
    <row r="16" spans="1:27">
      <c r="A16">
        <v>16</v>
      </c>
      <c r="B16" t="s">
        <v>62</v>
      </c>
      <c r="C16" s="1">
        <v>572.39812357311257</v>
      </c>
      <c r="D16" s="1">
        <v>286.19906178655629</v>
      </c>
      <c r="E16" s="47">
        <v>0.5</v>
      </c>
      <c r="F16" s="1">
        <v>780</v>
      </c>
      <c r="G16" s="1">
        <v>114.5476728371</v>
      </c>
      <c r="H16" s="1">
        <v>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180</v>
      </c>
      <c r="O16" s="1">
        <v>0</v>
      </c>
      <c r="P16" s="1">
        <v>0</v>
      </c>
      <c r="Q16" s="1">
        <v>890</v>
      </c>
      <c r="R16" s="1">
        <v>0</v>
      </c>
      <c r="S16" s="1">
        <v>2158</v>
      </c>
      <c r="T16" s="1">
        <v>3264</v>
      </c>
      <c r="U16" s="1">
        <v>150</v>
      </c>
      <c r="V16" s="1">
        <v>171</v>
      </c>
      <c r="W16" s="1">
        <v>0</v>
      </c>
      <c r="X16" s="1">
        <v>0</v>
      </c>
      <c r="Y16" s="1">
        <v>2224</v>
      </c>
      <c r="Z16" s="1">
        <v>145</v>
      </c>
      <c r="AA16" s="1">
        <v>557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69.55</v>
      </c>
      <c r="G17" s="1">
        <v>12705</v>
      </c>
      <c r="H17" s="1">
        <v>0</v>
      </c>
      <c r="I17" s="1">
        <v>249</v>
      </c>
      <c r="J17" s="1">
        <v>0</v>
      </c>
      <c r="K17" s="1">
        <v>4</v>
      </c>
      <c r="L17" s="1">
        <v>174</v>
      </c>
      <c r="M17" s="1">
        <v>5007</v>
      </c>
      <c r="N17" s="1">
        <v>2822</v>
      </c>
      <c r="O17" s="1">
        <v>12180</v>
      </c>
      <c r="P17" s="1">
        <v>0</v>
      </c>
      <c r="Q17" s="1">
        <v>7298</v>
      </c>
      <c r="R17" s="1">
        <v>3915</v>
      </c>
      <c r="S17" s="1">
        <v>1621</v>
      </c>
      <c r="T17" s="1">
        <v>5071</v>
      </c>
      <c r="U17" s="1">
        <v>2850</v>
      </c>
      <c r="V17" s="1">
        <v>3502</v>
      </c>
      <c r="W17" s="1">
        <v>11168.94452347084</v>
      </c>
      <c r="X17" s="1">
        <v>9453</v>
      </c>
      <c r="Y17" s="1">
        <v>8481</v>
      </c>
      <c r="Z17" s="1">
        <v>10204</v>
      </c>
      <c r="AA17" s="1">
        <v>10988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4160</v>
      </c>
      <c r="H18" s="1">
        <v>13</v>
      </c>
      <c r="I18" s="1">
        <v>806</v>
      </c>
      <c r="J18" s="1">
        <v>0</v>
      </c>
      <c r="K18" s="1">
        <v>2</v>
      </c>
      <c r="L18" s="1">
        <v>441</v>
      </c>
      <c r="M18" s="1">
        <v>140</v>
      </c>
      <c r="N18" s="1">
        <v>6975</v>
      </c>
      <c r="O18" s="1">
        <v>4360</v>
      </c>
      <c r="P18" s="1">
        <v>0</v>
      </c>
      <c r="Q18" s="1">
        <v>13466</v>
      </c>
      <c r="R18" s="1">
        <v>118</v>
      </c>
      <c r="S18" s="1">
        <v>1219</v>
      </c>
      <c r="T18" s="1">
        <v>11905</v>
      </c>
      <c r="U18" s="1">
        <v>3697</v>
      </c>
      <c r="V18" s="1">
        <v>2778</v>
      </c>
      <c r="W18" s="1">
        <v>5143.388335704125</v>
      </c>
      <c r="X18" s="1">
        <v>2145</v>
      </c>
      <c r="Y18" s="1">
        <v>6650</v>
      </c>
      <c r="Z18" s="1">
        <v>7700</v>
      </c>
      <c r="AA18" s="1">
        <v>8515</v>
      </c>
    </row>
    <row r="19" spans="1:27">
      <c r="A19">
        <v>19</v>
      </c>
      <c r="B19" t="s">
        <v>12</v>
      </c>
      <c r="C19" s="1">
        <v>30387</v>
      </c>
      <c r="D19" s="1">
        <v>19333</v>
      </c>
      <c r="E19" s="47">
        <v>0.63622601770493958</v>
      </c>
      <c r="F19" s="1">
        <v>17746.95</v>
      </c>
      <c r="G19" s="1">
        <v>8274</v>
      </c>
      <c r="H19" s="1">
        <v>105</v>
      </c>
      <c r="I19" s="1">
        <v>100</v>
      </c>
      <c r="J19" s="1">
        <v>591</v>
      </c>
      <c r="K19" s="1">
        <v>531</v>
      </c>
      <c r="L19" s="1">
        <v>518</v>
      </c>
      <c r="M19" s="1">
        <v>3056</v>
      </c>
      <c r="N19" s="1">
        <v>1586</v>
      </c>
      <c r="O19" s="1">
        <v>8967</v>
      </c>
      <c r="P19" s="1">
        <v>0</v>
      </c>
      <c r="Q19" s="1">
        <v>6361</v>
      </c>
      <c r="R19" s="1">
        <v>577</v>
      </c>
      <c r="S19" s="1">
        <v>932</v>
      </c>
      <c r="T19" s="1">
        <v>3241</v>
      </c>
      <c r="U19" s="1">
        <v>1676</v>
      </c>
      <c r="V19" s="1">
        <v>2818</v>
      </c>
      <c r="W19" s="1">
        <v>9810.71692745377</v>
      </c>
      <c r="X19" s="1">
        <v>2611</v>
      </c>
      <c r="Y19" s="1">
        <v>4597</v>
      </c>
      <c r="Z19" s="1">
        <v>7958</v>
      </c>
      <c r="AA19" s="1">
        <v>11315</v>
      </c>
    </row>
    <row r="20" spans="1:27">
      <c r="A20">
        <v>20</v>
      </c>
      <c r="B20" t="s">
        <v>23</v>
      </c>
      <c r="C20" s="1">
        <v>32.203000000000003</v>
      </c>
      <c r="D20" s="1">
        <v>18.399999999999999</v>
      </c>
      <c r="E20" s="47">
        <v>0.57137533770145632</v>
      </c>
      <c r="F20" s="1">
        <v>458.90000000000003</v>
      </c>
      <c r="G20" s="1">
        <v>0</v>
      </c>
      <c r="H20" s="1">
        <v>89</v>
      </c>
      <c r="I20" s="1">
        <v>125</v>
      </c>
      <c r="J20" s="1">
        <v>1268</v>
      </c>
      <c r="K20" s="1">
        <v>0</v>
      </c>
      <c r="L20" s="1">
        <v>228</v>
      </c>
      <c r="M20" s="1">
        <v>0</v>
      </c>
      <c r="N20" s="1">
        <v>1202</v>
      </c>
      <c r="O20" s="1">
        <v>0</v>
      </c>
      <c r="P20" s="1">
        <v>0</v>
      </c>
      <c r="Q20" s="1">
        <v>3675</v>
      </c>
      <c r="R20" s="1">
        <v>13</v>
      </c>
      <c r="S20" s="1">
        <v>1750</v>
      </c>
      <c r="T20" s="1">
        <v>2716</v>
      </c>
      <c r="U20" s="1">
        <v>266</v>
      </c>
      <c r="V20" s="1">
        <v>782</v>
      </c>
      <c r="W20" s="1">
        <v>2082.0327169274537</v>
      </c>
      <c r="X20" s="1">
        <v>718</v>
      </c>
      <c r="Y20" s="1">
        <v>2349</v>
      </c>
      <c r="Z20" s="1">
        <v>1050</v>
      </c>
      <c r="AA20" s="1">
        <v>2247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4477</v>
      </c>
      <c r="H21" s="1">
        <v>5</v>
      </c>
      <c r="I21" s="1">
        <v>239</v>
      </c>
      <c r="J21" s="1">
        <v>0</v>
      </c>
      <c r="K21" s="1">
        <v>0</v>
      </c>
      <c r="L21" s="1">
        <v>0</v>
      </c>
      <c r="M21" s="1">
        <v>1427</v>
      </c>
      <c r="N21" s="1">
        <v>238</v>
      </c>
      <c r="O21" s="1">
        <v>4893</v>
      </c>
      <c r="P21" s="1">
        <v>0</v>
      </c>
      <c r="Q21" s="1">
        <v>3443</v>
      </c>
      <c r="R21" s="1">
        <v>1250</v>
      </c>
      <c r="S21" s="1">
        <v>298</v>
      </c>
      <c r="T21" s="1">
        <v>4074</v>
      </c>
      <c r="U21" s="1">
        <v>1933</v>
      </c>
      <c r="V21" s="1">
        <v>1073</v>
      </c>
      <c r="W21" s="1">
        <v>2206.3911806543383</v>
      </c>
      <c r="X21" s="1">
        <v>525</v>
      </c>
      <c r="Y21" s="1">
        <v>3083</v>
      </c>
      <c r="Z21" s="1">
        <v>5531</v>
      </c>
      <c r="AA21" s="1">
        <v>4246</v>
      </c>
    </row>
    <row r="22" spans="1:27">
      <c r="A22">
        <v>22</v>
      </c>
      <c r="B22" t="s">
        <v>16</v>
      </c>
      <c r="C22" s="1">
        <v>1407.6150075673052</v>
      </c>
      <c r="D22" s="1">
        <v>708.23396607159998</v>
      </c>
      <c r="E22" s="47">
        <v>0.50314465408805031</v>
      </c>
      <c r="F22" s="1">
        <v>0</v>
      </c>
      <c r="G22" s="1">
        <v>973.82170334845</v>
      </c>
      <c r="H22" s="1">
        <v>0</v>
      </c>
      <c r="I22" s="1">
        <v>0</v>
      </c>
      <c r="J22" s="1">
        <v>2567.3481270095499</v>
      </c>
      <c r="K22" s="1">
        <v>0</v>
      </c>
      <c r="L22" s="1">
        <v>31</v>
      </c>
      <c r="M22" s="1">
        <v>0</v>
      </c>
      <c r="N22" s="1">
        <v>1252</v>
      </c>
      <c r="O22" s="1">
        <v>1100</v>
      </c>
      <c r="P22" s="1">
        <v>0</v>
      </c>
      <c r="Q22" s="1">
        <v>4500</v>
      </c>
      <c r="R22" s="1">
        <v>0</v>
      </c>
      <c r="S22" s="1">
        <v>2557</v>
      </c>
      <c r="T22" s="1">
        <v>4800</v>
      </c>
      <c r="U22" s="1">
        <v>0</v>
      </c>
      <c r="V22" s="1">
        <v>159</v>
      </c>
      <c r="W22" s="1">
        <v>1795.6280912919499</v>
      </c>
      <c r="X22" s="1">
        <v>0</v>
      </c>
      <c r="Y22" s="1">
        <v>421</v>
      </c>
      <c r="Z22" s="1">
        <v>133</v>
      </c>
      <c r="AA22" s="1">
        <v>434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99</v>
      </c>
      <c r="J23" s="1">
        <v>3029.4043594340001</v>
      </c>
      <c r="K23" s="1">
        <v>86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4186</v>
      </c>
      <c r="R23" s="1">
        <v>0</v>
      </c>
      <c r="S23" s="1">
        <v>803</v>
      </c>
      <c r="T23" s="1">
        <v>2550</v>
      </c>
      <c r="U23" s="1">
        <v>0</v>
      </c>
      <c r="V23" s="1">
        <v>528</v>
      </c>
      <c r="W23" s="1">
        <v>1359.6902292565255</v>
      </c>
      <c r="X23" s="1">
        <v>0</v>
      </c>
      <c r="Y23" s="1">
        <v>1592</v>
      </c>
      <c r="Z23" s="1">
        <v>129</v>
      </c>
      <c r="AA23" s="1">
        <v>1934</v>
      </c>
    </row>
    <row r="24" spans="1:27">
      <c r="A24">
        <v>24</v>
      </c>
      <c r="B24" t="s">
        <v>0</v>
      </c>
      <c r="C24" s="1">
        <v>2047.95</v>
      </c>
      <c r="D24" s="1">
        <v>665.34400000000005</v>
      </c>
      <c r="E24" s="47">
        <v>0.32488293171220001</v>
      </c>
      <c r="F24" s="1">
        <v>0</v>
      </c>
      <c r="G24" s="1">
        <v>5444</v>
      </c>
      <c r="H24" s="1">
        <v>8</v>
      </c>
      <c r="I24" s="1">
        <v>52</v>
      </c>
      <c r="J24" s="1">
        <v>0</v>
      </c>
      <c r="K24" s="1">
        <v>0</v>
      </c>
      <c r="L24" s="1">
        <v>6</v>
      </c>
      <c r="M24" s="1">
        <v>1098</v>
      </c>
      <c r="N24" s="1">
        <v>1132</v>
      </c>
      <c r="O24" s="1">
        <v>6409</v>
      </c>
      <c r="P24" s="1">
        <v>0</v>
      </c>
      <c r="Q24" s="1">
        <v>607</v>
      </c>
      <c r="R24" s="1">
        <v>482</v>
      </c>
      <c r="S24" s="1">
        <v>112</v>
      </c>
      <c r="T24" s="1">
        <v>1632</v>
      </c>
      <c r="U24" s="1">
        <v>1152</v>
      </c>
      <c r="V24" s="1">
        <v>1094</v>
      </c>
      <c r="W24" s="1">
        <v>4403.0668563300142</v>
      </c>
      <c r="X24" s="1">
        <v>3695</v>
      </c>
      <c r="Y24" s="1">
        <v>1440</v>
      </c>
      <c r="Z24" s="1">
        <v>3075</v>
      </c>
      <c r="AA24" s="1">
        <v>3196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53.300000000000004</v>
      </c>
      <c r="G25" s="1">
        <v>7254</v>
      </c>
      <c r="H25" s="1">
        <v>203</v>
      </c>
      <c r="I25" s="1">
        <v>332</v>
      </c>
      <c r="J25" s="1">
        <v>0</v>
      </c>
      <c r="K25" s="1">
        <v>1</v>
      </c>
      <c r="L25" s="1">
        <v>32</v>
      </c>
      <c r="M25" s="1">
        <v>2721</v>
      </c>
      <c r="N25" s="1">
        <v>4508</v>
      </c>
      <c r="O25" s="1">
        <v>7776</v>
      </c>
      <c r="P25" s="1">
        <v>0</v>
      </c>
      <c r="Q25" s="1">
        <v>2644</v>
      </c>
      <c r="R25" s="1">
        <v>643</v>
      </c>
      <c r="S25" s="1">
        <v>3458</v>
      </c>
      <c r="T25" s="1">
        <v>1031</v>
      </c>
      <c r="U25" s="1">
        <v>1813</v>
      </c>
      <c r="V25" s="1">
        <v>2274</v>
      </c>
      <c r="W25" s="1">
        <v>11892.749644381223</v>
      </c>
      <c r="X25" s="1">
        <v>14251</v>
      </c>
      <c r="Y25" s="1">
        <v>5362</v>
      </c>
      <c r="Z25" s="1">
        <v>6651</v>
      </c>
      <c r="AA25" s="1">
        <v>7274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1.3</v>
      </c>
      <c r="G26" s="1">
        <v>10189</v>
      </c>
      <c r="H26" s="1">
        <v>1</v>
      </c>
      <c r="I26" s="1">
        <v>102</v>
      </c>
      <c r="J26" s="1">
        <v>0</v>
      </c>
      <c r="K26" s="1">
        <v>0</v>
      </c>
      <c r="L26" s="1">
        <v>2</v>
      </c>
      <c r="M26" s="1">
        <v>6108</v>
      </c>
      <c r="N26" s="1">
        <v>185</v>
      </c>
      <c r="O26" s="1">
        <v>10550</v>
      </c>
      <c r="P26" s="1">
        <v>0</v>
      </c>
      <c r="Q26" s="1">
        <v>2677</v>
      </c>
      <c r="R26" s="1">
        <v>2265</v>
      </c>
      <c r="S26" s="1">
        <v>741</v>
      </c>
      <c r="T26" s="1">
        <v>4408</v>
      </c>
      <c r="U26" s="1">
        <v>2619</v>
      </c>
      <c r="V26" s="1">
        <v>2080</v>
      </c>
      <c r="W26" s="1">
        <v>5770.0384068278809</v>
      </c>
      <c r="X26" s="1">
        <v>2830</v>
      </c>
      <c r="Y26" s="1">
        <v>3895</v>
      </c>
      <c r="Z26" s="1">
        <v>6794</v>
      </c>
      <c r="AA26" s="1">
        <v>11345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13564.85</v>
      </c>
      <c r="G27" s="1">
        <v>5599.0793858669995</v>
      </c>
      <c r="H27" s="1">
        <v>160</v>
      </c>
      <c r="I27" s="1">
        <v>493</v>
      </c>
      <c r="J27" s="1">
        <v>0</v>
      </c>
      <c r="K27" s="1">
        <v>61</v>
      </c>
      <c r="L27" s="1">
        <v>138</v>
      </c>
      <c r="M27" s="1">
        <v>4199</v>
      </c>
      <c r="N27" s="1">
        <v>2162</v>
      </c>
      <c r="O27" s="1">
        <v>6778</v>
      </c>
      <c r="P27" s="1">
        <v>0</v>
      </c>
      <c r="Q27" s="1">
        <v>141</v>
      </c>
      <c r="R27" s="1">
        <v>115</v>
      </c>
      <c r="S27" s="1">
        <v>322</v>
      </c>
      <c r="T27" s="1">
        <v>215</v>
      </c>
      <c r="U27" s="1">
        <v>947</v>
      </c>
      <c r="V27" s="1">
        <v>2552</v>
      </c>
      <c r="W27" s="1">
        <v>5750.607396870555</v>
      </c>
      <c r="X27" s="1">
        <v>6679</v>
      </c>
      <c r="Y27" s="1">
        <v>3060</v>
      </c>
      <c r="Z27" s="1">
        <v>4790</v>
      </c>
      <c r="AA27" s="1">
        <v>4733</v>
      </c>
    </row>
    <row r="28" spans="1:27">
      <c r="A28">
        <v>28</v>
      </c>
      <c r="B28" t="s">
        <v>20</v>
      </c>
      <c r="C28" s="1">
        <v>262000</v>
      </c>
      <c r="D28" s="1">
        <v>163000</v>
      </c>
      <c r="E28" s="47">
        <v>0.62213740458015265</v>
      </c>
      <c r="F28" s="1">
        <v>155195.95000000001</v>
      </c>
      <c r="G28" s="1">
        <v>6203</v>
      </c>
      <c r="H28" s="1">
        <v>0</v>
      </c>
      <c r="I28" s="1">
        <v>309</v>
      </c>
      <c r="J28" s="1">
        <v>0</v>
      </c>
      <c r="K28" s="1">
        <v>21</v>
      </c>
      <c r="L28" s="1">
        <v>0</v>
      </c>
      <c r="M28" s="1">
        <v>1265</v>
      </c>
      <c r="N28" s="1">
        <v>19</v>
      </c>
      <c r="O28" s="1">
        <v>6375</v>
      </c>
      <c r="P28" s="1">
        <v>0</v>
      </c>
      <c r="Q28" s="1">
        <v>1380</v>
      </c>
      <c r="R28" s="1">
        <v>28</v>
      </c>
      <c r="S28" s="1">
        <v>36</v>
      </c>
      <c r="T28" s="1">
        <v>2138</v>
      </c>
      <c r="U28" s="1">
        <v>147</v>
      </c>
      <c r="V28" s="1">
        <v>747</v>
      </c>
      <c r="W28" s="1">
        <v>2768.9189189189187</v>
      </c>
      <c r="X28" s="1">
        <v>464</v>
      </c>
      <c r="Y28" s="1">
        <v>1200</v>
      </c>
      <c r="Z28" s="1">
        <v>957</v>
      </c>
      <c r="AA28" s="1">
        <v>4396</v>
      </c>
    </row>
    <row r="29" spans="1:27">
      <c r="A29">
        <v>29</v>
      </c>
      <c r="B29" t="s">
        <v>17</v>
      </c>
      <c r="C29" s="1">
        <v>39542.072</v>
      </c>
      <c r="D29" s="1">
        <v>25000</v>
      </c>
      <c r="E29" s="47">
        <v>0.63223798692187905</v>
      </c>
      <c r="F29" s="1">
        <v>17818.45</v>
      </c>
      <c r="G29" s="1">
        <v>6130</v>
      </c>
      <c r="H29" s="1">
        <v>686</v>
      </c>
      <c r="I29" s="1">
        <v>1</v>
      </c>
      <c r="J29" s="1">
        <v>1781</v>
      </c>
      <c r="K29" s="1">
        <v>2</v>
      </c>
      <c r="L29" s="1">
        <v>521</v>
      </c>
      <c r="M29" s="1">
        <v>386</v>
      </c>
      <c r="N29" s="1">
        <v>87</v>
      </c>
      <c r="O29" s="1">
        <v>5256</v>
      </c>
      <c r="P29" s="1">
        <v>0</v>
      </c>
      <c r="Q29" s="1">
        <v>4238</v>
      </c>
      <c r="R29" s="1">
        <v>703</v>
      </c>
      <c r="S29" s="1">
        <v>17</v>
      </c>
      <c r="T29" s="1">
        <v>2735</v>
      </c>
      <c r="U29" s="1">
        <v>1058</v>
      </c>
      <c r="V29" s="1">
        <v>109</v>
      </c>
      <c r="W29" s="1">
        <v>4240.8179231863442</v>
      </c>
      <c r="X29" s="1">
        <v>2585</v>
      </c>
      <c r="Y29" s="1">
        <v>272</v>
      </c>
      <c r="Z29" s="1">
        <v>1029</v>
      </c>
      <c r="AA29" s="1">
        <v>1380</v>
      </c>
    </row>
    <row r="30" spans="1:27">
      <c r="A30">
        <v>30</v>
      </c>
      <c r="B30" t="s">
        <v>25</v>
      </c>
      <c r="C30" s="1">
        <v>949.60500000000002</v>
      </c>
      <c r="D30" s="1">
        <v>541</v>
      </c>
      <c r="E30" s="47">
        <v>0.56971056386602847</v>
      </c>
      <c r="F30" s="1">
        <v>259.35000000000002</v>
      </c>
      <c r="G30" s="1">
        <v>0</v>
      </c>
      <c r="H30" s="1">
        <v>6</v>
      </c>
      <c r="I30" s="1">
        <v>595</v>
      </c>
      <c r="J30" s="1">
        <v>1350</v>
      </c>
      <c r="K30" s="1">
        <v>71</v>
      </c>
      <c r="L30" s="1">
        <v>71</v>
      </c>
      <c r="M30" s="1">
        <v>54</v>
      </c>
      <c r="N30" s="1">
        <v>2149</v>
      </c>
      <c r="O30" s="1">
        <v>0</v>
      </c>
      <c r="P30" s="1">
        <v>0</v>
      </c>
      <c r="Q30" s="1">
        <v>5296</v>
      </c>
      <c r="R30" s="1">
        <v>492</v>
      </c>
      <c r="S30" s="1">
        <v>450</v>
      </c>
      <c r="T30" s="1">
        <v>3312</v>
      </c>
      <c r="U30" s="1">
        <v>530</v>
      </c>
      <c r="V30" s="1">
        <v>679</v>
      </c>
      <c r="W30" s="1">
        <v>1673.9815078236131</v>
      </c>
      <c r="X30" s="1">
        <v>906</v>
      </c>
      <c r="Y30" s="1">
        <v>2274</v>
      </c>
      <c r="Z30" s="1">
        <v>1311</v>
      </c>
      <c r="AA30" s="1">
        <v>1491</v>
      </c>
    </row>
    <row r="31" spans="1:27">
      <c r="A31">
        <v>31</v>
      </c>
      <c r="B31" t="s">
        <v>27</v>
      </c>
      <c r="C31" s="1">
        <v>230.946</v>
      </c>
      <c r="D31" s="1">
        <v>116</v>
      </c>
      <c r="E31" s="47">
        <v>0.50228191871692951</v>
      </c>
      <c r="F31" s="1">
        <v>0</v>
      </c>
      <c r="G31" s="1">
        <v>0</v>
      </c>
      <c r="H31" s="1">
        <v>25</v>
      </c>
      <c r="I31" s="1">
        <v>969</v>
      </c>
      <c r="J31" s="1">
        <v>0</v>
      </c>
      <c r="K31" s="1">
        <v>0</v>
      </c>
      <c r="L31" s="1">
        <v>0</v>
      </c>
      <c r="M31" s="1">
        <v>173</v>
      </c>
      <c r="N31" s="1">
        <v>1683</v>
      </c>
      <c r="O31" s="1">
        <v>0</v>
      </c>
      <c r="P31" s="1">
        <v>0</v>
      </c>
      <c r="Q31" s="1">
        <v>5161</v>
      </c>
      <c r="R31" s="1">
        <v>39</v>
      </c>
      <c r="S31" s="1">
        <v>5710</v>
      </c>
      <c r="T31" s="1">
        <v>4991</v>
      </c>
      <c r="U31" s="1">
        <v>458</v>
      </c>
      <c r="V31" s="1">
        <v>1104</v>
      </c>
      <c r="W31" s="1">
        <v>4292.3100995732575</v>
      </c>
      <c r="X31" s="1">
        <v>1409</v>
      </c>
      <c r="Y31" s="1">
        <v>5220</v>
      </c>
      <c r="Z31" s="1">
        <v>2744</v>
      </c>
      <c r="AA31" s="1">
        <v>2226</v>
      </c>
    </row>
    <row r="32" spans="1:27">
      <c r="A32">
        <v>32</v>
      </c>
      <c r="B32" t="s">
        <v>7</v>
      </c>
      <c r="C32" s="1">
        <v>23300</v>
      </c>
      <c r="D32" s="1">
        <v>15300</v>
      </c>
      <c r="E32" s="47">
        <v>0.6566523605150214</v>
      </c>
      <c r="F32" s="1">
        <v>11438.050000000001</v>
      </c>
      <c r="G32" s="1">
        <v>3730</v>
      </c>
      <c r="H32" s="1">
        <v>99</v>
      </c>
      <c r="I32" s="1">
        <v>38</v>
      </c>
      <c r="J32" s="1">
        <v>114</v>
      </c>
      <c r="K32" s="1">
        <v>3</v>
      </c>
      <c r="L32" s="1">
        <v>0</v>
      </c>
      <c r="M32" s="1">
        <v>858</v>
      </c>
      <c r="N32" s="1">
        <v>252</v>
      </c>
      <c r="O32" s="1">
        <v>3924</v>
      </c>
      <c r="P32" s="1">
        <v>0</v>
      </c>
      <c r="Q32" s="1">
        <v>1738</v>
      </c>
      <c r="R32" s="1">
        <v>233</v>
      </c>
      <c r="S32" s="1">
        <v>295</v>
      </c>
      <c r="T32" s="1">
        <v>793</v>
      </c>
      <c r="U32" s="1">
        <v>756</v>
      </c>
      <c r="V32" s="1">
        <v>885</v>
      </c>
      <c r="W32" s="1">
        <v>4046.5078236130867</v>
      </c>
      <c r="X32" s="1">
        <v>2913</v>
      </c>
      <c r="Y32" s="1">
        <v>2026</v>
      </c>
      <c r="Z32" s="1">
        <v>2777</v>
      </c>
      <c r="AA32" s="1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294224.82904309058</v>
      </c>
      <c r="D2" s="9">
        <f ca="1">R4/parameters!$B$3</f>
        <v>261.65092791216705</v>
      </c>
      <c r="E2" s="9"/>
      <c r="F2" s="9"/>
      <c r="G2" s="9"/>
      <c r="H2" s="9"/>
      <c r="I2" s="9"/>
      <c r="J2" s="9"/>
      <c r="K2" s="9"/>
      <c r="L2" s="12"/>
      <c r="M2" s="17">
        <f ca="1">SUM(B2:L2)</f>
        <v>294486.47997100273</v>
      </c>
      <c r="N2" s="17"/>
      <c r="O2" s="17">
        <f ca="1">R2-(M2+P2+Q2)</f>
        <v>0</v>
      </c>
      <c r="P2" s="11" cm="1">
        <f t="array" aca="1" ref="P2" ca="1">INDIRECT("'data'!$F$" &amp; $A$1)</f>
        <v>1.3</v>
      </c>
      <c r="Q2" s="13">
        <f ca="1">IF(-(M2-R2+P2)&lt;0, -(M2-R2+P2), 0)</f>
        <v>-170282.75111766497</v>
      </c>
      <c r="R2" s="17" cm="1">
        <f t="array" aca="1" ref="R2" ca="1">INDIRECT("'data'!$D$" &amp; $A$1)</f>
        <v>124205.02885333775</v>
      </c>
      <c r="S2" s="17">
        <f ca="1">SUM(M2:Q2)</f>
        <v>124205.02885333775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278402.27611940302</v>
      </c>
      <c r="G3" s="14">
        <f ca="1">R7/parameters!$B$6</f>
        <v>0</v>
      </c>
      <c r="H3" s="14">
        <f ca="1">R3-P3-Q3-F3-G3</f>
        <v>12104.451500716095</v>
      </c>
      <c r="I3" s="14"/>
      <c r="J3" s="14"/>
      <c r="K3" s="14"/>
      <c r="L3" s="13"/>
      <c r="M3" s="16">
        <f t="shared" ref="M3:M11" ca="1" si="0">SUM(B3:L3)</f>
        <v>290506.72762011911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2119.6349999999998</v>
      </c>
      <c r="Q3" s="13" cm="1">
        <f t="array" aca="1" ref="Q3" ca="1">-INDIRECT("'data'!$I$" &amp; $A$1)*parameters!$B$13</f>
        <v>-255.14999999999998</v>
      </c>
      <c r="R3" s="16" cm="1">
        <f t="array" aca="1" ref="R3" ca="1">INDIRECT("'data'!$G$" &amp; $A$1)*parameters!$B$13</f>
        <v>292371.2126201191</v>
      </c>
      <c r="S3" s="16">
        <f t="shared" ref="S3:S11" ca="1" si="2">SUM(M3:Q3)</f>
        <v>292371.2126201191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935.28252706632043</v>
      </c>
      <c r="I4" s="14"/>
      <c r="J4" s="14"/>
      <c r="K4" s="14"/>
      <c r="L4" s="13"/>
      <c r="M4" s="16">
        <f t="shared" ca="1" si="0"/>
        <v>935.28252706632043</v>
      </c>
      <c r="N4" s="16"/>
      <c r="O4" s="16">
        <f t="shared" ca="1" si="1"/>
        <v>0</v>
      </c>
      <c r="P4" s="11" cm="1">
        <f t="array" aca="1" ref="P4" ca="1">INDIRECT("'data'!$K$" &amp; $A$1)*parameters!$B$14</f>
        <v>12.88</v>
      </c>
      <c r="Q4" s="13" cm="1">
        <f t="array" aca="1" ref="Q4" ca="1">-INDIRECT("'data'!$L$" &amp; $A$1)*parameters!$B$14</f>
        <v>-688.16000000000008</v>
      </c>
      <c r="R4" s="16" cm="1">
        <f t="array" aca="1" ref="R4" ca="1">INDIRECT("'data'!$J$" &amp; $A$1)*parameters!$B$14</f>
        <v>260.0025270663204</v>
      </c>
      <c r="S4" s="16">
        <f t="shared" ca="1" si="2"/>
        <v>260.00252706632034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R6/parameters!$B$5*15%</f>
        <v>49129.813432835821</v>
      </c>
      <c r="G5" s="14"/>
      <c r="H5" s="14">
        <f ca="1">R8/parameters!$B$7-(H3+H4)</f>
        <v>28423.379869814238</v>
      </c>
      <c r="I5" s="14"/>
      <c r="J5" s="14"/>
      <c r="K5" s="14"/>
      <c r="L5" s="13"/>
      <c r="M5" s="16">
        <f t="shared" ca="1" si="0"/>
        <v>77553.193302650063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-9933.2800000000007</v>
      </c>
      <c r="R5" s="16">
        <f ca="1">SUM(M5:Q5)</f>
        <v>67619.913302650064</v>
      </c>
      <c r="S5" s="16">
        <f t="shared" ca="1" si="2"/>
        <v>67619.913302650064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307225.09999999998</v>
      </c>
      <c r="J6" s="14"/>
      <c r="K6" s="14"/>
      <c r="L6" s="13"/>
      <c r="M6" s="16">
        <f t="shared" ca="1" si="0"/>
        <v>307225.09999999998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307225.09999999998</v>
      </c>
      <c r="S6" s="16">
        <f t="shared" ca="1" si="2"/>
        <v>307225.09999999998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39680.199999999997</v>
      </c>
      <c r="J8" s="14"/>
      <c r="K8" s="14"/>
      <c r="L8" s="13"/>
      <c r="M8" s="16">
        <f t="shared" ca="1" si="0"/>
        <v>39680.199999999997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39680.199999999997</v>
      </c>
      <c r="S8" s="16">
        <f t="shared" ca="1" si="2"/>
        <v>39680.199999999997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221157.39882707398</v>
      </c>
      <c r="K9" s="14">
        <f ca="1">R11/K19</f>
        <v>119982.561172926</v>
      </c>
      <c r="L9" s="13"/>
      <c r="M9" s="16">
        <f t="shared" ca="1" si="0"/>
        <v>341139.95999999996</v>
      </c>
      <c r="N9" s="16"/>
      <c r="O9" s="16">
        <f t="shared" ca="1" si="3"/>
        <v>0</v>
      </c>
      <c r="P9" s="11" cm="1">
        <f t="array" aca="1" ref="P9" ca="1">INDIRECT("'data'!$R$" &amp; $A$1)*parameters!$B$15</f>
        <v>7091.28</v>
      </c>
      <c r="Q9" s="13" cm="1">
        <f t="array" aca="1" ref="Q9" ca="1">-INDIRECT("'data'!$S$" &amp; $A$1)*parameters!$B$15</f>
        <v>-1325.94</v>
      </c>
      <c r="R9" s="16">
        <f ca="1">SUM(R6:R8)</f>
        <v>346905.3</v>
      </c>
      <c r="S9" s="16">
        <f t="shared" ca="1" si="2"/>
        <v>346905.3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192954.15999999997</v>
      </c>
      <c r="M10" s="16">
        <f t="shared" ca="1" si="0"/>
        <v>192954.15999999997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7570.5</v>
      </c>
      <c r="Q10" s="13" cm="1">
        <f t="array" aca="1" ref="Q10" ca="1">-INDIRECT("'data'!$V$" &amp; $A$1)*parameters!$B$15</f>
        <v>-2217.7399999999998</v>
      </c>
      <c r="R10" s="16" cm="1">
        <f t="array" aca="1" ref="R10" ca="1">INDIRECT("'data'!$T$" &amp; $A$1)*parameters!$B$15</f>
        <v>198306.91999999998</v>
      </c>
      <c r="S10" s="16">
        <f t="shared" ca="1" si="2"/>
        <v>198306.91999999998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121333.13365576102</v>
      </c>
      <c r="M11" s="16">
        <f t="shared" ca="1" si="0"/>
        <v>121333.13365576102</v>
      </c>
      <c r="N11" s="16"/>
      <c r="O11" s="16">
        <f t="shared" ca="1" si="3"/>
        <v>0</v>
      </c>
      <c r="P11" s="11" cm="1">
        <f t="array" aca="1" ref="P11" ca="1">INDIRECT("'data'!$X$" &amp; $A$1)*parameters!$B$15</f>
        <v>8281</v>
      </c>
      <c r="Q11" s="13" cm="1">
        <f t="array" aca="1" ref="Q11" ca="1">-INDIRECT("'data'!$Y$" &amp; $A$1)*parameters!$B$15</f>
        <v>-22028.44</v>
      </c>
      <c r="R11" s="16" cm="1">
        <f t="array" aca="1" ref="R11" ca="1">INDIRECT("'data'!$W$" &amp; $A$1)*parameters!$B$15</f>
        <v>107585.69365576102</v>
      </c>
      <c r="S11" s="16">
        <f t="shared" ca="1" si="2"/>
        <v>107585.69365576102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260425.68534395445</v>
      </c>
      <c r="O12" s="19"/>
      <c r="P12" s="21" cm="1">
        <f t="array" aca="1" ref="P12" ca="1">INDIRECT("'data'!$Z$" &amp; $A$1)*parameters!$B$15</f>
        <v>31389.399999999998</v>
      </c>
      <c r="Q12" s="27" cm="1">
        <f t="array" aca="1" ref="Q12" ca="1">-INDIRECT("'data'!$AA$" &amp; $A$1)*parameters!$B$15</f>
        <v>-6091.68</v>
      </c>
      <c r="R12" s="16">
        <f ca="1">L10*parameters!$B$10+L11*parameters!$B$11</f>
        <v>285723.40534395445</v>
      </c>
      <c r="S12" s="16">
        <f t="shared" ref="S12:S18" ca="1" si="4">SUM(M12:Q12)</f>
        <v>285723.40534395445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-1853.6164229714777</v>
      </c>
      <c r="D13" s="9">
        <f ca="1">-(D18-R4)</f>
        <v>-1.6484008458466519</v>
      </c>
      <c r="E13" s="9">
        <f ca="1">-(E18-R5)</f>
        <v>-8357.5173744848435</v>
      </c>
      <c r="F13" s="9">
        <f ca="1">-(F18-R6)</f>
        <v>-20306.98955223884</v>
      </c>
      <c r="G13" s="9">
        <f ca="1">-(G18-R7)</f>
        <v>0</v>
      </c>
      <c r="H13" s="9">
        <f ca="1">-(H18-R8)</f>
        <v>-1782.9138975966562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-32302.685648137664</v>
      </c>
      <c r="N13" s="17"/>
      <c r="O13" s="17"/>
      <c r="P13" s="10"/>
      <c r="Q13" s="12"/>
      <c r="R13" s="9">
        <f t="shared" ref="R13:R18" ca="1" si="6">SUM(M13:Q13)</f>
        <v>-32302.685648137664</v>
      </c>
      <c r="S13" s="17">
        <f t="shared" ca="1" si="4"/>
        <v>-32302.685648137664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-22850.478827073995</v>
      </c>
      <c r="K14" s="14">
        <f ca="1">-(K18-R11)</f>
        <v>-12396.867517164981</v>
      </c>
      <c r="L14" s="13">
        <f ca="1">-(L18-R12)</f>
        <v>-28563.888311806542</v>
      </c>
      <c r="M14" s="14">
        <f t="shared" ca="1" si="5"/>
        <v>-63811.234656045519</v>
      </c>
      <c r="N14" s="16">
        <f ca="1">-E16</f>
        <v>-12166.196021089389</v>
      </c>
      <c r="O14" s="16"/>
      <c r="P14" s="11"/>
      <c r="Q14" s="13"/>
      <c r="R14" s="14">
        <f t="shared" ca="1" si="6"/>
        <v>-75977.430677134907</v>
      </c>
      <c r="S14" s="16">
        <f t="shared" ca="1" si="4"/>
        <v>-75977.430677134907</v>
      </c>
    </row>
    <row r="15" spans="1:21">
      <c r="A15" s="18" t="s">
        <v>79</v>
      </c>
      <c r="B15" s="11"/>
      <c r="C15" s="14"/>
      <c r="D15" s="14"/>
      <c r="E15" s="14">
        <f ca="1">-(J14+K14)-L14</f>
        <v>63811.234656045519</v>
      </c>
      <c r="F15" s="14"/>
      <c r="G15" s="14"/>
      <c r="H15" s="14"/>
      <c r="I15" s="14"/>
      <c r="J15" s="14"/>
      <c r="K15" s="14"/>
      <c r="L15" s="13"/>
      <c r="M15" s="14">
        <f t="shared" ca="1" si="5"/>
        <v>63811.234656045519</v>
      </c>
      <c r="N15" s="16"/>
      <c r="O15" s="16"/>
      <c r="P15" s="11"/>
      <c r="Q15" s="13"/>
      <c r="R15" s="14">
        <f t="shared" ca="1" si="6"/>
        <v>63811.234656045519</v>
      </c>
      <c r="S15" s="16">
        <f t="shared" ca="1" si="4"/>
        <v>63811.234656045519</v>
      </c>
    </row>
    <row r="16" spans="1:21">
      <c r="A16" s="18" t="s">
        <v>80</v>
      </c>
      <c r="B16" s="11"/>
      <c r="C16" s="14"/>
      <c r="D16" s="14"/>
      <c r="E16" s="14">
        <f ca="1">E18-E15</f>
        <v>12166.196021089389</v>
      </c>
      <c r="F16" s="14"/>
      <c r="G16" s="14"/>
      <c r="H16" s="14"/>
      <c r="I16" s="14"/>
      <c r="J16" s="14"/>
      <c r="K16" s="14"/>
      <c r="L16" s="13"/>
      <c r="M16" s="14">
        <f t="shared" ca="1" si="5"/>
        <v>12166.196021089389</v>
      </c>
      <c r="N16" s="16"/>
      <c r="O16" s="16"/>
      <c r="P16" s="11"/>
      <c r="Q16" s="13"/>
      <c r="R16" s="14">
        <f t="shared" ca="1" si="6"/>
        <v>12166.196021089389</v>
      </c>
      <c r="S16" s="16">
        <f t="shared" ca="1" si="4"/>
        <v>12166.196021089389</v>
      </c>
    </row>
    <row r="17" spans="1:19">
      <c r="A17" s="30" t="s">
        <v>90</v>
      </c>
      <c r="B17" s="21">
        <f ca="1">R2</f>
        <v>124205.02885333775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124205.02885333775</v>
      </c>
      <c r="N17" s="19"/>
      <c r="O17" s="19"/>
      <c r="P17" s="21"/>
      <c r="Q17" s="27"/>
      <c r="R17" s="22">
        <f t="shared" ca="1" si="6"/>
        <v>124205.02885333775</v>
      </c>
      <c r="S17" s="19">
        <f t="shared" ca="1" si="4"/>
        <v>124205.02885333775</v>
      </c>
    </row>
    <row r="18" spans="1:19">
      <c r="A18" s="29" t="s">
        <v>89</v>
      </c>
      <c r="B18" s="9">
        <f ca="1">B17</f>
        <v>124205.02885333775</v>
      </c>
      <c r="C18" s="9">
        <f ca="1">SUM(C$2:C$12)</f>
        <v>294224.82904309058</v>
      </c>
      <c r="D18" s="9">
        <f ca="1">SUM(D$2:D$12)</f>
        <v>261.65092791216705</v>
      </c>
      <c r="E18" s="9">
        <f ca="1">$R$5/parameters!$B$4</f>
        <v>75977.430677134907</v>
      </c>
      <c r="F18" s="9">
        <f t="shared" ref="F18:L18" ca="1" si="7">SUM(F$2:F$12)</f>
        <v>327532.08955223882</v>
      </c>
      <c r="G18" s="9">
        <f t="shared" ca="1" si="7"/>
        <v>0</v>
      </c>
      <c r="H18" s="9">
        <f t="shared" ca="1" si="7"/>
        <v>41463.113897596653</v>
      </c>
      <c r="I18" s="9">
        <f t="shared" ca="1" si="7"/>
        <v>346905.3</v>
      </c>
      <c r="J18" s="9">
        <f t="shared" ca="1" si="7"/>
        <v>221157.39882707398</v>
      </c>
      <c r="K18" s="9">
        <f t="shared" ca="1" si="7"/>
        <v>119982.561172926</v>
      </c>
      <c r="L18" s="9">
        <f t="shared" ca="1" si="7"/>
        <v>314287.29365576099</v>
      </c>
      <c r="M18" s="17">
        <f ca="1">SUM(B18:L18)</f>
        <v>1865996.6966070717</v>
      </c>
      <c r="N18" s="17"/>
      <c r="O18" s="17"/>
      <c r="P18" s="9"/>
      <c r="Q18" s="14"/>
      <c r="R18" s="11">
        <f t="shared" ca="1" si="6"/>
        <v>1865996.6966070717</v>
      </c>
      <c r="S18" s="17">
        <f t="shared" ca="1" si="4"/>
        <v>1865996.6966070717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0.8966777555340073</v>
      </c>
      <c r="K19" s="39">
        <f ca="1">J19</f>
        <v>0.8966777555340073</v>
      </c>
      <c r="L19" s="40">
        <f ca="1">1-(-L14)/L18</f>
        <v>0.90911535754578554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24323.559708046887</v>
      </c>
      <c r="D2" s="9">
        <f ca="1">R4/parameters!$B$3</f>
        <v>10521.375691542511</v>
      </c>
      <c r="E2" s="9"/>
      <c r="F2" s="9"/>
      <c r="G2" s="9"/>
      <c r="H2" s="9"/>
      <c r="I2" s="9"/>
      <c r="J2" s="9"/>
      <c r="K2" s="9"/>
      <c r="L2" s="12"/>
      <c r="M2" s="17">
        <f ca="1">SUM(B2:L2)</f>
        <v>34844.935399589398</v>
      </c>
      <c r="N2" s="17"/>
      <c r="O2" s="17">
        <f ca="1">R2-(M2+P2+Q2)</f>
        <v>0</v>
      </c>
      <c r="P2" s="11" cm="1">
        <f t="array" aca="1" ref="P2" ca="1">INDIRECT("'data'!$F$" &amp; $A$1)</f>
        <v>58230.25</v>
      </c>
      <c r="Q2" s="13">
        <f ca="1">IF(-(M2-R2+P2)&lt;0, -(M2-R2+P2), 0)</f>
        <v>-1139.2109530908128</v>
      </c>
      <c r="R2" s="17" cm="1">
        <f t="array" aca="1" ref="R2" ca="1">INDIRECT("'data'!$D$" &amp; $A$1)</f>
        <v>91935.974446498585</v>
      </c>
      <c r="S2" s="17">
        <f ca="1">SUM(M2:Q2)</f>
        <v>91935.974446498585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16716.417910447763</v>
      </c>
      <c r="G3" s="14">
        <f ca="1">R7/parameters!$B$6</f>
        <v>1044.7761194029852</v>
      </c>
      <c r="H3" s="14">
        <f ca="1">R3-P3-Q3-F3-G3</f>
        <v>6117.1222520354486</v>
      </c>
      <c r="I3" s="14"/>
      <c r="J3" s="14"/>
      <c r="K3" s="14"/>
      <c r="L3" s="13"/>
      <c r="M3" s="16">
        <f t="shared" ref="M3:M11" ca="1" si="0">SUM(B3:L3)</f>
        <v>23878.316281886197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298.62</v>
      </c>
      <c r="Q3" s="13" cm="1">
        <f t="array" aca="1" ref="Q3" ca="1">-INDIRECT("'data'!$I$" &amp; $A$1)*parameters!$B$13</f>
        <v>-6.6149999999999993</v>
      </c>
      <c r="R3" s="16" cm="1">
        <f t="array" aca="1" ref="R3" ca="1">INDIRECT("'data'!$G$" &amp; $A$1)*parameters!$B$13</f>
        <v>24170.321281886194</v>
      </c>
      <c r="S3" s="16">
        <f t="shared" ref="S3:S11" ca="1" si="2">SUM(M3:Q3)</f>
        <v>24170.321281886194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10029.037163973957</v>
      </c>
      <c r="I4" s="14"/>
      <c r="J4" s="14"/>
      <c r="K4" s="14"/>
      <c r="L4" s="13"/>
      <c r="M4" s="16">
        <f t="shared" ca="1" si="0"/>
        <v>10029.037163973957</v>
      </c>
      <c r="N4" s="16"/>
      <c r="O4" s="16">
        <f t="shared" ca="1" si="1"/>
        <v>421.45386071183566</v>
      </c>
      <c r="P4" s="11" cm="1">
        <f t="array" aca="1" ref="P4" ca="1">INDIRECT("'data'!$K$" &amp; $A$1)*parameters!$B$14</f>
        <v>22.080000000000002</v>
      </c>
      <c r="Q4" s="13" cm="1">
        <f t="array" aca="1" ref="Q4" ca="1">-INDIRECT("'data'!$L$" &amp; $A$1)*parameters!$B$14</f>
        <v>-17.48</v>
      </c>
      <c r="R4" s="16" cm="1">
        <f t="array" aca="1" ref="R4" ca="1">INDIRECT("'data'!$J$" &amp; $A$1)*parameters!$B$14</f>
        <v>10455.091024685793</v>
      </c>
      <c r="S4" s="16">
        <f t="shared" ca="1" si="2"/>
        <v>10455.091024685793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4179.1044776119406</v>
      </c>
      <c r="G5" s="14"/>
      <c r="H5" s="38">
        <f ca="1">E15*parameters!$B$4-P5-Q5-F5</f>
        <v>9203.7883373866207</v>
      </c>
      <c r="I5" s="14"/>
      <c r="J5" s="14"/>
      <c r="K5" s="14"/>
      <c r="L5" s="13"/>
      <c r="M5" s="16">
        <f t="shared" ca="1" si="0"/>
        <v>13382.892814998562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-4810.82</v>
      </c>
      <c r="R5" s="16">
        <f ca="1">SUM(M5:Q5)</f>
        <v>8572.0728149985625</v>
      </c>
      <c r="S5" s="16">
        <f t="shared" ca="1" si="2"/>
        <v>8572.0728149985625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19600</v>
      </c>
      <c r="J6" s="14"/>
      <c r="K6" s="14"/>
      <c r="L6" s="13"/>
      <c r="M6" s="16">
        <f t="shared" ca="1" si="0"/>
        <v>19600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19600</v>
      </c>
      <c r="S6" s="16">
        <f t="shared" ca="1" si="2"/>
        <v>19600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980</v>
      </c>
      <c r="J7" s="14"/>
      <c r="K7" s="14"/>
      <c r="L7" s="13"/>
      <c r="M7" s="16">
        <f t="shared" ca="1" si="0"/>
        <v>980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980</v>
      </c>
      <c r="S7" s="16">
        <f t="shared" ca="1" si="2"/>
        <v>980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24259.899999999998</v>
      </c>
      <c r="J8" s="14"/>
      <c r="K8" s="14"/>
      <c r="L8" s="13"/>
      <c r="M8" s="16">
        <f t="shared" ca="1" si="0"/>
        <v>24259.899999999998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24259.899999999998</v>
      </c>
      <c r="S8" s="16">
        <f t="shared" ca="1" si="2"/>
        <v>24259.899999999998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18368.540351012798</v>
      </c>
      <c r="K9" s="14">
        <f ca="1">R11/K19</f>
        <v>26924.119648987187</v>
      </c>
      <c r="L9" s="13"/>
      <c r="M9" s="16">
        <f t="shared" ca="1" si="0"/>
        <v>45292.659999999989</v>
      </c>
      <c r="N9" s="16"/>
      <c r="O9" s="16">
        <f t="shared" ca="1" si="3"/>
        <v>0</v>
      </c>
      <c r="P9" s="11" cm="1">
        <f t="array" aca="1" ref="P9" ca="1">INDIRECT("'data'!$R$" &amp; $A$1)*parameters!$B$15</f>
        <v>270.48</v>
      </c>
      <c r="Q9" s="13" cm="1">
        <f t="array" aca="1" ref="Q9" ca="1">-INDIRECT("'data'!$S$" &amp; $A$1)*parameters!$B$15</f>
        <v>-723.24</v>
      </c>
      <c r="R9" s="16">
        <f ca="1">SUM(R6:R8)</f>
        <v>44839.899999999994</v>
      </c>
      <c r="S9" s="16">
        <f t="shared" ca="1" si="2"/>
        <v>44839.899999999994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16098.460000000001</v>
      </c>
      <c r="M10" s="16">
        <f t="shared" ca="1" si="0"/>
        <v>16098.460000000001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577.22</v>
      </c>
      <c r="Q10" s="13" cm="1">
        <f t="array" aca="1" ref="Q10" ca="1">-INDIRECT("'data'!$V$" &amp; $A$1)*parameters!$B$15</f>
        <v>-558.6</v>
      </c>
      <c r="R10" s="16" cm="1">
        <f t="array" aca="1" ref="R10" ca="1">INDIRECT("'data'!$T$" &amp; $A$1)*parameters!$B$15</f>
        <v>16117.08</v>
      </c>
      <c r="S10" s="16">
        <f t="shared" ca="1" si="2"/>
        <v>16117.08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22243.168733997154</v>
      </c>
      <c r="M11" s="16">
        <f t="shared" ca="1" si="0"/>
        <v>22243.168733997154</v>
      </c>
      <c r="N11" s="16"/>
      <c r="O11" s="16">
        <f t="shared" ca="1" si="3"/>
        <v>0</v>
      </c>
      <c r="P11" s="11" cm="1">
        <f t="array" aca="1" ref="P11" ca="1">INDIRECT("'data'!$X$" &amp; $A$1)*parameters!$B$15</f>
        <v>3974.88</v>
      </c>
      <c r="Q11" s="13" cm="1">
        <f t="array" aca="1" ref="Q11" ca="1">-INDIRECT("'data'!$Y$" &amp; $A$1)*parameters!$B$15</f>
        <v>-2594.06</v>
      </c>
      <c r="R11" s="16" cm="1">
        <f t="array" aca="1" ref="R11" ca="1">INDIRECT("'data'!$W$" &amp; $A$1)*parameters!$B$15</f>
        <v>23623.988733997154</v>
      </c>
      <c r="S11" s="16">
        <f t="shared" ca="1" si="2"/>
        <v>23623.988733997154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33745.217511237555</v>
      </c>
      <c r="O12" s="19"/>
      <c r="P12" s="21" cm="1">
        <f t="array" aca="1" ref="P12" ca="1">INDIRECT("'data'!$Z$" &amp; $A$1)*parameters!$B$15</f>
        <v>2203.04</v>
      </c>
      <c r="Q12" s="27" cm="1">
        <f t="array" aca="1" ref="Q12" ca="1">-INDIRECT("'data'!$AA$" &amp; $A$1)*parameters!$B$15</f>
        <v>-1686.58</v>
      </c>
      <c r="R12" s="16">
        <f ca="1">L10*parameters!$B$10+L11*parameters!$B$11</f>
        <v>34261.677511237554</v>
      </c>
      <c r="S12" s="16">
        <f t="shared" ref="S12:S18" ca="1" si="4">SUM(M12:Q12)</f>
        <v>34261.677511237554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-153.23842616069305</v>
      </c>
      <c r="D13" s="9">
        <f ca="1">-(D18-R4)</f>
        <v>-66.284666856718104</v>
      </c>
      <c r="E13" s="9">
        <f ca="1">-(E18-R5)</f>
        <v>-1059.4696737638678</v>
      </c>
      <c r="F13" s="9">
        <f ca="1">-(F18-R6)</f>
        <v>-1295.5223880597041</v>
      </c>
      <c r="G13" s="9">
        <f ca="1">-(G18-R7)</f>
        <v>-64.776119402985159</v>
      </c>
      <c r="H13" s="9">
        <f ca="1">-(H18-R8)</f>
        <v>-1090.0477533960293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-3729.3390276399978</v>
      </c>
      <c r="N13" s="17"/>
      <c r="O13" s="17"/>
      <c r="P13" s="10"/>
      <c r="Q13" s="12"/>
      <c r="R13" s="9">
        <f t="shared" ref="R13:R18" ca="1" si="6">SUM(M13:Q13)</f>
        <v>-3729.3390276399978</v>
      </c>
      <c r="S13" s="17">
        <f t="shared" ca="1" si="4"/>
        <v>-3729.3390276399978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-2251.4603510127981</v>
      </c>
      <c r="K14" s="14">
        <f ca="1">-(K18-R11)</f>
        <v>-3300.1309149900335</v>
      </c>
      <c r="L14" s="13">
        <f ca="1">-(L18-R12)</f>
        <v>-4079.9512227595987</v>
      </c>
      <c r="M14" s="14">
        <f t="shared" ca="1" si="5"/>
        <v>-9631.5424887624304</v>
      </c>
      <c r="N14" s="16">
        <f ca="1">-E16</f>
        <v>0</v>
      </c>
      <c r="O14" s="16"/>
      <c r="P14" s="11"/>
      <c r="Q14" s="13"/>
      <c r="R14" s="14">
        <f t="shared" ca="1" si="6"/>
        <v>-9631.5424887624304</v>
      </c>
      <c r="S14" s="16">
        <f t="shared" ca="1" si="4"/>
        <v>-9631.5424887624304</v>
      </c>
    </row>
    <row r="15" spans="1:23">
      <c r="A15" s="18" t="s">
        <v>79</v>
      </c>
      <c r="B15" s="11"/>
      <c r="C15" s="14"/>
      <c r="D15" s="14"/>
      <c r="E15" s="14">
        <f ca="1">-(J14+K14)-L14</f>
        <v>9631.5424887624304</v>
      </c>
      <c r="F15" s="14"/>
      <c r="G15" s="14"/>
      <c r="H15" s="14"/>
      <c r="I15" s="14"/>
      <c r="J15" s="14"/>
      <c r="K15" s="14"/>
      <c r="L15" s="13"/>
      <c r="M15" s="14">
        <f t="shared" ca="1" si="5"/>
        <v>9631.5424887624304</v>
      </c>
      <c r="N15" s="16"/>
      <c r="O15" s="16"/>
      <c r="P15" s="11"/>
      <c r="Q15" s="13"/>
      <c r="R15" s="14">
        <f t="shared" ca="1" si="6"/>
        <v>9631.5424887624304</v>
      </c>
      <c r="S15" s="16">
        <f t="shared" ca="1" si="4"/>
        <v>9631.5424887624304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91935.974446498585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91935.974446498585</v>
      </c>
      <c r="N17" s="19"/>
      <c r="O17" s="19"/>
      <c r="P17" s="21"/>
      <c r="Q17" s="27"/>
      <c r="R17" s="22">
        <f t="shared" ca="1" si="6"/>
        <v>91935.974446498585</v>
      </c>
      <c r="S17" s="19">
        <f t="shared" ca="1" si="4"/>
        <v>91935.974446498585</v>
      </c>
    </row>
    <row r="18" spans="1:19">
      <c r="A18" s="29" t="s">
        <v>89</v>
      </c>
      <c r="B18" s="9">
        <f ca="1">B17</f>
        <v>91935.974446498585</v>
      </c>
      <c r="C18" s="9">
        <f ca="1">SUM(C$2:C$12)</f>
        <v>24323.559708046887</v>
      </c>
      <c r="D18" s="9">
        <f ca="1">SUM(D$2:D$12)</f>
        <v>10521.375691542511</v>
      </c>
      <c r="E18" s="9">
        <f ca="1">$R$5/parameters!$B$4</f>
        <v>9631.5424887624304</v>
      </c>
      <c r="F18" s="9">
        <f t="shared" ref="F18:L18" ca="1" si="7">SUM(F$2:F$12)</f>
        <v>20895.522388059704</v>
      </c>
      <c r="G18" s="9">
        <f t="shared" ca="1" si="7"/>
        <v>1044.7761194029852</v>
      </c>
      <c r="H18" s="9">
        <f t="shared" ca="1" si="7"/>
        <v>25349.947753396027</v>
      </c>
      <c r="I18" s="9">
        <f t="shared" ca="1" si="7"/>
        <v>44839.899999999994</v>
      </c>
      <c r="J18" s="9">
        <f t="shared" ca="1" si="7"/>
        <v>18368.540351012798</v>
      </c>
      <c r="K18" s="9">
        <f t="shared" ca="1" si="7"/>
        <v>26924.119648987187</v>
      </c>
      <c r="L18" s="9">
        <f t="shared" ca="1" si="7"/>
        <v>38341.628733997153</v>
      </c>
      <c r="M18" s="17">
        <f ca="1">SUM(B18:L18)</f>
        <v>312176.88732970628</v>
      </c>
      <c r="N18" s="17"/>
      <c r="O18" s="17"/>
      <c r="P18" s="9"/>
      <c r="Q18" s="14"/>
      <c r="R18" s="11">
        <f t="shared" ca="1" si="6"/>
        <v>312176.88732970628</v>
      </c>
      <c r="S18" s="17">
        <f t="shared" ca="1" si="4"/>
        <v>312176.88732970628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0.87742845604557484</v>
      </c>
      <c r="K19" s="39">
        <f ca="1">J19</f>
        <v>0.87742845604557484</v>
      </c>
      <c r="L19" s="40">
        <f ca="1">1-(-L14)/L18</f>
        <v>0.8935895172564241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78987.430814129009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78987.430814129009</v>
      </c>
      <c r="N2" s="17"/>
      <c r="O2" s="17">
        <f ca="1">R2-(M2+P2+Q2)</f>
        <v>0</v>
      </c>
      <c r="P2" s="11" cm="1">
        <f t="array" aca="1" ref="P2" ca="1">INDIRECT("'data'!$F$" &amp; $A$1)</f>
        <v>35.75</v>
      </c>
      <c r="Q2" s="13">
        <f ca="1">IF(-(M2-R2+P2)&lt;0, -(M2-R2+P2), 0)</f>
        <v>-79023.180814129009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77760.628358208953</v>
      </c>
      <c r="G3" s="14">
        <f ca="1">R7/parameters!$B$6</f>
        <v>0</v>
      </c>
      <c r="H3" s="14">
        <f ca="1">R3-P3-Q3-F3-G3</f>
        <v>1680.7966417910357</v>
      </c>
      <c r="I3" s="14"/>
      <c r="J3" s="14"/>
      <c r="K3" s="14"/>
      <c r="L3" s="13"/>
      <c r="M3" s="16">
        <f t="shared" ref="M3:M11" ca="1" si="0">SUM(B3:L3)</f>
        <v>79441.424999999988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30.24</v>
      </c>
      <c r="Q3" s="13" cm="1">
        <f t="array" aca="1" ref="Q3" ca="1">-INDIRECT("'data'!$I$" &amp; $A$1)*parameters!$B$13</f>
        <v>-981.8549999999999</v>
      </c>
      <c r="R3" s="16" cm="1">
        <f t="array" aca="1" ref="R3" ca="1">INDIRECT("'data'!$G$" &amp; $A$1)*parameters!$B$13</f>
        <v>78489.81</v>
      </c>
      <c r="S3" s="16">
        <f t="shared" ref="S3:S11" ca="1" si="2">SUM(M3:Q3)</f>
        <v>78489.81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21.16</v>
      </c>
      <c r="I4" s="14"/>
      <c r="J4" s="14"/>
      <c r="K4" s="14"/>
      <c r="L4" s="13"/>
      <c r="M4" s="16">
        <f t="shared" ca="1" si="0"/>
        <v>21.16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-22.080000000000002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9610.8641791044774</v>
      </c>
      <c r="G5" s="14"/>
      <c r="H5" s="14">
        <f ca="1">R8/parameters!$B$7-(H3+H4)</f>
        <v>27492.21263720583</v>
      </c>
      <c r="I5" s="14"/>
      <c r="J5" s="14"/>
      <c r="K5" s="14"/>
      <c r="L5" s="13"/>
      <c r="M5" s="16">
        <f t="shared" ca="1" si="0"/>
        <v>37103.076816310306</v>
      </c>
      <c r="N5" s="16"/>
      <c r="O5" s="16"/>
      <c r="P5" s="11" cm="1">
        <f t="array" aca="1" ref="P5" ca="1">INDIRECT("'data'!$M$" &amp; $A$1)*parameters!$B$15</f>
        <v>7424.48</v>
      </c>
      <c r="Q5" s="13" cm="1">
        <f t="array" aca="1" ref="Q5" ca="1">-INDIRECT("'data'!$N$" &amp; $A$1)*parameters!$B$15</f>
        <v>-177.38</v>
      </c>
      <c r="R5" s="16">
        <f ca="1">SUM(M5:Q5)</f>
        <v>44350.176816310304</v>
      </c>
      <c r="S5" s="16">
        <f t="shared" ca="1" si="2"/>
        <v>44350.176816310304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81954.459999999992</v>
      </c>
      <c r="J6" s="14"/>
      <c r="K6" s="14"/>
      <c r="L6" s="13"/>
      <c r="M6" s="16">
        <f t="shared" ca="1" si="0"/>
        <v>81954.459999999992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81954.459999999992</v>
      </c>
      <c r="S6" s="16">
        <f t="shared" ca="1" si="2"/>
        <v>81954.459999999992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27938.82</v>
      </c>
      <c r="J8" s="14"/>
      <c r="K8" s="14"/>
      <c r="L8" s="13"/>
      <c r="M8" s="16">
        <f t="shared" ca="1" si="0"/>
        <v>27938.82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27938.82</v>
      </c>
      <c r="S8" s="16">
        <f t="shared" ca="1" si="2"/>
        <v>27938.82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38397.031773228548</v>
      </c>
      <c r="K9" s="14">
        <f ca="1">R11/K19</f>
        <v>67781.068226771458</v>
      </c>
      <c r="L9" s="13"/>
      <c r="M9" s="16">
        <f t="shared" ca="1" si="0"/>
        <v>106178.1</v>
      </c>
      <c r="N9" s="16"/>
      <c r="O9" s="16">
        <f t="shared" ca="1" si="3"/>
        <v>0</v>
      </c>
      <c r="P9" s="11" cm="1">
        <f t="array" aca="1" ref="P9" ca="1">INDIRECT("'data'!$R$" &amp; $A$1)*parameters!$B$15</f>
        <v>3990.56</v>
      </c>
      <c r="Q9" s="13" cm="1">
        <f t="array" aca="1" ref="Q9" ca="1">-INDIRECT("'data'!$S$" &amp; $A$1)*parameters!$B$15</f>
        <v>-275.38</v>
      </c>
      <c r="R9" s="16">
        <f ca="1">SUM(R6:R8)</f>
        <v>109893.28</v>
      </c>
      <c r="S9" s="16">
        <f t="shared" ca="1" si="2"/>
        <v>109893.28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31901.94</v>
      </c>
      <c r="M10" s="16">
        <f t="shared" ca="1" si="0"/>
        <v>31901.94</v>
      </c>
      <c r="N10" s="16"/>
      <c r="O10" s="16">
        <f t="shared" ca="1" si="3"/>
        <v>0</v>
      </c>
      <c r="P10" s="11" cm="1">
        <f t="array" aca="1" ref="P10" ca="1">INDIRECT("'data'!$U$" &amp; $A$1)*parameters!$B$15</f>
        <v>3937.64</v>
      </c>
      <c r="Q10" s="13" cm="1">
        <f t="array" aca="1" ref="Q10" ca="1">-INDIRECT("'data'!$V$" &amp; $A$1)*parameters!$B$15</f>
        <v>-765.38</v>
      </c>
      <c r="R10" s="16" cm="1">
        <f t="array" aca="1" ref="R10" ca="1">INDIRECT("'data'!$T$" &amp; $A$1)*parameters!$B$15</f>
        <v>35074.199999999997</v>
      </c>
      <c r="S10" s="16">
        <f t="shared" ca="1" si="2"/>
        <v>35074.200000000004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45505.278179231864</v>
      </c>
      <c r="M11" s="16">
        <f t="shared" ca="1" si="0"/>
        <v>45505.278179231864</v>
      </c>
      <c r="N11" s="16"/>
      <c r="O11" s="16">
        <f t="shared" ca="1" si="3"/>
        <v>0</v>
      </c>
      <c r="P11" s="11" cm="1">
        <f t="array" aca="1" ref="P11" ca="1">INDIRECT("'data'!$X$" &amp; $A$1)*parameters!$B$15</f>
        <v>20191.919999999998</v>
      </c>
      <c r="Q11" s="13" cm="1">
        <f t="array" aca="1" ref="Q11" ca="1">-INDIRECT("'data'!$Y$" &amp; $A$1)*parameters!$B$15</f>
        <v>-3781.8199999999997</v>
      </c>
      <c r="R11" s="16" cm="1">
        <f t="array" aca="1" ref="R11" ca="1">INDIRECT("'data'!$W$" &amp; $A$1)*parameters!$B$15</f>
        <v>61915.378179231862</v>
      </c>
      <c r="S11" s="16">
        <f t="shared" ca="1" si="2"/>
        <v>61915.37817923187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47894.582834139408</v>
      </c>
      <c r="O12" s="19"/>
      <c r="P12" s="21" cm="1">
        <f t="array" aca="1" ref="P12" ca="1">INDIRECT("'data'!$Z$" &amp; $A$1)*parameters!$B$15</f>
        <v>26488.42</v>
      </c>
      <c r="Q12" s="27" cm="1">
        <f t="array" aca="1" ref="Q12" ca="1">-INDIRECT("'data'!$AA$" &amp; $A$1)*parameters!$B$15</f>
        <v>-5260.64</v>
      </c>
      <c r="R12" s="16">
        <f ca="1">L10*parameters!$B$10+L11*parameters!$B$11</f>
        <v>69122.362834139407</v>
      </c>
      <c r="S12" s="16">
        <f t="shared" ref="S12:S18" ca="1" si="4">SUM(M12:Q12)</f>
        <v>69122.362834139407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-497.62081412901171</v>
      </c>
      <c r="D13" s="9">
        <f ca="1">-(D18-R4)</f>
        <v>0</v>
      </c>
      <c r="E13" s="9">
        <f ca="1">-(E18-R5)</f>
        <v>-5481.4825278585777</v>
      </c>
      <c r="F13" s="9">
        <f ca="1">-(F18-R6)</f>
        <v>-5417.0325373134401</v>
      </c>
      <c r="G13" s="9">
        <f ca="1">-(G18-R7)</f>
        <v>0</v>
      </c>
      <c r="H13" s="9">
        <f ca="1">-(H18-R8)</f>
        <v>-1255.3492789968659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-12651.485158297895</v>
      </c>
      <c r="N13" s="17"/>
      <c r="O13" s="17"/>
      <c r="P13" s="10"/>
      <c r="Q13" s="12"/>
      <c r="R13" s="9">
        <f t="shared" ref="R13:R18" ca="1" si="6">SUM(M13:Q13)</f>
        <v>-12651.485158297895</v>
      </c>
      <c r="S13" s="17">
        <f t="shared" ca="1" si="4"/>
        <v>-12651.485158297895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-3322.8317732285504</v>
      </c>
      <c r="K14" s="14">
        <f ca="1">-(K18-R11)</f>
        <v>-5865.690047539596</v>
      </c>
      <c r="L14" s="13">
        <f ca="1">-(L18-R12)</f>
        <v>-8284.8553450924519</v>
      </c>
      <c r="M14" s="14">
        <f t="shared" ca="1" si="5"/>
        <v>-17473.377165860598</v>
      </c>
      <c r="N14" s="16">
        <f ca="1">-E16</f>
        <v>-32358.282178308284</v>
      </c>
      <c r="O14" s="16"/>
      <c r="P14" s="11"/>
      <c r="Q14" s="13"/>
      <c r="R14" s="14">
        <f t="shared" ca="1" si="6"/>
        <v>-49831.659344168882</v>
      </c>
      <c r="S14" s="16">
        <f t="shared" ca="1" si="4"/>
        <v>-49831.659344168882</v>
      </c>
    </row>
    <row r="15" spans="1:21">
      <c r="A15" s="18" t="s">
        <v>79</v>
      </c>
      <c r="B15" s="11"/>
      <c r="C15" s="14"/>
      <c r="D15" s="14"/>
      <c r="E15" s="14">
        <f ca="1">-(J14+K14)-L14</f>
        <v>17473.377165860598</v>
      </c>
      <c r="F15" s="14"/>
      <c r="G15" s="14"/>
      <c r="H15" s="14"/>
      <c r="I15" s="14"/>
      <c r="J15" s="14"/>
      <c r="K15" s="14"/>
      <c r="L15" s="13"/>
      <c r="M15" s="14">
        <f t="shared" ca="1" si="5"/>
        <v>17473.377165860598</v>
      </c>
      <c r="N15" s="16"/>
      <c r="O15" s="16"/>
      <c r="P15" s="11"/>
      <c r="Q15" s="13"/>
      <c r="R15" s="14">
        <f t="shared" ca="1" si="6"/>
        <v>17473.377165860598</v>
      </c>
      <c r="S15" s="16">
        <f t="shared" ca="1" si="4"/>
        <v>17473.377165860598</v>
      </c>
    </row>
    <row r="16" spans="1:21">
      <c r="A16" s="18" t="s">
        <v>80</v>
      </c>
      <c r="B16" s="11"/>
      <c r="C16" s="14"/>
      <c r="D16" s="14"/>
      <c r="E16" s="14">
        <f ca="1">E18-E15</f>
        <v>32358.282178308284</v>
      </c>
      <c r="F16" s="14"/>
      <c r="G16" s="14"/>
      <c r="H16" s="14"/>
      <c r="I16" s="14"/>
      <c r="J16" s="14"/>
      <c r="K16" s="14"/>
      <c r="L16" s="13"/>
      <c r="M16" s="14">
        <f t="shared" ca="1" si="5"/>
        <v>32358.282178308284</v>
      </c>
      <c r="N16" s="16"/>
      <c r="O16" s="16"/>
      <c r="P16" s="11"/>
      <c r="Q16" s="13"/>
      <c r="R16" s="14">
        <f t="shared" ca="1" si="6"/>
        <v>32358.282178308284</v>
      </c>
      <c r="S16" s="16">
        <f t="shared" ca="1" si="4"/>
        <v>32358.282178308284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78987.430814129009</v>
      </c>
      <c r="D18" s="9">
        <f ca="1">SUM(D$2:D$12)</f>
        <v>0</v>
      </c>
      <c r="E18" s="9">
        <f ca="1">$R$5/parameters!$B$4</f>
        <v>49831.659344168882</v>
      </c>
      <c r="F18" s="9">
        <f t="shared" ref="F18:L18" ca="1" si="7">SUM(F$2:F$12)</f>
        <v>87371.492537313432</v>
      </c>
      <c r="G18" s="9">
        <f t="shared" ca="1" si="7"/>
        <v>0</v>
      </c>
      <c r="H18" s="9">
        <f t="shared" ca="1" si="7"/>
        <v>29194.169278996866</v>
      </c>
      <c r="I18" s="9">
        <f t="shared" ca="1" si="7"/>
        <v>109893.28</v>
      </c>
      <c r="J18" s="9">
        <f t="shared" ca="1" si="7"/>
        <v>38397.031773228548</v>
      </c>
      <c r="K18" s="9">
        <f t="shared" ca="1" si="7"/>
        <v>67781.068226771458</v>
      </c>
      <c r="L18" s="9">
        <f t="shared" ca="1" si="7"/>
        <v>77407.218179231859</v>
      </c>
      <c r="M18" s="17">
        <f ca="1">SUM(B18:L18)</f>
        <v>538863.35015384003</v>
      </c>
      <c r="N18" s="17"/>
      <c r="O18" s="17"/>
      <c r="P18" s="9"/>
      <c r="Q18" s="14"/>
      <c r="R18" s="11">
        <f t="shared" ca="1" si="6"/>
        <v>538863.35015384003</v>
      </c>
      <c r="S18" s="17">
        <f t="shared" ca="1" si="4"/>
        <v>538863.35015384003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0.91346123333561113</v>
      </c>
      <c r="K19" s="39">
        <f ca="1">J19</f>
        <v>0.91346123333561113</v>
      </c>
      <c r="L19" s="40">
        <f ca="1">1-(-L14)/L18</f>
        <v>0.89297050662756861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35397.796115527824</v>
      </c>
      <c r="D2" s="9">
        <f ca="1">R4/parameters!$B$3</f>
        <v>203.68320418637416</v>
      </c>
      <c r="E2" s="9"/>
      <c r="F2" s="9"/>
      <c r="G2" s="9"/>
      <c r="H2" s="9"/>
      <c r="I2" s="9"/>
      <c r="J2" s="9"/>
      <c r="K2" s="9"/>
      <c r="L2" s="12"/>
      <c r="M2" s="17">
        <f ca="1">SUM(B2:L2)</f>
        <v>35601.479319714199</v>
      </c>
      <c r="N2" s="17"/>
      <c r="O2" s="17">
        <f ca="1">R2-(M2+P2+Q2)</f>
        <v>0</v>
      </c>
      <c r="P2" s="11" cm="1">
        <f t="array" aca="1" ref="P2" ca="1">INDIRECT("'data'!$F$" &amp; $A$1)</f>
        <v>7657.6500000000005</v>
      </c>
      <c r="Q2" s="13">
        <f ca="1">IF(-(M2-R2+P2)&lt;0, -(M2-R2+P2), 0)</f>
        <v>-9057.2483197141992</v>
      </c>
      <c r="R2" s="17" cm="1">
        <f t="array" aca="1" ref="R2" ca="1">INDIRECT("'data'!$D$" &amp; $A$1)</f>
        <v>34201.881000000001</v>
      </c>
      <c r="S2" s="17">
        <f ca="1">SUM(M2:Q2)</f>
        <v>34201.881000000001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36585.217910447762</v>
      </c>
      <c r="G3" s="14">
        <f ca="1">R7/parameters!$B$6</f>
        <v>0</v>
      </c>
      <c r="H3" s="14">
        <f ca="1">R3-P3-Q3-F3-G3</f>
        <v>4219.8820895522367</v>
      </c>
      <c r="I3" s="14"/>
      <c r="J3" s="14"/>
      <c r="K3" s="14"/>
      <c r="L3" s="13"/>
      <c r="M3" s="16">
        <f t="shared" ref="M3:M11" ca="1" si="0">SUM(B3:L3)</f>
        <v>40805.1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67.094999999999999</v>
      </c>
      <c r="Q3" s="13" cm="1">
        <f t="array" aca="1" ref="Q3" ca="1">-INDIRECT("'data'!$I$" &amp; $A$1)*parameters!$B$13</f>
        <v>-5697.4049999999997</v>
      </c>
      <c r="R3" s="16" cm="1">
        <f t="array" aca="1" ref="R3" ca="1">INDIRECT("'data'!$G$" &amp; $A$1)*parameters!$B$13</f>
        <v>35174.79</v>
      </c>
      <c r="S3" s="16">
        <f t="shared" ref="S3:S11" ca="1" si="2">SUM(M3:Q3)</f>
        <v>35174.79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2472.04</v>
      </c>
      <c r="I4" s="14"/>
      <c r="J4" s="14"/>
      <c r="K4" s="14"/>
      <c r="L4" s="13"/>
      <c r="M4" s="16">
        <f t="shared" ca="1" si="0"/>
        <v>2472.04</v>
      </c>
      <c r="N4" s="16"/>
      <c r="O4" s="16">
        <f t="shared" ca="1" si="1"/>
        <v>3.694822225952521E-13</v>
      </c>
      <c r="P4" s="11" cm="1">
        <f t="array" aca="1" ref="P4" ca="1">INDIRECT("'data'!$K$" &amp; $A$1)*parameters!$B$14</f>
        <v>14.72</v>
      </c>
      <c r="Q4" s="13" cm="1">
        <f t="array" aca="1" ref="Q4" ca="1">-INDIRECT("'data'!$L$" &amp; $A$1)*parameters!$B$14</f>
        <v>-2284.36</v>
      </c>
      <c r="R4" s="16" cm="1">
        <f t="array" aca="1" ref="R4" ca="1">INDIRECT("'data'!$J$" &amp; $A$1)*parameters!$B$14</f>
        <v>202.4</v>
      </c>
      <c r="S4" s="16">
        <f t="shared" ca="1" si="2"/>
        <v>202.40000000000009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8030.9014925373131</v>
      </c>
      <c r="G5" s="14"/>
      <c r="H5" s="14">
        <f ca="1">R8/parameters!$B$7-(H3+H4)</f>
        <v>46754.431097490604</v>
      </c>
      <c r="I5" s="14"/>
      <c r="J5" s="14"/>
      <c r="K5" s="14"/>
      <c r="L5" s="13"/>
      <c r="M5" s="16">
        <f t="shared" ca="1" si="0"/>
        <v>54785.332590027916</v>
      </c>
      <c r="N5" s="16"/>
      <c r="O5" s="16"/>
      <c r="P5" s="11" cm="1">
        <f t="array" aca="1" ref="P5" ca="1">INDIRECT("'data'!$M$" &amp; $A$1)*parameters!$B$15</f>
        <v>12740.98</v>
      </c>
      <c r="Q5" s="13" cm="1">
        <f t="array" aca="1" ref="Q5" ca="1">-INDIRECT("'data'!$N$" &amp; $A$1)*parameters!$B$15</f>
        <v>-3759.2799999999997</v>
      </c>
      <c r="R5" s="16">
        <f ca="1">SUM(M5:Q5)</f>
        <v>63767.032590027913</v>
      </c>
      <c r="S5" s="16">
        <f t="shared" ca="1" si="2"/>
        <v>63767.032590027913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41849.919999999998</v>
      </c>
      <c r="J6" s="14"/>
      <c r="K6" s="14"/>
      <c r="L6" s="13"/>
      <c r="M6" s="16">
        <f t="shared" ca="1" si="0"/>
        <v>41849.919999999998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41849.919999999998</v>
      </c>
      <c r="S6" s="16">
        <f t="shared" ca="1" si="2"/>
        <v>41849.919999999998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51148.159999999996</v>
      </c>
      <c r="J8" s="14"/>
      <c r="K8" s="14"/>
      <c r="L8" s="13"/>
      <c r="M8" s="16">
        <f t="shared" ca="1" si="0"/>
        <v>51148.159999999996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51148.159999999996</v>
      </c>
      <c r="S8" s="16">
        <f t="shared" ca="1" si="2"/>
        <v>51148.159999999996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29491.987390301794</v>
      </c>
      <c r="K9" s="14">
        <f ca="1">R11/K19</f>
        <v>69294.952609698201</v>
      </c>
      <c r="L9" s="13"/>
      <c r="M9" s="16">
        <f t="shared" ca="1" si="0"/>
        <v>98786.94</v>
      </c>
      <c r="N9" s="16"/>
      <c r="O9" s="16">
        <f t="shared" ca="1" si="3"/>
        <v>0</v>
      </c>
      <c r="P9" s="11" cm="1">
        <f t="array" aca="1" ref="P9" ca="1">INDIRECT("'data'!$R$" &amp; $A$1)*parameters!$B$15</f>
        <v>343</v>
      </c>
      <c r="Q9" s="13" cm="1">
        <f t="array" aca="1" ref="Q9" ca="1">-INDIRECT("'data'!$S$" &amp; $A$1)*parameters!$B$15</f>
        <v>-6131.86</v>
      </c>
      <c r="R9" s="16">
        <f ca="1">SUM(R6:R8)</f>
        <v>92998.079999999987</v>
      </c>
      <c r="S9" s="16">
        <f t="shared" ca="1" si="2"/>
        <v>92998.080000000002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33107.339999999997</v>
      </c>
      <c r="M10" s="16">
        <f t="shared" ca="1" si="0"/>
        <v>33107.339999999997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2102.1</v>
      </c>
      <c r="Q10" s="13" cm="1">
        <f t="array" aca="1" ref="Q10" ca="1">-INDIRECT("'data'!$V$" &amp; $A$1)*parameters!$B$15</f>
        <v>-7675.36</v>
      </c>
      <c r="R10" s="16" cm="1">
        <f t="array" aca="1" ref="R10" ca="1">INDIRECT("'data'!$T$" &amp; $A$1)*parameters!$B$15</f>
        <v>27534.079999999998</v>
      </c>
      <c r="S10" s="16">
        <f t="shared" ca="1" si="2"/>
        <v>27534.079999999994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69332.954964438119</v>
      </c>
      <c r="M11" s="16">
        <f t="shared" ca="1" si="0"/>
        <v>69332.954964438119</v>
      </c>
      <c r="N11" s="16"/>
      <c r="O11" s="16">
        <f t="shared" ca="1" si="3"/>
        <v>0</v>
      </c>
      <c r="P11" s="11" cm="1">
        <f t="array" aca="1" ref="P11" ca="1">INDIRECT("'data'!$X$" &amp; $A$1)*parameters!$B$15</f>
        <v>5298.86</v>
      </c>
      <c r="Q11" s="13" cm="1">
        <f t="array" aca="1" ref="Q11" ca="1">-INDIRECT("'data'!$Y$" &amp; $A$1)*parameters!$B$15</f>
        <v>-9937.2000000000007</v>
      </c>
      <c r="R11" s="16" cm="1">
        <f t="array" aca="1" ref="R11" ca="1">INDIRECT("'data'!$W$" &amp; $A$1)*parameters!$B$15</f>
        <v>64694.614964438122</v>
      </c>
      <c r="S11" s="16">
        <f t="shared" ca="1" si="2"/>
        <v>64694.614964438122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110712.78086941678</v>
      </c>
      <c r="O12" s="19"/>
      <c r="P12" s="21" cm="1">
        <f t="array" aca="1" ref="P12" ca="1">INDIRECT("'data'!$Z$" &amp; $A$1)*parameters!$B$15</f>
        <v>23269.119999999999</v>
      </c>
      <c r="Q12" s="27" cm="1">
        <f t="array" aca="1" ref="Q12" ca="1">-INDIRECT("'data'!$AA$" &amp; $A$1)*parameters!$B$15</f>
        <v>-43234.659999999996</v>
      </c>
      <c r="R12" s="16">
        <f ca="1">L10*parameters!$B$10+L11*parameters!$B$11</f>
        <v>90747.240869416768</v>
      </c>
      <c r="S12" s="16">
        <f t="shared" ref="S12:S18" ca="1" si="4">SUM(M12:Q12)</f>
        <v>90747.240869416768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-223.00611552782357</v>
      </c>
      <c r="D13" s="9">
        <f ca="1">-(D18-R4)</f>
        <v>-1.2832041863741495</v>
      </c>
      <c r="E13" s="9">
        <f ca="1">-(E18-R5)</f>
        <v>-7881.3186347225565</v>
      </c>
      <c r="F13" s="9">
        <f ca="1">-(F18-R6)</f>
        <v>-2766.1994029850757</v>
      </c>
      <c r="G13" s="9">
        <f ca="1">-(G18-R7)</f>
        <v>0</v>
      </c>
      <c r="H13" s="9">
        <f ca="1">-(H18-R8)</f>
        <v>-2298.1931870428452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-13170.000544464674</v>
      </c>
      <c r="N13" s="17"/>
      <c r="O13" s="17"/>
      <c r="P13" s="10"/>
      <c r="Q13" s="12"/>
      <c r="R13" s="9">
        <f t="shared" ref="R13:R18" ca="1" si="6">SUM(M13:Q13)</f>
        <v>-13170.000544464674</v>
      </c>
      <c r="S13" s="17">
        <f t="shared" ca="1" si="4"/>
        <v>-13170.000544464674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-1957.9073903017961</v>
      </c>
      <c r="K14" s="14">
        <f ca="1">-(K18-R11)</f>
        <v>-4600.3376452600787</v>
      </c>
      <c r="L14" s="13">
        <f ca="1">-(L18-R12)</f>
        <v>-11693.054095021347</v>
      </c>
      <c r="M14" s="14">
        <f t="shared" ca="1" si="5"/>
        <v>-18251.299130583222</v>
      </c>
      <c r="N14" s="16">
        <f ca="1">-E16</f>
        <v>-53397.052094167244</v>
      </c>
      <c r="O14" s="16"/>
      <c r="P14" s="11"/>
      <c r="Q14" s="13"/>
      <c r="R14" s="14">
        <f t="shared" ca="1" si="6"/>
        <v>-71648.35122475047</v>
      </c>
      <c r="S14" s="16">
        <f t="shared" ca="1" si="4"/>
        <v>-71648.35122475047</v>
      </c>
    </row>
    <row r="15" spans="1:21">
      <c r="A15" s="18" t="s">
        <v>79</v>
      </c>
      <c r="B15" s="11"/>
      <c r="C15" s="14"/>
      <c r="D15" s="14"/>
      <c r="E15" s="14">
        <f ca="1">-(J14+K14)-L14</f>
        <v>18251.299130583222</v>
      </c>
      <c r="F15" s="14"/>
      <c r="G15" s="14"/>
      <c r="H15" s="14"/>
      <c r="I15" s="14"/>
      <c r="J15" s="14"/>
      <c r="K15" s="14"/>
      <c r="L15" s="13"/>
      <c r="M15" s="14">
        <f t="shared" ca="1" si="5"/>
        <v>18251.299130583222</v>
      </c>
      <c r="N15" s="16"/>
      <c r="O15" s="16"/>
      <c r="P15" s="11"/>
      <c r="Q15" s="13"/>
      <c r="R15" s="14">
        <f t="shared" ca="1" si="6"/>
        <v>18251.299130583222</v>
      </c>
      <c r="S15" s="16">
        <f t="shared" ca="1" si="4"/>
        <v>18251.299130583222</v>
      </c>
    </row>
    <row r="16" spans="1:21">
      <c r="A16" s="18" t="s">
        <v>80</v>
      </c>
      <c r="B16" s="11"/>
      <c r="C16" s="14"/>
      <c r="D16" s="14"/>
      <c r="E16" s="14">
        <f ca="1">E18-E15</f>
        <v>53397.052094167244</v>
      </c>
      <c r="F16" s="14"/>
      <c r="G16" s="14"/>
      <c r="H16" s="14"/>
      <c r="I16" s="14"/>
      <c r="J16" s="14"/>
      <c r="K16" s="14"/>
      <c r="L16" s="13"/>
      <c r="M16" s="14">
        <f t="shared" ca="1" si="5"/>
        <v>53397.052094167244</v>
      </c>
      <c r="N16" s="16"/>
      <c r="O16" s="16"/>
      <c r="P16" s="11"/>
      <c r="Q16" s="13"/>
      <c r="R16" s="14">
        <f t="shared" ca="1" si="6"/>
        <v>53397.052094167244</v>
      </c>
      <c r="S16" s="16">
        <f t="shared" ca="1" si="4"/>
        <v>53397.052094167244</v>
      </c>
    </row>
    <row r="17" spans="1:19">
      <c r="A17" s="30" t="s">
        <v>90</v>
      </c>
      <c r="B17" s="21">
        <f ca="1">R2</f>
        <v>34201.881000000001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34201.881000000001</v>
      </c>
      <c r="N17" s="19"/>
      <c r="O17" s="19"/>
      <c r="P17" s="21"/>
      <c r="Q17" s="27"/>
      <c r="R17" s="22">
        <f t="shared" ca="1" si="6"/>
        <v>34201.881000000001</v>
      </c>
      <c r="S17" s="19">
        <f t="shared" ca="1" si="4"/>
        <v>34201.881000000001</v>
      </c>
    </row>
    <row r="18" spans="1:19">
      <c r="A18" s="29" t="s">
        <v>89</v>
      </c>
      <c r="B18" s="9">
        <f ca="1">B17</f>
        <v>34201.881000000001</v>
      </c>
      <c r="C18" s="9">
        <f ca="1">SUM(C$2:C$12)</f>
        <v>35397.796115527824</v>
      </c>
      <c r="D18" s="9">
        <f ca="1">SUM(D$2:D$12)</f>
        <v>203.68320418637416</v>
      </c>
      <c r="E18" s="9">
        <f ca="1">$R$5/parameters!$B$4</f>
        <v>71648.35122475047</v>
      </c>
      <c r="F18" s="9">
        <f t="shared" ref="F18:L18" ca="1" si="7">SUM(F$2:F$12)</f>
        <v>44616.119402985074</v>
      </c>
      <c r="G18" s="9">
        <f t="shared" ca="1" si="7"/>
        <v>0</v>
      </c>
      <c r="H18" s="9">
        <f t="shared" ca="1" si="7"/>
        <v>53446.353187042841</v>
      </c>
      <c r="I18" s="9">
        <f t="shared" ca="1" si="7"/>
        <v>92998.079999999987</v>
      </c>
      <c r="J18" s="9">
        <f t="shared" ca="1" si="7"/>
        <v>29491.987390301794</v>
      </c>
      <c r="K18" s="9">
        <f t="shared" ca="1" si="7"/>
        <v>69294.952609698201</v>
      </c>
      <c r="L18" s="9">
        <f t="shared" ca="1" si="7"/>
        <v>102440.29496443812</v>
      </c>
      <c r="M18" s="17">
        <f ca="1">SUM(B18:L18)</f>
        <v>533739.49909893062</v>
      </c>
      <c r="N18" s="17"/>
      <c r="O18" s="17"/>
      <c r="P18" s="9"/>
      <c r="Q18" s="14"/>
      <c r="R18" s="11">
        <f t="shared" ca="1" si="6"/>
        <v>533739.49909893062</v>
      </c>
      <c r="S18" s="17">
        <f t="shared" ca="1" si="4"/>
        <v>533739.49909893062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0.93361222611448569</v>
      </c>
      <c r="K19" s="39">
        <f ca="1">J19</f>
        <v>0.93361222611448569</v>
      </c>
      <c r="L19" s="40">
        <f ca="1">1-(-L14)/L18</f>
        <v>0.88585493531543846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46037.4861628258</v>
      </c>
      <c r="D2" s="9">
        <f ca="1">R4/parameters!$B$3</f>
        <v>3092.2813726476807</v>
      </c>
      <c r="E2" s="9"/>
      <c r="F2" s="9"/>
      <c r="G2" s="9"/>
      <c r="H2" s="9"/>
      <c r="I2" s="9"/>
      <c r="J2" s="9"/>
      <c r="K2" s="9"/>
      <c r="L2" s="12"/>
      <c r="M2" s="17">
        <f ca="1">SUM(B2:L2)</f>
        <v>49129.767535473482</v>
      </c>
      <c r="N2" s="17"/>
      <c r="O2" s="17">
        <f ca="1">R2-(M2+P2+Q2)</f>
        <v>0</v>
      </c>
      <c r="P2" s="11" cm="1">
        <f t="array" aca="1" ref="P2" ca="1">INDIRECT("'data'!$F$" &amp; $A$1)</f>
        <v>11382.800000000001</v>
      </c>
      <c r="Q2" s="13">
        <f ca="1">IF(-(M2-R2+P2)&lt;0, -(M2-R2+P2), 0)</f>
        <v>-4412.5675354734831</v>
      </c>
      <c r="R2" s="17" cm="1">
        <f t="array" aca="1" ref="R2" ca="1">INDIRECT("'data'!$D$" &amp; $A$1)</f>
        <v>56100</v>
      </c>
      <c r="S2" s="17">
        <f ca="1">SUM(M2:Q2)</f>
        <v>56100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25544.776119402984</v>
      </c>
      <c r="G3" s="14">
        <f ca="1">R7/parameters!$B$6</f>
        <v>15253.731343283584</v>
      </c>
      <c r="H3" s="14">
        <f ca="1">R3-P3-Q3-F3-G3</f>
        <v>272.13753731342877</v>
      </c>
      <c r="I3" s="14"/>
      <c r="J3" s="14"/>
      <c r="K3" s="14"/>
      <c r="L3" s="13"/>
      <c r="M3" s="16">
        <f t="shared" ref="M3:M11" ca="1" si="0">SUM(B3:L3)</f>
        <v>41070.644999999997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4676.8049999999994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45747.45</v>
      </c>
      <c r="S3" s="16">
        <f t="shared" ref="S3:S11" ca="1" si="2">SUM(M3:Q3)</f>
        <v>45747.45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1894.2800000000002</v>
      </c>
      <c r="I4" s="14"/>
      <c r="J4" s="14"/>
      <c r="K4" s="14"/>
      <c r="L4" s="13"/>
      <c r="M4" s="16">
        <f t="shared" ca="1" si="0"/>
        <v>1894.2800000000002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1178.52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3072.8</v>
      </c>
      <c r="S4" s="16">
        <f t="shared" ca="1" si="2"/>
        <v>3072.8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17029.850746268658</v>
      </c>
      <c r="G5" s="14"/>
      <c r="H5" s="14">
        <f ca="1">R8/parameters!$B$7-(H3+H4)</f>
        <v>6845.0767155601334</v>
      </c>
      <c r="I5" s="14"/>
      <c r="J5" s="14"/>
      <c r="K5" s="14"/>
      <c r="L5" s="13"/>
      <c r="M5" s="16">
        <f t="shared" ca="1" si="0"/>
        <v>23874.927461828789</v>
      </c>
      <c r="N5" s="16"/>
      <c r="O5" s="16"/>
      <c r="P5" s="11" cm="1">
        <f t="array" aca="1" ref="P5" ca="1">INDIRECT("'data'!$M$" &amp; $A$1)*parameters!$B$15</f>
        <v>12110.84</v>
      </c>
      <c r="Q5" s="13" cm="1">
        <f t="array" aca="1" ref="Q5" ca="1">-INDIRECT("'data'!$N$" &amp; $A$1)*parameters!$B$15</f>
        <v>-117.6</v>
      </c>
      <c r="R5" s="16">
        <f ca="1">SUM(M5:Q5)</f>
        <v>35868.167461828787</v>
      </c>
      <c r="S5" s="16">
        <f t="shared" ca="1" si="2"/>
        <v>35868.167461828787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39935</v>
      </c>
      <c r="J6" s="14"/>
      <c r="K6" s="14"/>
      <c r="L6" s="13"/>
      <c r="M6" s="16">
        <f t="shared" ca="1" si="0"/>
        <v>39935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39935</v>
      </c>
      <c r="S6" s="16">
        <f t="shared" ca="1" si="2"/>
        <v>39935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14308</v>
      </c>
      <c r="J7" s="14"/>
      <c r="K7" s="14"/>
      <c r="L7" s="13"/>
      <c r="M7" s="16">
        <f t="shared" ca="1" si="0"/>
        <v>14308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14308</v>
      </c>
      <c r="S7" s="16">
        <f t="shared" ca="1" si="2"/>
        <v>14308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8624</v>
      </c>
      <c r="J8" s="14"/>
      <c r="K8" s="14"/>
      <c r="L8" s="13"/>
      <c r="M8" s="16">
        <f t="shared" ca="1" si="0"/>
        <v>8624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8624</v>
      </c>
      <c r="S8" s="16">
        <f t="shared" ca="1" si="2"/>
        <v>8624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23107.368421052633</v>
      </c>
      <c r="K9" s="14">
        <f ca="1">R11/K19</f>
        <v>34770.401467395372</v>
      </c>
      <c r="L9" s="13"/>
      <c r="M9" s="16">
        <f t="shared" ca="1" si="0"/>
        <v>57877.769888448005</v>
      </c>
      <c r="N9" s="16"/>
      <c r="O9" s="16">
        <f t="shared" ca="1" si="3"/>
        <v>-8695.4898884480062</v>
      </c>
      <c r="P9" s="11" cm="1">
        <f t="array" aca="1" ref="P9" ca="1">INDIRECT("'data'!$R$" &amp; $A$1)*parameters!$B$15</f>
        <v>13704.32</v>
      </c>
      <c r="Q9" s="13" cm="1">
        <f t="array" aca="1" ref="Q9" ca="1">-INDIRECT("'data'!$S$" &amp; $A$1)*parameters!$B$15</f>
        <v>-19.600000000000001</v>
      </c>
      <c r="R9" s="16">
        <f ca="1">SUM(R6:R8)</f>
        <v>62867</v>
      </c>
      <c r="S9" s="16">
        <f t="shared" ca="1" si="2"/>
        <v>62867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18984.559999999998</v>
      </c>
      <c r="M10" s="16">
        <f t="shared" ca="1" si="0"/>
        <v>18984.559999999998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4220.8599999999997</v>
      </c>
      <c r="Q10" s="13" cm="1">
        <f t="array" aca="1" ref="Q10" ca="1">-INDIRECT("'data'!$V$" &amp; $A$1)*parameters!$B$15</f>
        <v>-1253.42</v>
      </c>
      <c r="R10" s="16" cm="1">
        <f t="array" aca="1" ref="R10" ca="1">INDIRECT("'data'!$T$" &amp; $A$1)*parameters!$B$15</f>
        <v>21952</v>
      </c>
      <c r="S10" s="16">
        <f t="shared" ca="1" si="2"/>
        <v>21952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24446.101394025598</v>
      </c>
      <c r="M11" s="16">
        <f t="shared" ca="1" si="0"/>
        <v>24446.101394025598</v>
      </c>
      <c r="N11" s="16"/>
      <c r="O11" s="16">
        <f t="shared" ca="1" si="3"/>
        <v>0</v>
      </c>
      <c r="P11" s="11" cm="1">
        <f t="array" aca="1" ref="P11" ca="1">INDIRECT("'data'!$X$" &amp; $A$1)*parameters!$B$15</f>
        <v>10818.22</v>
      </c>
      <c r="Q11" s="13" cm="1">
        <f t="array" aca="1" ref="Q11" ca="1">-INDIRECT("'data'!$Y$" &amp; $A$1)*parameters!$B$15</f>
        <v>-2232.44</v>
      </c>
      <c r="R11" s="16" cm="1">
        <f t="array" aca="1" ref="R11" ca="1">INDIRECT("'data'!$W$" &amp; $A$1)*parameters!$B$15</f>
        <v>33031.8813940256</v>
      </c>
      <c r="S11" s="16">
        <f t="shared" ca="1" si="2"/>
        <v>33031.881394025593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41733.673598862013</v>
      </c>
      <c r="O12" s="19"/>
      <c r="P12" s="21" cm="1">
        <f t="array" aca="1" ref="P12" ca="1">INDIRECT("'data'!$Z$" &amp; $A$1)*parameters!$B$15</f>
        <v>2397.08</v>
      </c>
      <c r="Q12" s="27" cm="1">
        <f t="array" aca="1" ref="Q12" ca="1">-INDIRECT("'data'!$AA$" &amp; $A$1)*parameters!$B$15</f>
        <v>-5261.62</v>
      </c>
      <c r="R12" s="16">
        <f ca="1">L10*parameters!$B$10+L11*parameters!$B$11</f>
        <v>38869.133598862012</v>
      </c>
      <c r="S12" s="16">
        <f t="shared" ref="S12:S18" ca="1" si="4">SUM(M12:Q12)</f>
        <v>38869.133598862012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-290.03616282580333</v>
      </c>
      <c r="D13" s="9">
        <f ca="1">-(D18-R4)</f>
        <v>-19.481372647680473</v>
      </c>
      <c r="E13" s="9">
        <f ca="1">-(E18-R5)</f>
        <v>-4433.1442930350167</v>
      </c>
      <c r="F13" s="9">
        <f ca="1">-(F18-R6)</f>
        <v>-2639.626865671642</v>
      </c>
      <c r="G13" s="9">
        <f ca="1">-(G18-R7)</f>
        <v>-945.73134328358356</v>
      </c>
      <c r="H13" s="9">
        <f ca="1">-(H18-R8)</f>
        <v>-387.4942528735628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-8715.5142903372889</v>
      </c>
      <c r="N13" s="17"/>
      <c r="O13" s="17"/>
      <c r="P13" s="10"/>
      <c r="Q13" s="12"/>
      <c r="R13" s="9">
        <f t="shared" ref="R13:R18" ca="1" si="6">SUM(M13:Q13)</f>
        <v>-8715.5142903372889</v>
      </c>
      <c r="S13" s="17">
        <f t="shared" ca="1" si="4"/>
        <v>-8715.5142903372889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-1155.3684210526335</v>
      </c>
      <c r="K14" s="14">
        <f ca="1">-(K18-R11)</f>
        <v>-1738.5200733697711</v>
      </c>
      <c r="L14" s="13">
        <f ca="1">-(L18-R12)</f>
        <v>-4561.5277951635799</v>
      </c>
      <c r="M14" s="14">
        <f t="shared" ca="1" si="5"/>
        <v>-7455.4162895859845</v>
      </c>
      <c r="N14" s="16">
        <f ca="1">-E16</f>
        <v>-32845.895465277819</v>
      </c>
      <c r="O14" s="16"/>
      <c r="P14" s="11"/>
      <c r="Q14" s="13"/>
      <c r="R14" s="14">
        <f t="shared" ca="1" si="6"/>
        <v>-40301.311754863804</v>
      </c>
      <c r="S14" s="16">
        <f t="shared" ca="1" si="4"/>
        <v>-40301.311754863804</v>
      </c>
    </row>
    <row r="15" spans="1:21">
      <c r="A15" s="18" t="s">
        <v>79</v>
      </c>
      <c r="B15" s="11"/>
      <c r="C15" s="14"/>
      <c r="D15" s="14"/>
      <c r="E15" s="14">
        <f ca="1">-(J14+K14)-L14</f>
        <v>7455.4162895859845</v>
      </c>
      <c r="F15" s="14"/>
      <c r="G15" s="14"/>
      <c r="H15" s="14"/>
      <c r="I15" s="14"/>
      <c r="J15" s="14"/>
      <c r="K15" s="14"/>
      <c r="L15" s="13"/>
      <c r="M15" s="14">
        <f t="shared" ca="1" si="5"/>
        <v>7455.4162895859845</v>
      </c>
      <c r="N15" s="16"/>
      <c r="O15" s="16"/>
      <c r="P15" s="11"/>
      <c r="Q15" s="13"/>
      <c r="R15" s="14">
        <f t="shared" ca="1" si="6"/>
        <v>7455.4162895859845</v>
      </c>
      <c r="S15" s="16">
        <f t="shared" ca="1" si="4"/>
        <v>7455.4162895859845</v>
      </c>
    </row>
    <row r="16" spans="1:21">
      <c r="A16" s="18" t="s">
        <v>80</v>
      </c>
      <c r="B16" s="11"/>
      <c r="C16" s="14"/>
      <c r="D16" s="14"/>
      <c r="E16" s="14">
        <f ca="1">E18-E15</f>
        <v>32845.895465277819</v>
      </c>
      <c r="F16" s="14"/>
      <c r="G16" s="14"/>
      <c r="H16" s="14"/>
      <c r="I16" s="14"/>
      <c r="J16" s="14"/>
      <c r="K16" s="14"/>
      <c r="L16" s="13"/>
      <c r="M16" s="14">
        <f t="shared" ca="1" si="5"/>
        <v>32845.895465277819</v>
      </c>
      <c r="N16" s="16"/>
      <c r="O16" s="16"/>
      <c r="P16" s="11"/>
      <c r="Q16" s="13"/>
      <c r="R16" s="14">
        <f t="shared" ca="1" si="6"/>
        <v>32845.895465277819</v>
      </c>
      <c r="S16" s="16">
        <f t="shared" ca="1" si="4"/>
        <v>32845.895465277819</v>
      </c>
    </row>
    <row r="17" spans="1:19">
      <c r="A17" s="30" t="s">
        <v>90</v>
      </c>
      <c r="B17" s="21">
        <f ca="1">R2</f>
        <v>56100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56100</v>
      </c>
      <c r="N17" s="19"/>
      <c r="O17" s="19"/>
      <c r="P17" s="21"/>
      <c r="Q17" s="27"/>
      <c r="R17" s="22">
        <f t="shared" ca="1" si="6"/>
        <v>56100</v>
      </c>
      <c r="S17" s="19">
        <f t="shared" ca="1" si="4"/>
        <v>56100</v>
      </c>
    </row>
    <row r="18" spans="1:19">
      <c r="A18" s="29" t="s">
        <v>89</v>
      </c>
      <c r="B18" s="9">
        <f ca="1">B17</f>
        <v>56100</v>
      </c>
      <c r="C18" s="9">
        <f ca="1">SUM(C$2:C$12)</f>
        <v>46037.4861628258</v>
      </c>
      <c r="D18" s="9">
        <f ca="1">SUM(D$2:D$12)</f>
        <v>3092.2813726476807</v>
      </c>
      <c r="E18" s="9">
        <f ca="1">$R$5/parameters!$B$4</f>
        <v>40301.311754863804</v>
      </c>
      <c r="F18" s="9">
        <f t="shared" ref="F18:L18" ca="1" si="7">SUM(F$2:F$12)</f>
        <v>42574.626865671642</v>
      </c>
      <c r="G18" s="9">
        <f t="shared" ca="1" si="7"/>
        <v>15253.731343283584</v>
      </c>
      <c r="H18" s="9">
        <f t="shared" ca="1" si="7"/>
        <v>9011.4942528735628</v>
      </c>
      <c r="I18" s="9">
        <f t="shared" ca="1" si="7"/>
        <v>62867</v>
      </c>
      <c r="J18" s="9">
        <f t="shared" ca="1" si="7"/>
        <v>23107.368421052633</v>
      </c>
      <c r="K18" s="9">
        <f t="shared" ca="1" si="7"/>
        <v>34770.401467395372</v>
      </c>
      <c r="L18" s="9">
        <f t="shared" ca="1" si="7"/>
        <v>43430.661394025592</v>
      </c>
      <c r="M18" s="17">
        <f ca="1">SUM(B18:L18)</f>
        <v>376546.36303463968</v>
      </c>
      <c r="N18" s="17"/>
      <c r="O18" s="17"/>
      <c r="P18" s="9"/>
      <c r="Q18" s="14"/>
      <c r="R18" s="11">
        <f t="shared" ca="1" si="6"/>
        <v>376546.36303463968</v>
      </c>
      <c r="S18" s="17">
        <f t="shared" ca="1" si="4"/>
        <v>376546.36303463968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0.89496987499731995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25970.619905404041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25970.619905404041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-25970.619905404041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22339.820895522389</v>
      </c>
      <c r="G3" s="14">
        <f ca="1">R7/parameters!$B$6</f>
        <v>0</v>
      </c>
      <c r="H3" s="14">
        <f ca="1">R3-P3-Q3-F3-G3</f>
        <v>4892.2441044776097</v>
      </c>
      <c r="I3" s="14"/>
      <c r="J3" s="14"/>
      <c r="K3" s="14"/>
      <c r="L3" s="13"/>
      <c r="M3" s="16">
        <f t="shared" ref="M3:M11" ca="1" si="0">SUM(B3:L3)</f>
        <v>27232.064999999999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-1425.06</v>
      </c>
      <c r="R3" s="16" cm="1">
        <f t="array" aca="1" ref="R3" ca="1">INDIRECT("'data'!$G$" &amp; $A$1)*parameters!$B$13</f>
        <v>25807.004999999997</v>
      </c>
      <c r="S3" s="16">
        <f t="shared" ref="S3:S11" ca="1" si="2">SUM(M3:Q3)</f>
        <v>25807.004999999997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674.36</v>
      </c>
      <c r="I4" s="14"/>
      <c r="J4" s="14"/>
      <c r="K4" s="14"/>
      <c r="L4" s="13"/>
      <c r="M4" s="16">
        <f t="shared" ca="1" si="0"/>
        <v>674.36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-674.36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5584.9552238805973</v>
      </c>
      <c r="G5" s="14"/>
      <c r="H5" s="14">
        <f ca="1">R8/parameters!$B$7-(H3+H4)</f>
        <v>15755.820137946634</v>
      </c>
      <c r="I5" s="14"/>
      <c r="J5" s="14"/>
      <c r="K5" s="14"/>
      <c r="L5" s="13"/>
      <c r="M5" s="16">
        <f t="shared" ca="1" si="0"/>
        <v>21340.775361827233</v>
      </c>
      <c r="N5" s="16"/>
      <c r="O5" s="16"/>
      <c r="P5" s="11" cm="1">
        <f t="array" aca="1" ref="P5" ca="1">INDIRECT("'data'!$M$" &amp; $A$1)*parameters!$B$15</f>
        <v>202.85999999999999</v>
      </c>
      <c r="Q5" s="13" cm="1">
        <f t="array" aca="1" ref="Q5" ca="1">-INDIRECT("'data'!$N$" &amp; $A$1)*parameters!$B$15</f>
        <v>-6676.74</v>
      </c>
      <c r="R5" s="16">
        <f ca="1">SUM(M5:Q5)</f>
        <v>14866.895361827234</v>
      </c>
      <c r="S5" s="16">
        <f t="shared" ca="1" si="2"/>
        <v>14866.895361827234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26193.439999999999</v>
      </c>
      <c r="J6" s="14"/>
      <c r="K6" s="14"/>
      <c r="L6" s="13"/>
      <c r="M6" s="16">
        <f t="shared" ca="1" si="0"/>
        <v>26193.439999999999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26193.439999999999</v>
      </c>
      <c r="S6" s="16">
        <f t="shared" ca="1" si="2"/>
        <v>26193.439999999999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20405.560000000001</v>
      </c>
      <c r="J8" s="14"/>
      <c r="K8" s="14"/>
      <c r="L8" s="13"/>
      <c r="M8" s="16">
        <f t="shared" ca="1" si="0"/>
        <v>20405.560000000001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20405.560000000001</v>
      </c>
      <c r="S8" s="16">
        <f t="shared" ca="1" si="2"/>
        <v>20405.560000000001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19853.947926959088</v>
      </c>
      <c r="K9" s="14">
        <f ca="1">R11/K19</f>
        <v>31336.352073040918</v>
      </c>
      <c r="L9" s="13"/>
      <c r="M9" s="16">
        <f t="shared" ca="1" si="0"/>
        <v>51190.3</v>
      </c>
      <c r="N9" s="16"/>
      <c r="O9" s="16">
        <f t="shared" ca="1" si="3"/>
        <v>0</v>
      </c>
      <c r="P9" s="11" cm="1">
        <f t="array" aca="1" ref="P9" ca="1">INDIRECT("'data'!$R$" &amp; $A$1)*parameters!$B$15</f>
        <v>180.32</v>
      </c>
      <c r="Q9" s="13" cm="1">
        <f t="array" aca="1" ref="Q9" ca="1">-INDIRECT("'data'!$S$" &amp; $A$1)*parameters!$B$15</f>
        <v>-4771.62</v>
      </c>
      <c r="R9" s="16">
        <f ca="1">SUM(R6:R8)</f>
        <v>46599</v>
      </c>
      <c r="S9" s="16">
        <f t="shared" ca="1" si="2"/>
        <v>46599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18823.84</v>
      </c>
      <c r="M10" s="16">
        <f t="shared" ca="1" si="0"/>
        <v>18823.84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2931.18</v>
      </c>
      <c r="Q10" s="13" cm="1">
        <f t="array" aca="1" ref="Q10" ca="1">-INDIRECT("'data'!$V$" &amp; $A$1)*parameters!$B$15</f>
        <v>-3313.38</v>
      </c>
      <c r="R10" s="16" cm="1">
        <f t="array" aca="1" ref="R10" ca="1">INDIRECT("'data'!$T$" &amp; $A$1)*parameters!$B$15</f>
        <v>18441.64</v>
      </c>
      <c r="S10" s="16">
        <f t="shared" ca="1" si="2"/>
        <v>18441.64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27444.184864864867</v>
      </c>
      <c r="M11" s="16">
        <f t="shared" ca="1" si="0"/>
        <v>27444.184864864867</v>
      </c>
      <c r="N11" s="16"/>
      <c r="O11" s="16">
        <f t="shared" ca="1" si="3"/>
        <v>0</v>
      </c>
      <c r="P11" s="11" cm="1">
        <f t="array" aca="1" ref="P11" ca="1">INDIRECT("'data'!$X$" &amp; $A$1)*parameters!$B$15</f>
        <v>11412.1</v>
      </c>
      <c r="Q11" s="13" cm="1">
        <f t="array" aca="1" ref="Q11" ca="1">-INDIRECT("'data'!$Y$" &amp; $A$1)*parameters!$B$15</f>
        <v>-9749.0399999999991</v>
      </c>
      <c r="R11" s="16" cm="1">
        <f t="array" aca="1" ref="R11" ca="1">INDIRECT("'data'!$W$" &amp; $A$1)*parameters!$B$15</f>
        <v>29107.244864864864</v>
      </c>
      <c r="S11" s="16">
        <f t="shared" ca="1" si="2"/>
        <v>29107.244864864864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29569.728583783784</v>
      </c>
      <c r="O12" s="19"/>
      <c r="P12" s="21" cm="1">
        <f t="array" aca="1" ref="P12" ca="1">INDIRECT("'data'!$Z$" &amp; $A$1)*parameters!$B$15</f>
        <v>14708.82</v>
      </c>
      <c r="Q12" s="27" cm="1">
        <f t="array" aca="1" ref="Q12" ca="1">-INDIRECT("'data'!$AA$" &amp; $A$1)*parameters!$B$15</f>
        <v>-2982.14</v>
      </c>
      <c r="R12" s="16">
        <f ca="1">L10*parameters!$B$10+L11*parameters!$B$11</f>
        <v>41296.408583783785</v>
      </c>
      <c r="S12" s="16">
        <f t="shared" ref="S12:S18" ca="1" si="4">SUM(M12:Q12)</f>
        <v>41296.408583783785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-163.61490540404338</v>
      </c>
      <c r="D13" s="9">
        <f ca="1">-(D18-R4)</f>
        <v>0</v>
      </c>
      <c r="E13" s="9">
        <f ca="1">-(E18-R5)</f>
        <v>-1837.4814492146015</v>
      </c>
      <c r="F13" s="9">
        <f ca="1">-(F18-R6)</f>
        <v>-1731.3361194029894</v>
      </c>
      <c r="G13" s="9">
        <f ca="1">-(G18-R7)</f>
        <v>0</v>
      </c>
      <c r="H13" s="9">
        <f ca="1">-(H18-R8)</f>
        <v>-916.86424242424255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-4649.2967164458769</v>
      </c>
      <c r="N13" s="17"/>
      <c r="O13" s="17"/>
      <c r="P13" s="10"/>
      <c r="Q13" s="12"/>
      <c r="R13" s="9">
        <f t="shared" ref="R13:R18" ca="1" si="6">SUM(M13:Q13)</f>
        <v>-4649.2967164458769</v>
      </c>
      <c r="S13" s="17">
        <f t="shared" ca="1" si="4"/>
        <v>-4649.2967164458769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-1412.3079269590889</v>
      </c>
      <c r="K14" s="14">
        <f ca="1">-(K18-R11)</f>
        <v>-2229.107208176054</v>
      </c>
      <c r="L14" s="13">
        <f ca="1">-(L18-R12)</f>
        <v>-4971.6162810810856</v>
      </c>
      <c r="M14" s="14">
        <f t="shared" ca="1" si="5"/>
        <v>-8613.0314162162285</v>
      </c>
      <c r="N14" s="16">
        <f ca="1">-E16</f>
        <v>-8091.3453948256065</v>
      </c>
      <c r="O14" s="16"/>
      <c r="P14" s="11"/>
      <c r="Q14" s="13"/>
      <c r="R14" s="14">
        <f t="shared" ca="1" si="6"/>
        <v>-16704.376811041835</v>
      </c>
      <c r="S14" s="16">
        <f t="shared" ca="1" si="4"/>
        <v>-16704.376811041835</v>
      </c>
    </row>
    <row r="15" spans="1:21">
      <c r="A15" s="18" t="s">
        <v>79</v>
      </c>
      <c r="B15" s="11"/>
      <c r="C15" s="14"/>
      <c r="D15" s="14"/>
      <c r="E15" s="14">
        <f ca="1">-(J14+K14)-L14</f>
        <v>8613.0314162162285</v>
      </c>
      <c r="F15" s="14"/>
      <c r="G15" s="14"/>
      <c r="H15" s="14"/>
      <c r="I15" s="14"/>
      <c r="J15" s="14"/>
      <c r="K15" s="14"/>
      <c r="L15" s="13"/>
      <c r="M15" s="14">
        <f t="shared" ca="1" si="5"/>
        <v>8613.0314162162285</v>
      </c>
      <c r="N15" s="16"/>
      <c r="O15" s="16"/>
      <c r="P15" s="11"/>
      <c r="Q15" s="13"/>
      <c r="R15" s="14">
        <f t="shared" ca="1" si="6"/>
        <v>8613.0314162162285</v>
      </c>
      <c r="S15" s="16">
        <f t="shared" ca="1" si="4"/>
        <v>8613.0314162162285</v>
      </c>
    </row>
    <row r="16" spans="1:21">
      <c r="A16" s="18" t="s">
        <v>80</v>
      </c>
      <c r="B16" s="11"/>
      <c r="C16" s="14"/>
      <c r="D16" s="14"/>
      <c r="E16" s="14">
        <f ca="1">E18-E15</f>
        <v>8091.3453948256065</v>
      </c>
      <c r="F16" s="14"/>
      <c r="G16" s="14"/>
      <c r="H16" s="14"/>
      <c r="I16" s="14"/>
      <c r="J16" s="14"/>
      <c r="K16" s="14"/>
      <c r="L16" s="13"/>
      <c r="M16" s="14">
        <f t="shared" ca="1" si="5"/>
        <v>8091.3453948256065</v>
      </c>
      <c r="N16" s="16"/>
      <c r="O16" s="16"/>
      <c r="P16" s="11"/>
      <c r="Q16" s="13"/>
      <c r="R16" s="14">
        <f t="shared" ca="1" si="6"/>
        <v>8091.3453948256065</v>
      </c>
      <c r="S16" s="16">
        <f t="shared" ca="1" si="4"/>
        <v>8091.3453948256065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25970.619905404041</v>
      </c>
      <c r="D18" s="9">
        <f ca="1">SUM(D$2:D$12)</f>
        <v>0</v>
      </c>
      <c r="E18" s="9">
        <f ca="1">$R$5/parameters!$B$4</f>
        <v>16704.376811041835</v>
      </c>
      <c r="F18" s="9">
        <f t="shared" ref="F18:L18" ca="1" si="7">SUM(F$2:F$12)</f>
        <v>27924.776119402988</v>
      </c>
      <c r="G18" s="9">
        <f t="shared" ca="1" si="7"/>
        <v>0</v>
      </c>
      <c r="H18" s="9">
        <f t="shared" ca="1" si="7"/>
        <v>21322.424242424244</v>
      </c>
      <c r="I18" s="9">
        <f t="shared" ca="1" si="7"/>
        <v>46599</v>
      </c>
      <c r="J18" s="9">
        <f t="shared" ca="1" si="7"/>
        <v>19853.947926959088</v>
      </c>
      <c r="K18" s="9">
        <f t="shared" ca="1" si="7"/>
        <v>31336.352073040918</v>
      </c>
      <c r="L18" s="9">
        <f t="shared" ca="1" si="7"/>
        <v>46268.02486486487</v>
      </c>
      <c r="M18" s="17">
        <f ca="1">SUM(B18:L18)</f>
        <v>235979.52194313798</v>
      </c>
      <c r="N18" s="17"/>
      <c r="O18" s="17"/>
      <c r="P18" s="9"/>
      <c r="Q18" s="14"/>
      <c r="R18" s="11">
        <f t="shared" ca="1" si="6"/>
        <v>235979.52194313798</v>
      </c>
      <c r="S18" s="17">
        <f t="shared" ca="1" si="4"/>
        <v>235979.52194313798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0.92886513391921632</v>
      </c>
      <c r="K19" s="39">
        <f ca="1">J19</f>
        <v>0.92886513391921632</v>
      </c>
      <c r="L19" s="40">
        <f ca="1">1-(-L14)/L18</f>
        <v>0.89254747105367693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27439.901378685718</v>
      </c>
      <c r="D2" s="9">
        <f ca="1">R4/parameters!$B$3</f>
        <v>407.36640837274831</v>
      </c>
      <c r="E2" s="9"/>
      <c r="F2" s="9"/>
      <c r="G2" s="9"/>
      <c r="H2" s="9"/>
      <c r="I2" s="9"/>
      <c r="J2" s="9"/>
      <c r="K2" s="9"/>
      <c r="L2" s="12"/>
      <c r="M2" s="17">
        <f ca="1">SUM(B2:L2)</f>
        <v>27847.267787058467</v>
      </c>
      <c r="N2" s="17"/>
      <c r="O2" s="16">
        <v>0</v>
      </c>
      <c r="P2" s="11" cm="1">
        <f t="array" aca="1" ref="P2" ca="1">INDIRECT("'data'!$F$" &amp; $A$1)</f>
        <v>4.55</v>
      </c>
      <c r="Q2" s="13">
        <f ca="1">IF(-(M2-R2+P2)&lt;0, -(M2-R2+P2), 0)</f>
        <v>-27814.017787058467</v>
      </c>
      <c r="R2" s="17" cm="1">
        <f t="array" aca="1" ref="R2" ca="1">INDIRECT("'data'!$D$" &amp; $A$1)</f>
        <v>37.799999999999997</v>
      </c>
      <c r="S2" s="17">
        <f ca="1">SUM(M2:Q2)</f>
        <v>37.799999999999272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25790.925373134331</v>
      </c>
      <c r="G3" s="14">
        <f ca="1">R7/parameters!$B$6</f>
        <v>0</v>
      </c>
      <c r="H3" s="14">
        <f ca="1">R3-P3-Q3-F3-G3</f>
        <v>1700.0696268656684</v>
      </c>
      <c r="I3" s="14"/>
      <c r="J3" s="14"/>
      <c r="K3" s="14"/>
      <c r="L3" s="13"/>
      <c r="M3" s="16">
        <f t="shared" ref="M3:M11" ca="1" si="0">SUM(B3:L3)</f>
        <v>27490.994999999999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78.435000000000002</v>
      </c>
      <c r="Q3" s="13" cm="1">
        <f t="array" aca="1" ref="Q3" ca="1">-INDIRECT("'data'!$I$" &amp; $A$1)*parameters!$B$13</f>
        <v>-302.39999999999998</v>
      </c>
      <c r="R3" s="16" cm="1">
        <f t="array" aca="1" ref="R3" ca="1">INDIRECT("'data'!$G$" &amp; $A$1)*parameters!$B$13</f>
        <v>27267.03</v>
      </c>
      <c r="S3" s="16">
        <f t="shared" ref="S3:S11" ca="1" si="2">SUM(M3:Q3)</f>
        <v>27267.03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354.20000000000005</v>
      </c>
      <c r="I4" s="14"/>
      <c r="J4" s="14"/>
      <c r="K4" s="14"/>
      <c r="L4" s="13"/>
      <c r="M4" s="16">
        <f t="shared" ca="1" si="0"/>
        <v>354.20000000000005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114.08</v>
      </c>
      <c r="Q4" s="13" cm="1">
        <f t="array" aca="1" ref="Q4" ca="1">-INDIRECT("'data'!$L$" &amp; $A$1)*parameters!$B$14</f>
        <v>-63.480000000000004</v>
      </c>
      <c r="R4" s="16" cm="1">
        <f t="array" aca="1" ref="R4" ca="1">INDIRECT("'data'!$J$" &amp; $A$1)*parameters!$B$14</f>
        <v>404.8</v>
      </c>
      <c r="S4" s="16">
        <f t="shared" ca="1" si="2"/>
        <v>404.8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6447.7313432835836</v>
      </c>
      <c r="G5" s="14"/>
      <c r="H5" s="14">
        <f ca="1">R8/parameters!$B$7-(H3+H4)</f>
        <v>11925.834866342273</v>
      </c>
      <c r="I5" s="14"/>
      <c r="J5" s="14"/>
      <c r="K5" s="14"/>
      <c r="L5" s="13"/>
      <c r="M5" s="16">
        <f t="shared" ca="1" si="0"/>
        <v>18373.566209625857</v>
      </c>
      <c r="N5" s="16"/>
      <c r="O5" s="16"/>
      <c r="P5" s="11" cm="1">
        <f t="array" aca="1" ref="P5" ca="1">INDIRECT("'data'!$M$" &amp; $A$1)*parameters!$B$15</f>
        <v>6554.24</v>
      </c>
      <c r="Q5" s="13" cm="1">
        <f t="array" aca="1" ref="Q5" ca="1">-INDIRECT("'data'!$N$" &amp; $A$1)*parameters!$B$15</f>
        <v>-4924.5</v>
      </c>
      <c r="R5" s="16">
        <f ca="1">SUM(M5:Q5)</f>
        <v>20003.306209625858</v>
      </c>
      <c r="S5" s="16">
        <f t="shared" ca="1" si="2"/>
        <v>20003.306209625858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30239.86</v>
      </c>
      <c r="J6" s="14"/>
      <c r="K6" s="14"/>
      <c r="L6" s="13"/>
      <c r="M6" s="16">
        <f t="shared" ca="1" si="0"/>
        <v>30239.86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30239.86</v>
      </c>
      <c r="S6" s="16">
        <f t="shared" ca="1" si="2"/>
        <v>30239.86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13378.96</v>
      </c>
      <c r="J8" s="14"/>
      <c r="K8" s="14"/>
      <c r="L8" s="13"/>
      <c r="M8" s="16">
        <f t="shared" ca="1" si="0"/>
        <v>13378.96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13378.96</v>
      </c>
      <c r="S8" s="16">
        <f t="shared" ca="1" si="2"/>
        <v>13378.96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16314.627898586634</v>
      </c>
      <c r="K9" s="14">
        <f ca="1">R11/K19</f>
        <v>27677.572101413367</v>
      </c>
      <c r="L9" s="13"/>
      <c r="M9" s="16">
        <f t="shared" ca="1" si="0"/>
        <v>43992.2</v>
      </c>
      <c r="N9" s="16"/>
      <c r="O9" s="16">
        <f t="shared" ca="1" si="3"/>
        <v>0</v>
      </c>
      <c r="P9" s="11" cm="1">
        <f t="array" aca="1" ref="P9" ca="1">INDIRECT("'data'!$R$" &amp; $A$1)*parameters!$B$15</f>
        <v>1911</v>
      </c>
      <c r="Q9" s="13" cm="1">
        <f t="array" aca="1" ref="Q9" ca="1">-INDIRECT("'data'!$S$" &amp; $A$1)*parameters!$B$15</f>
        <v>-2284.38</v>
      </c>
      <c r="R9" s="16">
        <f ca="1">SUM(R6:R8)</f>
        <v>43618.82</v>
      </c>
      <c r="S9" s="16">
        <f t="shared" ca="1" si="2"/>
        <v>43618.82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12650.82</v>
      </c>
      <c r="M10" s="16">
        <f t="shared" ca="1" si="0"/>
        <v>12650.82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7203</v>
      </c>
      <c r="Q10" s="13" cm="1">
        <f t="array" aca="1" ref="Q10" ca="1">-INDIRECT("'data'!$V$" &amp; $A$1)*parameters!$B$15</f>
        <v>-5796.7</v>
      </c>
      <c r="R10" s="16" cm="1">
        <f t="array" aca="1" ref="R10" ca="1">INDIRECT("'data'!$T$" &amp; $A$1)*parameters!$B$15</f>
        <v>14057.119999999999</v>
      </c>
      <c r="S10" s="16">
        <f t="shared" ca="1" si="2"/>
        <v>14057.119999999999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21097.856813655766</v>
      </c>
      <c r="M11" s="16">
        <f t="shared" ca="1" si="0"/>
        <v>21097.856813655766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12793.9</v>
      </c>
      <c r="Q11" s="13" cm="1">
        <f t="array" aca="1" ref="Q11" ca="1">-INDIRECT("'data'!$Y$" &amp; $A$1)*parameters!$B$15</f>
        <v>-10044.02</v>
      </c>
      <c r="R11" s="16" cm="1">
        <f t="array" aca="1" ref="R11" ca="1">INDIRECT("'data'!$W$" &amp; $A$1)*parameters!$B$15</f>
        <v>23847.736813655763</v>
      </c>
      <c r="S11" s="16">
        <f t="shared" ca="1" si="2"/>
        <v>23847.736813655767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22174.367659743955</v>
      </c>
      <c r="O12" s="19"/>
      <c r="P12" s="21" cm="1">
        <f t="array" aca="1" ref="P12" ca="1">INDIRECT("'data'!$Z$" &amp; $A$1)*parameters!$B$15</f>
        <v>24232.46</v>
      </c>
      <c r="Q12" s="27" cm="1">
        <f t="array" aca="1" ref="Q12" ca="1">-INDIRECT("'data'!$AA$" &amp; $A$1)*parameters!$B$15</f>
        <v>-16370.9</v>
      </c>
      <c r="R12" s="16">
        <f ca="1">L10*parameters!$B$10+L11*parameters!$B$11</f>
        <v>30035.927659743957</v>
      </c>
      <c r="S12" s="16">
        <f t="shared" ref="S12:S18" ca="1" si="4">SUM(M12:Q12)</f>
        <v>30035.927659743953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-172.87137868571881</v>
      </c>
      <c r="D13" s="9">
        <f ca="1">-(D18-R4)</f>
        <v>-2.5664083727482989</v>
      </c>
      <c r="E13" s="9">
        <f ca="1">-(E18-R5)</f>
        <v>-2472.3187450099358</v>
      </c>
      <c r="F13" s="9">
        <f ca="1">-(F18-R6)</f>
        <v>-1998.7967164179136</v>
      </c>
      <c r="G13" s="9">
        <f ca="1">-(G18-R7)</f>
        <v>0</v>
      </c>
      <c r="H13" s="9">
        <f ca="1">-(H18-R8)</f>
        <v>-601.14449320794301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-5247.6977416942591</v>
      </c>
      <c r="N13" s="17"/>
      <c r="O13" s="17"/>
      <c r="P13" s="10"/>
      <c r="Q13" s="12"/>
      <c r="R13" s="9">
        <f t="shared" ref="R13:R18" ca="1" si="6">SUM(M13:Q13)</f>
        <v>-5247.6977416942591</v>
      </c>
      <c r="S13" s="17">
        <f t="shared" ca="1" si="4"/>
        <v>-5247.6977416942591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-2257.5078985866348</v>
      </c>
      <c r="K14" s="14">
        <f ca="1">-(K18-R11)</f>
        <v>-3829.8352877576035</v>
      </c>
      <c r="L14" s="13">
        <f ca="1">-(L18-R12)</f>
        <v>-3712.7491539118091</v>
      </c>
      <c r="M14" s="14">
        <f t="shared" ca="1" si="5"/>
        <v>-9800.0923402560475</v>
      </c>
      <c r="N14" s="16">
        <f ca="1">-E16</f>
        <v>-12675.532614379747</v>
      </c>
      <c r="O14" s="16"/>
      <c r="P14" s="11"/>
      <c r="Q14" s="13"/>
      <c r="R14" s="14">
        <f t="shared" ca="1" si="6"/>
        <v>-22475.624954635794</v>
      </c>
      <c r="S14" s="16">
        <f t="shared" ca="1" si="4"/>
        <v>-22475.624954635794</v>
      </c>
    </row>
    <row r="15" spans="1:21">
      <c r="A15" s="18" t="s">
        <v>79</v>
      </c>
      <c r="B15" s="11"/>
      <c r="C15" s="14"/>
      <c r="D15" s="14"/>
      <c r="E15" s="14">
        <f ca="1">-(J14+K14)-L14</f>
        <v>9800.0923402560475</v>
      </c>
      <c r="F15" s="14"/>
      <c r="G15" s="14"/>
      <c r="H15" s="14"/>
      <c r="I15" s="14"/>
      <c r="J15" s="14"/>
      <c r="K15" s="14"/>
      <c r="L15" s="13"/>
      <c r="M15" s="14">
        <f t="shared" ca="1" si="5"/>
        <v>9800.0923402560475</v>
      </c>
      <c r="N15" s="16"/>
      <c r="O15" s="16"/>
      <c r="P15" s="11"/>
      <c r="Q15" s="13"/>
      <c r="R15" s="14">
        <f t="shared" ca="1" si="6"/>
        <v>9800.0923402560475</v>
      </c>
      <c r="S15" s="16">
        <f t="shared" ca="1" si="4"/>
        <v>9800.0923402560475</v>
      </c>
    </row>
    <row r="16" spans="1:21">
      <c r="A16" s="18" t="s">
        <v>80</v>
      </c>
      <c r="B16" s="11"/>
      <c r="C16" s="14"/>
      <c r="D16" s="14"/>
      <c r="E16" s="14">
        <f ca="1">E18-E15</f>
        <v>12675.532614379747</v>
      </c>
      <c r="F16" s="14"/>
      <c r="G16" s="14"/>
      <c r="H16" s="14"/>
      <c r="I16" s="14"/>
      <c r="J16" s="14"/>
      <c r="K16" s="14"/>
      <c r="L16" s="13"/>
      <c r="M16" s="14">
        <f t="shared" ca="1" si="5"/>
        <v>12675.532614379747</v>
      </c>
      <c r="N16" s="16"/>
      <c r="O16" s="16"/>
      <c r="P16" s="11"/>
      <c r="Q16" s="13"/>
      <c r="R16" s="14">
        <f t="shared" ca="1" si="6"/>
        <v>12675.532614379747</v>
      </c>
      <c r="S16" s="16">
        <f t="shared" ca="1" si="4"/>
        <v>12675.532614379747</v>
      </c>
    </row>
    <row r="17" spans="1:19">
      <c r="A17" s="30" t="s">
        <v>90</v>
      </c>
      <c r="B17" s="21">
        <f ca="1">R2</f>
        <v>37.799999999999997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37.799999999999997</v>
      </c>
      <c r="N17" s="19"/>
      <c r="O17" s="19"/>
      <c r="P17" s="21"/>
      <c r="Q17" s="27"/>
      <c r="R17" s="22">
        <f t="shared" ca="1" si="6"/>
        <v>37.799999999999997</v>
      </c>
      <c r="S17" s="19">
        <f t="shared" ca="1" si="4"/>
        <v>37.799999999999997</v>
      </c>
    </row>
    <row r="18" spans="1:19">
      <c r="A18" s="29" t="s">
        <v>89</v>
      </c>
      <c r="B18" s="9">
        <f ca="1">B17</f>
        <v>37.799999999999997</v>
      </c>
      <c r="C18" s="9">
        <f ca="1">SUM(C$2:C$12)</f>
        <v>27439.901378685718</v>
      </c>
      <c r="D18" s="9">
        <f ca="1">SUM(D$2:D$12)</f>
        <v>407.36640837274831</v>
      </c>
      <c r="E18" s="9">
        <f ca="1">$R$5/parameters!$B$4</f>
        <v>22475.624954635794</v>
      </c>
      <c r="F18" s="9">
        <f t="shared" ref="F18:L18" ca="1" si="7">SUM(F$2:F$12)</f>
        <v>32238.656716417914</v>
      </c>
      <c r="G18" s="9">
        <f t="shared" ca="1" si="7"/>
        <v>0</v>
      </c>
      <c r="H18" s="9">
        <f t="shared" ca="1" si="7"/>
        <v>13980.104493207942</v>
      </c>
      <c r="I18" s="9">
        <f t="shared" ca="1" si="7"/>
        <v>43618.82</v>
      </c>
      <c r="J18" s="9">
        <f t="shared" ca="1" si="7"/>
        <v>16314.627898586634</v>
      </c>
      <c r="K18" s="9">
        <f t="shared" ca="1" si="7"/>
        <v>27677.572101413367</v>
      </c>
      <c r="L18" s="9">
        <f t="shared" ca="1" si="7"/>
        <v>33748.676813655766</v>
      </c>
      <c r="M18" s="17">
        <f ca="1">SUM(B18:L18)</f>
        <v>217939.15076497587</v>
      </c>
      <c r="N18" s="17"/>
      <c r="O18" s="17"/>
      <c r="P18" s="9"/>
      <c r="Q18" s="14"/>
      <c r="R18" s="11">
        <f t="shared" ca="1" si="6"/>
        <v>217939.15076497587</v>
      </c>
      <c r="S18" s="17">
        <f t="shared" ca="1" si="4"/>
        <v>217939.15076497587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0.86162676141806416</v>
      </c>
      <c r="K19" s="39">
        <f ca="1">J19</f>
        <v>0.86162676141806416</v>
      </c>
      <c r="L19" s="40">
        <f ca="1">1-(-L14)/L18</f>
        <v>0.88998830459600375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5306.4259889910636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5306.4259889910636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-3016.5216191900249</v>
      </c>
      <c r="R2" s="17" cm="1">
        <f t="array" aca="1" ref="R2" ca="1">INDIRECT("'data'!$D$" &amp; $A$1)</f>
        <v>2289.9043698010387</v>
      </c>
      <c r="S2" s="17">
        <f ca="1">SUM(M2:Q2)</f>
        <v>2289.9043698010387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5112.7164179104484</v>
      </c>
      <c r="G3" s="14">
        <f ca="1">R7/parameters!$B$6</f>
        <v>0</v>
      </c>
      <c r="H3" s="14">
        <f ca="1">R3-P3-Q3-F3-G3</f>
        <v>537.33408734997192</v>
      </c>
      <c r="I3" s="14"/>
      <c r="J3" s="14"/>
      <c r="K3" s="14"/>
      <c r="L3" s="13"/>
      <c r="M3" s="16">
        <f t="shared" ref="M3:M11" ca="1" si="0">SUM(B3:L3)</f>
        <v>5650.0505052604203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9.4499999999999993</v>
      </c>
      <c r="Q3" s="13" cm="1">
        <f t="array" aca="1" ref="Q3" ca="1">-INDIRECT("'data'!$I$" &amp; $A$1)*parameters!$B$13</f>
        <v>-386.505</v>
      </c>
      <c r="R3" s="16" cm="1">
        <f t="array" aca="1" ref="R3" ca="1">INDIRECT("'data'!$G$" &amp; $A$1)*parameters!$B$13</f>
        <v>5272.99550526042</v>
      </c>
      <c r="S3" s="16">
        <f t="shared" ref="S3:S11" ca="1" si="2">SUM(M3:Q3)</f>
        <v>5272.99550526042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63.480000000000004</v>
      </c>
      <c r="I4" s="14"/>
      <c r="J4" s="14"/>
      <c r="K4" s="14"/>
      <c r="L4" s="13"/>
      <c r="M4" s="16">
        <f t="shared" ca="1" si="0"/>
        <v>63.480000000000004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-63.480000000000004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1278.1791044776121</v>
      </c>
      <c r="G5" s="14"/>
      <c r="H5" s="14">
        <f ca="1">R8/parameters!$B$7-(H3+H4)</f>
        <v>14599.938263747206</v>
      </c>
      <c r="I5" s="14"/>
      <c r="J5" s="14"/>
      <c r="K5" s="14"/>
      <c r="L5" s="13"/>
      <c r="M5" s="16">
        <f t="shared" ca="1" si="0"/>
        <v>15878.117368224819</v>
      </c>
      <c r="N5" s="16"/>
      <c r="O5" s="16"/>
      <c r="P5" s="11" cm="1">
        <f t="array" aca="1" ref="P5" ca="1">INDIRECT("'data'!$M$" &amp; $A$1)*parameters!$B$15</f>
        <v>65.66</v>
      </c>
      <c r="Q5" s="13" cm="1">
        <f t="array" aca="1" ref="Q5" ca="1">-INDIRECT("'data'!$N$" &amp; $A$1)*parameters!$B$15</f>
        <v>-10023.44</v>
      </c>
      <c r="R5" s="16">
        <f ca="1">SUM(M5:Q5)</f>
        <v>5920.3373682248184</v>
      </c>
      <c r="S5" s="16">
        <f t="shared" ca="1" si="2"/>
        <v>5920.3373682248184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5994.66</v>
      </c>
      <c r="J6" s="14"/>
      <c r="K6" s="14"/>
      <c r="L6" s="13"/>
      <c r="M6" s="16">
        <f t="shared" ca="1" si="0"/>
        <v>5994.66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5994.66</v>
      </c>
      <c r="S6" s="16">
        <f t="shared" ca="1" si="2"/>
        <v>5994.66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14547.119999999999</v>
      </c>
      <c r="J8" s="14"/>
      <c r="K8" s="14"/>
      <c r="L8" s="13"/>
      <c r="M8" s="16">
        <f t="shared" ca="1" si="0"/>
        <v>14547.119999999999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14547.119999999999</v>
      </c>
      <c r="S8" s="16">
        <f t="shared" ca="1" si="2"/>
        <v>14547.119999999999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12060.197566092418</v>
      </c>
      <c r="K9" s="14">
        <f ca="1">R11/K19</f>
        <v>8174.8424339075837</v>
      </c>
      <c r="L9" s="13"/>
      <c r="M9" s="16">
        <f t="shared" ca="1" si="0"/>
        <v>20235.04</v>
      </c>
      <c r="N9" s="16"/>
      <c r="O9" s="16">
        <f t="shared" ca="1" si="3"/>
        <v>0</v>
      </c>
      <c r="P9" s="11" cm="1">
        <f t="array" aca="1" ref="P9" ca="1">INDIRECT("'data'!$R$" &amp; $A$1)*parameters!$B$15</f>
        <v>2164.8200000000002</v>
      </c>
      <c r="Q9" s="13" cm="1">
        <f t="array" aca="1" ref="Q9" ca="1">-INDIRECT("'data'!$S$" &amp; $A$1)*parameters!$B$15</f>
        <v>-1858.08</v>
      </c>
      <c r="R9" s="16">
        <f ca="1">SUM(R6:R8)</f>
        <v>20541.78</v>
      </c>
      <c r="S9" s="16">
        <f t="shared" ca="1" si="2"/>
        <v>20541.78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4656.96</v>
      </c>
      <c r="M10" s="16">
        <f t="shared" ca="1" si="0"/>
        <v>4656.96</v>
      </c>
      <c r="N10" s="16"/>
      <c r="O10" s="16">
        <f t="shared" ca="1" si="3"/>
        <v>0</v>
      </c>
      <c r="P10" s="11" cm="1">
        <f t="array" aca="1" ref="P10" ca="1">INDIRECT("'data'!$U$" &amp; $A$1)*parameters!$B$15</f>
        <v>7511.7</v>
      </c>
      <c r="Q10" s="13" cm="1">
        <f t="array" aca="1" ref="Q10" ca="1">-INDIRECT("'data'!$V$" &amp; $A$1)*parameters!$B$15</f>
        <v>-898.66</v>
      </c>
      <c r="R10" s="16" cm="1">
        <f t="array" aca="1" ref="R10" ca="1">INDIRECT("'data'!$T$" &amp; $A$1)*parameters!$B$15</f>
        <v>11270</v>
      </c>
      <c r="S10" s="16">
        <f t="shared" ca="1" si="2"/>
        <v>11270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13119.377660012957</v>
      </c>
      <c r="M11" s="16">
        <f t="shared" ca="1" si="0"/>
        <v>13119.377660012957</v>
      </c>
      <c r="N11" s="16"/>
      <c r="O11" s="16">
        <f t="shared" ca="1" si="3"/>
        <v>0</v>
      </c>
      <c r="P11" s="11" cm="1">
        <f t="array" aca="1" ref="P11" ca="1">INDIRECT("'data'!$X$" &amp; $A$1)*parameters!$B$15</f>
        <v>1161.3</v>
      </c>
      <c r="Q11" s="13" cm="1">
        <f t="array" aca="1" ref="Q11" ca="1">-INDIRECT("'data'!$Y$" &amp; $A$1)*parameters!$B$15</f>
        <v>-6641.46</v>
      </c>
      <c r="R11" s="16" cm="1">
        <f t="array" aca="1" ref="R11" ca="1">INDIRECT("'data'!$W$" &amp; $A$1)*parameters!$B$15</f>
        <v>7639.217660012956</v>
      </c>
      <c r="S11" s="16">
        <f t="shared" ca="1" si="2"/>
        <v>7639.217660012956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14714.50718761114</v>
      </c>
      <c r="O12" s="19"/>
      <c r="P12" s="21" cm="1">
        <f t="array" aca="1" ref="P12" ca="1">INDIRECT("'data'!$Z$" &amp; $A$1)*parameters!$B$15</f>
        <v>3528.98</v>
      </c>
      <c r="Q12" s="27" cm="1">
        <f t="array" aca="1" ref="Q12" ca="1">-INDIRECT("'data'!$AA$" &amp; $A$1)*parameters!$B$15</f>
        <v>-2583.2799999999997</v>
      </c>
      <c r="R12" s="16">
        <f ca="1">L10*parameters!$B$10+L11*parameters!$B$11</f>
        <v>15660.20718761114</v>
      </c>
      <c r="S12" s="16">
        <f t="shared" ref="S12:S18" ca="1" si="4">SUM(M12:Q12)</f>
        <v>15660.20718761114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-33.430483730643573</v>
      </c>
      <c r="D13" s="9">
        <f ca="1">-(D18-R4)</f>
        <v>0</v>
      </c>
      <c r="E13" s="9">
        <f ca="1">-(E18-R5)</f>
        <v>-731.72709045475312</v>
      </c>
      <c r="F13" s="9">
        <f ca="1">-(F18-R6)</f>
        <v>-396.23552238806042</v>
      </c>
      <c r="G13" s="9">
        <f ca="1">-(G18-R7)</f>
        <v>0</v>
      </c>
      <c r="H13" s="9">
        <f ca="1">-(H18-R8)</f>
        <v>-653.63235109717971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-1815.0254476706368</v>
      </c>
      <c r="N13" s="17"/>
      <c r="O13" s="17"/>
      <c r="P13" s="10"/>
      <c r="Q13" s="12"/>
      <c r="R13" s="9">
        <f t="shared" ref="R13:R18" ca="1" si="6">SUM(M13:Q13)</f>
        <v>-1815.0254476706368</v>
      </c>
      <c r="S13" s="17">
        <f t="shared" ca="1" si="4"/>
        <v>-1815.0254476706368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-790.19756609241813</v>
      </c>
      <c r="K14" s="14">
        <f ca="1">-(K18-R11)</f>
        <v>-535.62477389462765</v>
      </c>
      <c r="L14" s="13">
        <f ca="1">-(L18-R12)</f>
        <v>-2116.1304724018155</v>
      </c>
      <c r="M14" s="14">
        <f t="shared" ca="1" si="5"/>
        <v>-3441.9528123888613</v>
      </c>
      <c r="N14" s="16">
        <f ca="1">-E16</f>
        <v>-3210.1116462907103</v>
      </c>
      <c r="O14" s="16"/>
      <c r="P14" s="11"/>
      <c r="Q14" s="13"/>
      <c r="R14" s="14">
        <f t="shared" ca="1" si="6"/>
        <v>-6652.0644586795715</v>
      </c>
      <c r="S14" s="16">
        <f t="shared" ca="1" si="4"/>
        <v>-6652.0644586795715</v>
      </c>
    </row>
    <row r="15" spans="1:21">
      <c r="A15" s="18" t="s">
        <v>79</v>
      </c>
      <c r="B15" s="11"/>
      <c r="C15" s="14"/>
      <c r="D15" s="14"/>
      <c r="E15" s="14">
        <f ca="1">-(J14+K14)-L14</f>
        <v>3441.9528123888613</v>
      </c>
      <c r="F15" s="14"/>
      <c r="G15" s="14"/>
      <c r="H15" s="14"/>
      <c r="I15" s="14"/>
      <c r="J15" s="14"/>
      <c r="K15" s="14"/>
      <c r="L15" s="13"/>
      <c r="M15" s="14">
        <f t="shared" ca="1" si="5"/>
        <v>3441.9528123888613</v>
      </c>
      <c r="N15" s="16"/>
      <c r="O15" s="16"/>
      <c r="P15" s="11"/>
      <c r="Q15" s="13"/>
      <c r="R15" s="14">
        <f t="shared" ca="1" si="6"/>
        <v>3441.9528123888613</v>
      </c>
      <c r="S15" s="16">
        <f t="shared" ca="1" si="4"/>
        <v>3441.9528123888613</v>
      </c>
    </row>
    <row r="16" spans="1:21">
      <c r="A16" s="18" t="s">
        <v>80</v>
      </c>
      <c r="B16" s="11"/>
      <c r="C16" s="14"/>
      <c r="D16" s="14"/>
      <c r="E16" s="14">
        <f ca="1">E18-E15</f>
        <v>3210.1116462907103</v>
      </c>
      <c r="F16" s="14"/>
      <c r="G16" s="14"/>
      <c r="H16" s="14"/>
      <c r="I16" s="14"/>
      <c r="J16" s="14"/>
      <c r="K16" s="14"/>
      <c r="L16" s="13"/>
      <c r="M16" s="14">
        <f t="shared" ca="1" si="5"/>
        <v>3210.1116462907103</v>
      </c>
      <c r="N16" s="16"/>
      <c r="O16" s="16"/>
      <c r="P16" s="11"/>
      <c r="Q16" s="13"/>
      <c r="R16" s="14">
        <f t="shared" ca="1" si="6"/>
        <v>3210.1116462907103</v>
      </c>
      <c r="S16" s="16">
        <f t="shared" ca="1" si="4"/>
        <v>3210.1116462907103</v>
      </c>
    </row>
    <row r="17" spans="1:19">
      <c r="A17" s="30" t="s">
        <v>90</v>
      </c>
      <c r="B17" s="21">
        <f ca="1">R2</f>
        <v>2289.9043698010387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2289.9043698010387</v>
      </c>
      <c r="N17" s="19"/>
      <c r="O17" s="19"/>
      <c r="P17" s="21"/>
      <c r="Q17" s="27"/>
      <c r="R17" s="22">
        <f t="shared" ca="1" si="6"/>
        <v>2289.9043698010387</v>
      </c>
      <c r="S17" s="19">
        <f t="shared" ca="1" si="4"/>
        <v>2289.9043698010387</v>
      </c>
    </row>
    <row r="18" spans="1:19">
      <c r="A18" s="29" t="s">
        <v>89</v>
      </c>
      <c r="B18" s="9">
        <f ca="1">B17</f>
        <v>2289.9043698010387</v>
      </c>
      <c r="C18" s="9">
        <f ca="1">SUM(C$2:C$12)</f>
        <v>5306.4259889910636</v>
      </c>
      <c r="D18" s="9">
        <f ca="1">SUM(D$2:D$12)</f>
        <v>0</v>
      </c>
      <c r="E18" s="9">
        <f ca="1">$R$5/parameters!$B$4</f>
        <v>6652.0644586795715</v>
      </c>
      <c r="F18" s="9">
        <f t="shared" ref="F18:L18" ca="1" si="7">SUM(F$2:F$12)</f>
        <v>6390.8955223880603</v>
      </c>
      <c r="G18" s="9">
        <f t="shared" ca="1" si="7"/>
        <v>0</v>
      </c>
      <c r="H18" s="9">
        <f t="shared" ca="1" si="7"/>
        <v>15200.752351097179</v>
      </c>
      <c r="I18" s="9">
        <f t="shared" ca="1" si="7"/>
        <v>20541.78</v>
      </c>
      <c r="J18" s="9">
        <f t="shared" ca="1" si="7"/>
        <v>12060.197566092418</v>
      </c>
      <c r="K18" s="9">
        <f t="shared" ca="1" si="7"/>
        <v>8174.8424339075837</v>
      </c>
      <c r="L18" s="9">
        <f t="shared" ca="1" si="7"/>
        <v>17776.337660012956</v>
      </c>
      <c r="M18" s="17">
        <f ca="1">SUM(B18:L18)</f>
        <v>94393.20035096987</v>
      </c>
      <c r="N18" s="17"/>
      <c r="O18" s="17"/>
      <c r="P18" s="9"/>
      <c r="Q18" s="14"/>
      <c r="R18" s="11">
        <f t="shared" ca="1" si="6"/>
        <v>94393.20035096987</v>
      </c>
      <c r="S18" s="17">
        <f t="shared" ca="1" si="4"/>
        <v>94393.20035096987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0.93447888711922267</v>
      </c>
      <c r="K19" s="39">
        <f ca="1">J19</f>
        <v>0.93447888711922267</v>
      </c>
      <c r="L19" s="40">
        <f ca="1">1-(-L14)/L18</f>
        <v>0.88095801773826832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32223.387340243531</v>
      </c>
      <c r="D2" s="9">
        <f ca="1">R4/parameters!$B$3</f>
        <v>380.51725872999901</v>
      </c>
      <c r="E2" s="9"/>
      <c r="F2" s="9"/>
      <c r="G2" s="9"/>
      <c r="H2" s="9"/>
      <c r="I2" s="9"/>
      <c r="J2" s="9"/>
      <c r="K2" s="9"/>
      <c r="L2" s="12"/>
      <c r="M2" s="17">
        <f ca="1">SUM(B2:L2)</f>
        <v>32603.904598973531</v>
      </c>
      <c r="N2" s="17"/>
      <c r="O2" s="17">
        <f ca="1">R2-(M2+P2+Q2)</f>
        <v>7949.3454010264832</v>
      </c>
      <c r="P2" s="11" cm="1">
        <f t="array" aca="1" ref="P2" ca="1">INDIRECT("'data'!$F$" &amp; $A$1)</f>
        <v>146337.75</v>
      </c>
      <c r="Q2" s="13">
        <f ca="1">IF(-(M2-R2+P2)&lt;0, -(M2-R2+P2), 0)</f>
        <v>0</v>
      </c>
      <c r="R2" s="17" cm="1">
        <f t="array" aca="1" ref="R2" ca="1">INDIRECT("'data'!$D$" &amp; $A$1)</f>
        <v>186891</v>
      </c>
      <c r="S2" s="17">
        <f ca="1">SUM(M2:Q2)</f>
        <v>186891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23890.373134328358</v>
      </c>
      <c r="G3" s="14">
        <f ca="1">R7/parameters!$B$6</f>
        <v>0</v>
      </c>
      <c r="H3" s="14">
        <f ca="1">R3-P3-Q3-F3-G3</f>
        <v>1433.736865671639</v>
      </c>
      <c r="I3" s="14"/>
      <c r="J3" s="14"/>
      <c r="K3" s="14"/>
      <c r="L3" s="13"/>
      <c r="M3" s="16">
        <f t="shared" ref="M3:M11" ca="1" si="0">SUM(B3:L3)</f>
        <v>25324.109999999997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6696.2699999999995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32020.379999999997</v>
      </c>
      <c r="S3" s="16">
        <f t="shared" ref="S3:S11" ca="1" si="2">SUM(M3:Q3)</f>
        <v>32020.379999999997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378.12</v>
      </c>
      <c r="I4" s="14"/>
      <c r="J4" s="14"/>
      <c r="K4" s="14"/>
      <c r="L4" s="13"/>
      <c r="M4" s="16">
        <f t="shared" ca="1" si="0"/>
        <v>378.12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378.12</v>
      </c>
      <c r="S4" s="16">
        <f t="shared" ca="1" si="2"/>
        <v>378.12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1257.3880597014927</v>
      </c>
      <c r="G5" s="14"/>
      <c r="H5" s="14">
        <f ca="1">R8/parameters!$B$7-(H3+H4)</f>
        <v>5283.6708250284664</v>
      </c>
      <c r="I5" s="14"/>
      <c r="J5" s="14"/>
      <c r="K5" s="14"/>
      <c r="L5" s="13"/>
      <c r="M5" s="16">
        <f t="shared" ca="1" si="0"/>
        <v>6541.0588847299587</v>
      </c>
      <c r="N5" s="16"/>
      <c r="O5" s="16"/>
      <c r="P5" s="11" cm="1">
        <f t="array" aca="1" ref="P5" ca="1">INDIRECT("'data'!$M$" &amp; $A$1)*parameters!$B$15</f>
        <v>11.76</v>
      </c>
      <c r="Q5" s="13" cm="1">
        <f t="array" aca="1" ref="Q5" ca="1">-INDIRECT("'data'!$N$" &amp; $A$1)*parameters!$B$15</f>
        <v>-91.14</v>
      </c>
      <c r="R5" s="16">
        <f ca="1">SUM(M5:Q5)</f>
        <v>6461.6788847299586</v>
      </c>
      <c r="S5" s="16">
        <f t="shared" ca="1" si="2"/>
        <v>6461.6788847299586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23588.6</v>
      </c>
      <c r="J6" s="14"/>
      <c r="K6" s="14"/>
      <c r="L6" s="13"/>
      <c r="M6" s="16">
        <f t="shared" ca="1" si="0"/>
        <v>23588.6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23588.6</v>
      </c>
      <c r="S6" s="16">
        <f t="shared" ca="1" si="2"/>
        <v>23588.6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6790.42</v>
      </c>
      <c r="J8" s="14"/>
      <c r="K8" s="14"/>
      <c r="L8" s="13"/>
      <c r="M8" s="16">
        <f t="shared" ca="1" si="0"/>
        <v>6790.42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6790.42</v>
      </c>
      <c r="S8" s="16">
        <f t="shared" ca="1" si="2"/>
        <v>6790.42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8713.4630705699783</v>
      </c>
      <c r="K9" s="14">
        <f ca="1">R11/K19</f>
        <v>15850.236929430021</v>
      </c>
      <c r="L9" s="13"/>
      <c r="M9" s="16">
        <f t="shared" ca="1" si="0"/>
        <v>24563.699999999997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5837.86</v>
      </c>
      <c r="Q9" s="13" cm="1">
        <f t="array" aca="1" ref="Q9" ca="1">-INDIRECT("'data'!$S$" &amp; $A$1)*parameters!$B$15</f>
        <v>-22.54</v>
      </c>
      <c r="R9" s="16">
        <f ca="1">SUM(R6:R8)</f>
        <v>30379.019999999997</v>
      </c>
      <c r="S9" s="16">
        <f t="shared" ca="1" si="2"/>
        <v>30379.019999999997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5142.0600000000004</v>
      </c>
      <c r="M10" s="16">
        <f t="shared" ca="1" si="0"/>
        <v>5142.0600000000004</v>
      </c>
      <c r="N10" s="16"/>
      <c r="O10" s="16">
        <f t="shared" ca="1" si="3"/>
        <v>0</v>
      </c>
      <c r="P10" s="11" cm="1">
        <f t="array" aca="1" ref="P10" ca="1">INDIRECT("'data'!$U$" &amp; $A$1)*parameters!$B$15</f>
        <v>2558.7799999999997</v>
      </c>
      <c r="Q10" s="13" cm="1">
        <f t="array" aca="1" ref="Q10" ca="1">-INDIRECT("'data'!$V$" &amp; $A$1)*parameters!$B$15</f>
        <v>-301.83999999999997</v>
      </c>
      <c r="R10" s="16" cm="1">
        <f t="array" aca="1" ref="R10" ca="1">INDIRECT("'data'!$T$" &amp; $A$1)*parameters!$B$15</f>
        <v>7399</v>
      </c>
      <c r="S10" s="16">
        <f t="shared" ca="1" si="2"/>
        <v>7399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10304.541081081083</v>
      </c>
      <c r="M11" s="16">
        <f t="shared" ca="1" si="0"/>
        <v>10304.541081081083</v>
      </c>
      <c r="N11" s="16"/>
      <c r="O11" s="16">
        <f t="shared" ca="1" si="3"/>
        <v>0</v>
      </c>
      <c r="P11" s="11" cm="1">
        <f t="array" aca="1" ref="P11" ca="1">INDIRECT("'data'!$X$" &amp; $A$1)*parameters!$B$15</f>
        <v>3483.9</v>
      </c>
      <c r="Q11" s="13" cm="1">
        <f t="array" aca="1" ref="Q11" ca="1">-INDIRECT("'data'!$Y$" &amp; $A$1)*parameters!$B$15</f>
        <v>-329.28</v>
      </c>
      <c r="R11" s="16" cm="1">
        <f t="array" aca="1" ref="R11" ca="1">INDIRECT("'data'!$W$" &amp; $A$1)*parameters!$B$15</f>
        <v>13459.161081081082</v>
      </c>
      <c r="S11" s="16">
        <f t="shared" ca="1" si="2"/>
        <v>13459.161081081082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11695.261729729729</v>
      </c>
      <c r="O12" s="19"/>
      <c r="P12" s="21" cm="1">
        <f t="array" aca="1" ref="P12" ca="1">INDIRECT("'data'!$Z$" &amp; $A$1)*parameters!$B$15</f>
        <v>3386.88</v>
      </c>
      <c r="Q12" s="27" cm="1">
        <f t="array" aca="1" ref="Q12" ca="1">-INDIRECT("'data'!$AA$" &amp; $A$1)*parameters!$B$15</f>
        <v>-1386.7</v>
      </c>
      <c r="R12" s="16">
        <f ca="1">L10*parameters!$B$10+L11*parameters!$B$11</f>
        <v>13695.44172972973</v>
      </c>
      <c r="S12" s="16">
        <f t="shared" ref="S12:S18" ca="1" si="4">SUM(M12:Q12)</f>
        <v>13695.44172972973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-203.00734024353369</v>
      </c>
      <c r="D13" s="9">
        <f ca="1">-(D18-R4)</f>
        <v>-2.3972587299990096</v>
      </c>
      <c r="E13" s="9">
        <f ca="1">-(E18-R5)</f>
        <v>-798.63446889920851</v>
      </c>
      <c r="F13" s="9">
        <f ca="1">-(F18-R6)</f>
        <v>-1559.1611940298535</v>
      </c>
      <c r="G13" s="9">
        <f ca="1">-(G18-R7)</f>
        <v>0</v>
      </c>
      <c r="H13" s="9">
        <f ca="1">-(H18-R8)</f>
        <v>-305.10769070010519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-2868.3079526027</v>
      </c>
      <c r="N13" s="17"/>
      <c r="O13" s="17"/>
      <c r="P13" s="10"/>
      <c r="Q13" s="12"/>
      <c r="R13" s="9">
        <f t="shared" ref="R13:R18" ca="1" si="6">SUM(M13:Q13)</f>
        <v>-2868.3079526027</v>
      </c>
      <c r="S13" s="17">
        <f t="shared" ca="1" si="4"/>
        <v>-2868.3079526027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-1314.4630705699783</v>
      </c>
      <c r="K14" s="14">
        <f ca="1">-(K18-R11)</f>
        <v>-2391.075848348939</v>
      </c>
      <c r="L14" s="13">
        <f ca="1">-(L18-R12)</f>
        <v>-1751.1593513513544</v>
      </c>
      <c r="M14" s="14">
        <f t="shared" ca="1" si="5"/>
        <v>-5456.6982702702717</v>
      </c>
      <c r="N14" s="16">
        <f ca="1">-E16</f>
        <v>-1803.6150833588954</v>
      </c>
      <c r="O14" s="16"/>
      <c r="P14" s="11"/>
      <c r="Q14" s="13"/>
      <c r="R14" s="14">
        <f t="shared" ca="1" si="6"/>
        <v>-7260.3133536291671</v>
      </c>
      <c r="S14" s="16">
        <f t="shared" ca="1" si="4"/>
        <v>-7260.3133536291671</v>
      </c>
    </row>
    <row r="15" spans="1:20">
      <c r="A15" s="18" t="s">
        <v>79</v>
      </c>
      <c r="B15" s="11"/>
      <c r="C15" s="14"/>
      <c r="D15" s="14"/>
      <c r="E15" s="14">
        <f ca="1">-(J14+K14)-L14</f>
        <v>5456.6982702702717</v>
      </c>
      <c r="F15" s="14"/>
      <c r="G15" s="14"/>
      <c r="H15" s="14"/>
      <c r="I15" s="14"/>
      <c r="J15" s="14"/>
      <c r="K15" s="14"/>
      <c r="L15" s="13"/>
      <c r="M15" s="14">
        <f t="shared" ca="1" si="5"/>
        <v>5456.6982702702717</v>
      </c>
      <c r="N15" s="16"/>
      <c r="O15" s="16"/>
      <c r="P15" s="11"/>
      <c r="Q15" s="13"/>
      <c r="R15" s="14">
        <f t="shared" ca="1" si="6"/>
        <v>5456.6982702702717</v>
      </c>
      <c r="S15" s="16">
        <f t="shared" ca="1" si="4"/>
        <v>5456.6982702702717</v>
      </c>
    </row>
    <row r="16" spans="1:20">
      <c r="A16" s="18" t="s">
        <v>80</v>
      </c>
      <c r="B16" s="11"/>
      <c r="C16" s="14"/>
      <c r="D16" s="14"/>
      <c r="E16" s="14">
        <f ca="1">E18-E15</f>
        <v>1803.6150833588954</v>
      </c>
      <c r="F16" s="14"/>
      <c r="G16" s="14"/>
      <c r="H16" s="14"/>
      <c r="I16" s="14"/>
      <c r="J16" s="14"/>
      <c r="K16" s="14"/>
      <c r="L16" s="13"/>
      <c r="M16" s="14">
        <f t="shared" ca="1" si="5"/>
        <v>1803.6150833588954</v>
      </c>
      <c r="N16" s="16"/>
      <c r="O16" s="16"/>
      <c r="P16" s="11"/>
      <c r="Q16" s="13"/>
      <c r="R16" s="14">
        <f t="shared" ca="1" si="6"/>
        <v>1803.6150833588954</v>
      </c>
      <c r="S16" s="16">
        <f t="shared" ca="1" si="4"/>
        <v>1803.6150833588954</v>
      </c>
    </row>
    <row r="17" spans="1:19">
      <c r="A17" s="30" t="s">
        <v>90</v>
      </c>
      <c r="B17" s="21">
        <f ca="1">R2</f>
        <v>186891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186891</v>
      </c>
      <c r="N17" s="19"/>
      <c r="O17" s="19"/>
      <c r="P17" s="21"/>
      <c r="Q17" s="27"/>
      <c r="R17" s="22">
        <f t="shared" ca="1" si="6"/>
        <v>186891</v>
      </c>
      <c r="S17" s="19">
        <f t="shared" ca="1" si="4"/>
        <v>186891</v>
      </c>
    </row>
    <row r="18" spans="1:19">
      <c r="A18" s="29" t="s">
        <v>89</v>
      </c>
      <c r="B18" s="9">
        <f ca="1">B17</f>
        <v>186891</v>
      </c>
      <c r="C18" s="9">
        <f ca="1">SUM(C$2:C$12)</f>
        <v>32223.387340243531</v>
      </c>
      <c r="D18" s="9">
        <f ca="1">SUM(D$2:D$12)</f>
        <v>380.51725872999901</v>
      </c>
      <c r="E18" s="9">
        <f ca="1">$R$5/parameters!$B$4</f>
        <v>7260.3133536291671</v>
      </c>
      <c r="F18" s="9">
        <f t="shared" ref="F18:L18" ca="1" si="7">SUM(F$2:F$12)</f>
        <v>25147.761194029852</v>
      </c>
      <c r="G18" s="9">
        <f t="shared" ca="1" si="7"/>
        <v>0</v>
      </c>
      <c r="H18" s="9">
        <f t="shared" ca="1" si="7"/>
        <v>7095.5276907001053</v>
      </c>
      <c r="I18" s="9">
        <f t="shared" ca="1" si="7"/>
        <v>30379.019999999997</v>
      </c>
      <c r="J18" s="9">
        <f t="shared" ca="1" si="7"/>
        <v>8713.4630705699783</v>
      </c>
      <c r="K18" s="9">
        <f t="shared" ca="1" si="7"/>
        <v>15850.236929430021</v>
      </c>
      <c r="L18" s="9">
        <f t="shared" ca="1" si="7"/>
        <v>15446.601081081084</v>
      </c>
      <c r="M18" s="17">
        <f ca="1">SUM(B18:L18)</f>
        <v>329387.82791841374</v>
      </c>
      <c r="N18" s="17"/>
      <c r="O18" s="17"/>
      <c r="P18" s="9"/>
      <c r="Q18" s="14"/>
      <c r="R18" s="11">
        <f t="shared" ca="1" si="6"/>
        <v>329387.82791841374</v>
      </c>
      <c r="S18" s="17">
        <f t="shared" ca="1" si="4"/>
        <v>329387.82791841374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0.84914573460354437</v>
      </c>
      <c r="K19" s="39">
        <f ca="1">J19</f>
        <v>0.84914573460354437</v>
      </c>
      <c r="L19" s="40">
        <f ca="1">1-(-L14)/L18</f>
        <v>0.88663141216897445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1782.9381958929491</v>
      </c>
      <c r="D2" s="9">
        <f ca="1">R4/parameters!$B$3</f>
        <v>5175.6836335743374</v>
      </c>
      <c r="E2" s="9"/>
      <c r="F2" s="9"/>
      <c r="G2" s="9"/>
      <c r="H2" s="9"/>
      <c r="I2" s="9"/>
      <c r="J2" s="9"/>
      <c r="K2" s="9"/>
      <c r="L2" s="12"/>
      <c r="M2" s="17">
        <f ca="1">SUM(B2:L2)</f>
        <v>6958.6218294672863</v>
      </c>
      <c r="N2" s="17"/>
      <c r="O2" s="17">
        <f ca="1">R2-(M2+P2+Q2)</f>
        <v>0</v>
      </c>
      <c r="P2" s="11" cm="1">
        <f t="array" aca="1" ref="P2" ca="1">INDIRECT("'data'!$F$" &amp; $A$1)</f>
        <v>923.65</v>
      </c>
      <c r="Q2" s="13">
        <f ca="1">IF(-(M2-R2+P2)&lt;0, -(M2-R2+P2), 0)</f>
        <v>-561.93019013736682</v>
      </c>
      <c r="R2" s="17" cm="1">
        <f t="array" aca="1" ref="R2" ca="1">INDIRECT("'data'!$D$" &amp; $A$1)</f>
        <v>7320.3416393299194</v>
      </c>
      <c r="S2" s="17">
        <f ca="1">SUM(M2:Q2)</f>
        <v>7320.3416393299194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1751.2537313432836</v>
      </c>
      <c r="G3" s="14">
        <f ca="1">R7/parameters!$B$6</f>
        <v>0</v>
      </c>
      <c r="H3" s="14">
        <f ca="1">R3-P3-Q3-F3-G3</f>
        <v>20.451953915540116</v>
      </c>
      <c r="I3" s="14"/>
      <c r="J3" s="14"/>
      <c r="K3" s="14"/>
      <c r="L3" s="13"/>
      <c r="M3" s="16">
        <f t="shared" ref="M3:M11" ca="1" si="0">SUM(B3:L3)</f>
        <v>1771.7056852588237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1771.7056852588237</v>
      </c>
      <c r="S3" s="16">
        <f t="shared" ref="S3:S11" ca="1" si="2">SUM(M3:Q3)</f>
        <v>1771.7056852588237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4439.7341794736512</v>
      </c>
      <c r="I4" s="14"/>
      <c r="J4" s="14"/>
      <c r="K4" s="14"/>
      <c r="L4" s="13"/>
      <c r="M4" s="16">
        <f t="shared" ca="1" si="0"/>
        <v>4439.7341794736512</v>
      </c>
      <c r="N4" s="16"/>
      <c r="O4" s="16">
        <f t="shared" ca="1" si="1"/>
        <v>703.34264720916781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5143.076826682819</v>
      </c>
      <c r="S4" s="16">
        <f t="shared" ca="1" si="2"/>
        <v>5143.076826682819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R6/parameters!$B$5*32%</f>
        <v>824.11940298507454</v>
      </c>
      <c r="G5" s="14"/>
      <c r="H5" s="38">
        <f ca="1">E15*parameters!$B$4-P5-Q5-F5</f>
        <v>2645.581891689179</v>
      </c>
      <c r="I5" s="14"/>
      <c r="J5" s="14"/>
      <c r="K5" s="14"/>
      <c r="L5" s="13"/>
      <c r="M5" s="16">
        <f t="shared" ca="1" si="0"/>
        <v>3469.7012946742534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-101.92</v>
      </c>
      <c r="R5" s="16">
        <f ca="1">SUM(M5:Q5)</f>
        <v>3367.7812946742533</v>
      </c>
      <c r="S5" s="16">
        <f t="shared" ca="1" si="2"/>
        <v>3367.7812946742533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2415.6999999999998</v>
      </c>
      <c r="J6" s="14"/>
      <c r="K6" s="14"/>
      <c r="L6" s="13"/>
      <c r="M6" s="16">
        <f t="shared" ca="1" si="0"/>
        <v>2415.6999999999998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2415.6999999999998</v>
      </c>
      <c r="S6" s="16">
        <f t="shared" ca="1" si="2"/>
        <v>2415.6999999999998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6800.22</v>
      </c>
      <c r="J8" s="14"/>
      <c r="K8" s="14"/>
      <c r="L8" s="13"/>
      <c r="M8" s="16">
        <f t="shared" ca="1" si="0"/>
        <v>6800.22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6800.22</v>
      </c>
      <c r="S8" s="16">
        <f t="shared" ca="1" si="2"/>
        <v>6800.22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5800.7664391978778</v>
      </c>
      <c r="K9" s="14">
        <f ca="1">R11/K19</f>
        <v>5434.933560802122</v>
      </c>
      <c r="L9" s="13"/>
      <c r="M9" s="16">
        <f t="shared" ca="1" si="0"/>
        <v>11235.7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-2019.78</v>
      </c>
      <c r="R9" s="16">
        <f ca="1">SUM(R6:R8)</f>
        <v>9215.92</v>
      </c>
      <c r="S9" s="16">
        <f t="shared" ca="1" si="2"/>
        <v>9215.92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6292.58</v>
      </c>
      <c r="M10" s="16">
        <f t="shared" ca="1" si="0"/>
        <v>6292.58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-1699.32</v>
      </c>
      <c r="R10" s="16" cm="1">
        <f t="array" aca="1" ref="R10" ca="1">INDIRECT("'data'!$T$" &amp; $A$1)*parameters!$B$15</f>
        <v>4593.26</v>
      </c>
      <c r="S10" s="16">
        <f t="shared" ca="1" si="2"/>
        <v>4593.26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7625.780085348506</v>
      </c>
      <c r="M11" s="16">
        <f t="shared" ca="1" si="0"/>
        <v>7625.780085348506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-3322.2</v>
      </c>
      <c r="R11" s="16" cm="1">
        <f t="array" aca="1" ref="R11" ca="1">INDIRECT("'data'!$W$" &amp; $A$1)*parameters!$B$15</f>
        <v>4303.5800853485061</v>
      </c>
      <c r="S11" s="16">
        <f t="shared" ca="1" si="2"/>
        <v>4303.5800853485061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14065.696073399715</v>
      </c>
      <c r="O12" s="19"/>
      <c r="P12" s="21" cm="1">
        <f t="array" aca="1" ref="P12" ca="1">INDIRECT("'data'!$Z$" &amp; $A$1)*parameters!$B$15</f>
        <v>81.34</v>
      </c>
      <c r="Q12" s="27" cm="1">
        <f t="array" aca="1" ref="Q12" ca="1">-INDIRECT("'data'!$AA$" &amp; $A$1)*parameters!$B$15</f>
        <v>-1673.84</v>
      </c>
      <c r="R12" s="16">
        <f ca="1">L10*parameters!$B$10+L11*parameters!$B$11</f>
        <v>12473.196073399715</v>
      </c>
      <c r="S12" s="16">
        <f t="shared" ref="S12:S18" ca="1" si="4">SUM(M12:Q12)</f>
        <v>12473.196073399715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-11.232510634125447</v>
      </c>
      <c r="D13" s="9">
        <f ca="1">-(D18-R4)</f>
        <v>-32.606806891518318</v>
      </c>
      <c r="E13" s="9">
        <f ca="1">-(E18-R5)</f>
        <v>-416.24263192603121</v>
      </c>
      <c r="F13" s="9">
        <f ca="1">-(F18-R6)</f>
        <v>-159.67313432835817</v>
      </c>
      <c r="G13" s="9">
        <f ca="1">-(G18-R7)</f>
        <v>0</v>
      </c>
      <c r="H13" s="9">
        <f ca="1">-(H18-R8)</f>
        <v>-305.5480250783703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-925.30310885840345</v>
      </c>
      <c r="N13" s="17"/>
      <c r="O13" s="17"/>
      <c r="P13" s="10"/>
      <c r="Q13" s="12"/>
      <c r="R13" s="9">
        <f t="shared" ref="R13:R18" ca="1" si="6">SUM(M13:Q13)</f>
        <v>-925.30310885840345</v>
      </c>
      <c r="S13" s="17">
        <f t="shared" ca="1" si="4"/>
        <v>-925.30310885840345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-1207.5064391978776</v>
      </c>
      <c r="K14" s="14">
        <f ca="1">-(K18-R11)</f>
        <v>-1131.3534754536158</v>
      </c>
      <c r="L14" s="13">
        <f ca="1">-(L18-R12)</f>
        <v>-1445.1640119487911</v>
      </c>
      <c r="M14" s="14">
        <f t="shared" ca="1" si="5"/>
        <v>-3784.0239266002845</v>
      </c>
      <c r="N14" s="16">
        <f ca="1">-E16</f>
        <v>0</v>
      </c>
      <c r="O14" s="16"/>
      <c r="P14" s="11"/>
      <c r="Q14" s="13"/>
      <c r="R14" s="14">
        <f t="shared" ca="1" si="6"/>
        <v>-3784.0239266002845</v>
      </c>
      <c r="S14" s="16">
        <f t="shared" ca="1" si="4"/>
        <v>-3784.0239266002845</v>
      </c>
    </row>
    <row r="15" spans="1:23">
      <c r="A15" s="18" t="s">
        <v>79</v>
      </c>
      <c r="B15" s="11"/>
      <c r="C15" s="14"/>
      <c r="D15" s="14"/>
      <c r="E15" s="14">
        <f ca="1">-(J14+K14)-L14</f>
        <v>3784.0239266002845</v>
      </c>
      <c r="F15" s="14"/>
      <c r="G15" s="14"/>
      <c r="H15" s="14"/>
      <c r="I15" s="14"/>
      <c r="J15" s="14"/>
      <c r="K15" s="14"/>
      <c r="L15" s="13"/>
      <c r="M15" s="14">
        <f t="shared" ca="1" si="5"/>
        <v>3784.0239266002845</v>
      </c>
      <c r="N15" s="16"/>
      <c r="O15" s="16"/>
      <c r="P15" s="11"/>
      <c r="Q15" s="13"/>
      <c r="R15" s="14">
        <f t="shared" ca="1" si="6"/>
        <v>3784.0239266002845</v>
      </c>
      <c r="S15" s="16">
        <f t="shared" ca="1" si="4"/>
        <v>3784.0239266002845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7320.3416393299194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7320.3416393299194</v>
      </c>
      <c r="N17" s="19"/>
      <c r="O17" s="19"/>
      <c r="P17" s="21"/>
      <c r="Q17" s="27"/>
      <c r="R17" s="22">
        <f t="shared" ca="1" si="6"/>
        <v>7320.3416393299194</v>
      </c>
      <c r="S17" s="19">
        <f t="shared" ca="1" si="4"/>
        <v>7320.3416393299194</v>
      </c>
    </row>
    <row r="18" spans="1:19">
      <c r="A18" s="29" t="s">
        <v>89</v>
      </c>
      <c r="B18" s="9">
        <f ca="1">B17</f>
        <v>7320.3416393299194</v>
      </c>
      <c r="C18" s="9">
        <f ca="1">SUM(C$2:C$12)</f>
        <v>1782.9381958929491</v>
      </c>
      <c r="D18" s="9">
        <f ca="1">SUM(D$2:D$12)</f>
        <v>5175.6836335743374</v>
      </c>
      <c r="E18" s="9">
        <f ca="1">$R$5/parameters!$B$4</f>
        <v>3784.0239266002845</v>
      </c>
      <c r="F18" s="9">
        <f t="shared" ref="F18:L18" ca="1" si="7">SUM(F$2:F$12)</f>
        <v>2575.373134328358</v>
      </c>
      <c r="G18" s="9">
        <f t="shared" ca="1" si="7"/>
        <v>0</v>
      </c>
      <c r="H18" s="9">
        <f t="shared" ca="1" si="7"/>
        <v>7105.7680250783706</v>
      </c>
      <c r="I18" s="9">
        <f t="shared" ca="1" si="7"/>
        <v>9215.92</v>
      </c>
      <c r="J18" s="9">
        <f t="shared" ca="1" si="7"/>
        <v>5800.7664391978778</v>
      </c>
      <c r="K18" s="9">
        <f t="shared" ca="1" si="7"/>
        <v>5434.933560802122</v>
      </c>
      <c r="L18" s="9">
        <f t="shared" ca="1" si="7"/>
        <v>13918.360085348506</v>
      </c>
      <c r="M18" s="17">
        <f ca="1">SUM(B18:L18)</f>
        <v>62114.108640152721</v>
      </c>
      <c r="N18" s="17"/>
      <c r="O18" s="17"/>
      <c r="P18" s="9"/>
      <c r="Q18" s="14"/>
      <c r="R18" s="11">
        <f t="shared" ca="1" si="6"/>
        <v>62114.108640152721</v>
      </c>
      <c r="S18" s="17">
        <f t="shared" ca="1" si="4"/>
        <v>62114.108640152721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0.79183674229006706</v>
      </c>
      <c r="K19" s="39">
        <f ca="1">J19</f>
        <v>0.79183674229006706</v>
      </c>
      <c r="L19" s="40">
        <f ca="1">1-(-L14)/L18</f>
        <v>0.89616851388475882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10863.172989835964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10863.172989835964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-10863.172989835964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9769.0746268656712</v>
      </c>
      <c r="G3" s="14">
        <f ca="1">R7/parameters!$B$6</f>
        <v>0</v>
      </c>
      <c r="H3" s="14">
        <f ca="1">R3-P3-Q3-F3-G3</f>
        <v>2644.4453731343274</v>
      </c>
      <c r="I3" s="14"/>
      <c r="J3" s="14"/>
      <c r="K3" s="14"/>
      <c r="L3" s="13"/>
      <c r="M3" s="16">
        <f t="shared" ref="M3:M11" ca="1" si="0">SUM(B3:L3)</f>
        <v>12413.519999999999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-1633.905</v>
      </c>
      <c r="R3" s="16" cm="1">
        <f t="array" aca="1" ref="R3" ca="1">INDIRECT("'data'!$G$" &amp; $A$1)*parameters!$B$13</f>
        <v>10794.734999999999</v>
      </c>
      <c r="S3" s="16">
        <f t="shared" ref="S3:S11" ca="1" si="2">SUM(M3:Q3)</f>
        <v>10794.734999999999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367.08000000000004</v>
      </c>
      <c r="I4" s="14"/>
      <c r="J4" s="14"/>
      <c r="K4" s="14"/>
      <c r="L4" s="13"/>
      <c r="M4" s="16">
        <f t="shared" ca="1" si="0"/>
        <v>367.08000000000004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-367.08000000000004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2442.2686567164178</v>
      </c>
      <c r="G5" s="14"/>
      <c r="H5" s="14">
        <f ca="1">R8/parameters!$B$7-(H3+H4)</f>
        <v>14935.684658213637</v>
      </c>
      <c r="I5" s="14"/>
      <c r="J5" s="14"/>
      <c r="K5" s="14"/>
      <c r="L5" s="13"/>
      <c r="M5" s="16">
        <f t="shared" ca="1" si="0"/>
        <v>17377.953314930055</v>
      </c>
      <c r="N5" s="16"/>
      <c r="O5" s="16"/>
      <c r="P5" s="11" cm="1">
        <f t="array" aca="1" ref="P5" ca="1">INDIRECT("'data'!$M$" &amp; $A$1)*parameters!$B$15</f>
        <v>182.28</v>
      </c>
      <c r="Q5" s="13" cm="1">
        <f t="array" aca="1" ref="Q5" ca="1">-INDIRECT("'data'!$N$" &amp; $A$1)*parameters!$B$15</f>
        <v>-5252.8</v>
      </c>
      <c r="R5" s="16">
        <f ca="1">SUM(M5:Q5)</f>
        <v>12307.433314930055</v>
      </c>
      <c r="S5" s="16">
        <f t="shared" ca="1" si="2"/>
        <v>12307.433314930055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11454.24</v>
      </c>
      <c r="J6" s="14"/>
      <c r="K6" s="14"/>
      <c r="L6" s="13"/>
      <c r="M6" s="16">
        <f t="shared" ca="1" si="0"/>
        <v>11454.24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11454.24</v>
      </c>
      <c r="S6" s="16">
        <f t="shared" ca="1" si="2"/>
        <v>11454.24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17175.48</v>
      </c>
      <c r="J8" s="14"/>
      <c r="K8" s="14"/>
      <c r="L8" s="13"/>
      <c r="M8" s="16">
        <f t="shared" ca="1" si="0"/>
        <v>17175.48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17175.48</v>
      </c>
      <c r="S8" s="16">
        <f t="shared" ca="1" si="2"/>
        <v>17175.48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16887.443895367764</v>
      </c>
      <c r="K9" s="14">
        <f ca="1">R11/K19</f>
        <v>15280.076104632235</v>
      </c>
      <c r="L9" s="13"/>
      <c r="M9" s="16">
        <f t="shared" ca="1" si="0"/>
        <v>32167.519999999997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684.04</v>
      </c>
      <c r="Q9" s="13" cm="1">
        <f t="array" aca="1" ref="Q9" ca="1">-INDIRECT("'data'!$S$" &amp; $A$1)*parameters!$B$15</f>
        <v>-4221.84</v>
      </c>
      <c r="R9" s="16">
        <f ca="1">SUM(R6:R8)</f>
        <v>28629.72</v>
      </c>
      <c r="S9" s="16">
        <f t="shared" ca="1" si="2"/>
        <v>28629.719999999998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13692.56</v>
      </c>
      <c r="M10" s="16">
        <f t="shared" ca="1" si="0"/>
        <v>13692.56</v>
      </c>
      <c r="N10" s="16"/>
      <c r="O10" s="16">
        <f t="shared" ca="1" si="3"/>
        <v>0</v>
      </c>
      <c r="P10" s="11" cm="1">
        <f t="array" aca="1" ref="P10" ca="1">INDIRECT("'data'!$U$" &amp; $A$1)*parameters!$B$15</f>
        <v>4338.46</v>
      </c>
      <c r="Q10" s="13" cm="1">
        <f t="array" aca="1" ref="Q10" ca="1">-INDIRECT("'data'!$V$" &amp; $A$1)*parameters!$B$15</f>
        <v>-3049.7599999999998</v>
      </c>
      <c r="R10" s="16" cm="1">
        <f t="array" aca="1" ref="R10" ca="1">INDIRECT("'data'!$T$" &amp; $A$1)*parameters!$B$15</f>
        <v>14981.26</v>
      </c>
      <c r="S10" s="16">
        <f t="shared" ca="1" si="2"/>
        <v>14981.26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17351.845149359888</v>
      </c>
      <c r="M11" s="16">
        <f t="shared" ca="1" si="0"/>
        <v>17351.845149359888</v>
      </c>
      <c r="N11" s="16"/>
      <c r="O11" s="16">
        <f t="shared" ca="1" si="3"/>
        <v>0</v>
      </c>
      <c r="P11" s="11" cm="1">
        <f t="array" aca="1" ref="P11" ca="1">INDIRECT("'data'!$X$" &amp; $A$1)*parameters!$B$15</f>
        <v>5820.22</v>
      </c>
      <c r="Q11" s="13" cm="1">
        <f t="array" aca="1" ref="Q11" ca="1">-INDIRECT("'data'!$Y$" &amp; $A$1)*parameters!$B$15</f>
        <v>-9616.74</v>
      </c>
      <c r="R11" s="16" cm="1">
        <f t="array" aca="1" ref="R11" ca="1">INDIRECT("'data'!$W$" &amp; $A$1)*parameters!$B$15</f>
        <v>13555.325149359887</v>
      </c>
      <c r="S11" s="16">
        <f t="shared" ca="1" si="2"/>
        <v>13555.325149359889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22827.933228449499</v>
      </c>
      <c r="O12" s="19"/>
      <c r="P12" s="21" cm="1">
        <f t="array" aca="1" ref="P12" ca="1">INDIRECT("'data'!$Z$" &amp; $A$1)*parameters!$B$15</f>
        <v>12094.18</v>
      </c>
      <c r="Q12" s="27" cm="1">
        <f t="array" aca="1" ref="Q12" ca="1">-INDIRECT("'data'!$AA$" &amp; $A$1)*parameters!$B$15</f>
        <v>-7128.5199999999995</v>
      </c>
      <c r="R12" s="16">
        <f ca="1">L10*parameters!$B$10+L11*parameters!$B$11</f>
        <v>27793.593228449499</v>
      </c>
      <c r="S12" s="16">
        <f t="shared" ref="S12:S18" ca="1" si="4">SUM(M12:Q12)</f>
        <v>27793.593228449496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-68.437989835965709</v>
      </c>
      <c r="D13" s="9">
        <f ca="1">-(D18-R4)</f>
        <v>0</v>
      </c>
      <c r="E13" s="9">
        <f ca="1">-(E18-R5)</f>
        <v>-1521.1434434183211</v>
      </c>
      <c r="F13" s="9">
        <f ca="1">-(F18-R6)</f>
        <v>-757.10328358208972</v>
      </c>
      <c r="G13" s="9">
        <f ca="1">-(G18-R7)</f>
        <v>0</v>
      </c>
      <c r="H13" s="9">
        <f ca="1">-(H18-R8)</f>
        <v>-771.73003134796454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-3118.4147481843411</v>
      </c>
      <c r="N13" s="17"/>
      <c r="O13" s="17"/>
      <c r="P13" s="10"/>
      <c r="Q13" s="12"/>
      <c r="R13" s="9">
        <f t="shared" ref="R13:R18" ca="1" si="6">SUM(M13:Q13)</f>
        <v>-3118.4147481843411</v>
      </c>
      <c r="S13" s="17">
        <f t="shared" ca="1" si="4"/>
        <v>-3118.4147481843411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-1906.1838953677634</v>
      </c>
      <c r="K14" s="14">
        <f ca="1">-(K18-R11)</f>
        <v>-1724.7509552723477</v>
      </c>
      <c r="L14" s="13">
        <f ca="1">-(L18-R12)</f>
        <v>-3250.8119209103897</v>
      </c>
      <c r="M14" s="14">
        <f t="shared" ca="1" si="5"/>
        <v>-6881.7467715505009</v>
      </c>
      <c r="N14" s="16">
        <f ca="1">-E16</f>
        <v>-6946.8299867978749</v>
      </c>
      <c r="O14" s="16"/>
      <c r="P14" s="11"/>
      <c r="Q14" s="13"/>
      <c r="R14" s="14">
        <f t="shared" ca="1" si="6"/>
        <v>-13828.576758348376</v>
      </c>
      <c r="S14" s="16">
        <f t="shared" ca="1" si="4"/>
        <v>-13828.576758348376</v>
      </c>
    </row>
    <row r="15" spans="1:21">
      <c r="A15" s="18" t="s">
        <v>79</v>
      </c>
      <c r="B15" s="11"/>
      <c r="C15" s="14"/>
      <c r="D15" s="14"/>
      <c r="E15" s="14">
        <f ca="1">-(J14+K14)-L14</f>
        <v>6881.7467715505009</v>
      </c>
      <c r="F15" s="14"/>
      <c r="G15" s="14"/>
      <c r="H15" s="14"/>
      <c r="I15" s="14"/>
      <c r="J15" s="14"/>
      <c r="K15" s="14"/>
      <c r="L15" s="13"/>
      <c r="M15" s="14">
        <f t="shared" ca="1" si="5"/>
        <v>6881.7467715505009</v>
      </c>
      <c r="N15" s="16"/>
      <c r="O15" s="16"/>
      <c r="P15" s="11"/>
      <c r="Q15" s="13"/>
      <c r="R15" s="14">
        <f t="shared" ca="1" si="6"/>
        <v>6881.7467715505009</v>
      </c>
      <c r="S15" s="16">
        <f t="shared" ca="1" si="4"/>
        <v>6881.7467715505009</v>
      </c>
    </row>
    <row r="16" spans="1:21">
      <c r="A16" s="18" t="s">
        <v>80</v>
      </c>
      <c r="B16" s="11"/>
      <c r="C16" s="14"/>
      <c r="D16" s="14"/>
      <c r="E16" s="14">
        <f ca="1">E18-E15</f>
        <v>6946.8299867978749</v>
      </c>
      <c r="F16" s="14"/>
      <c r="G16" s="14"/>
      <c r="H16" s="14"/>
      <c r="I16" s="14"/>
      <c r="J16" s="14"/>
      <c r="K16" s="14"/>
      <c r="L16" s="13"/>
      <c r="M16" s="14">
        <f t="shared" ca="1" si="5"/>
        <v>6946.8299867978749</v>
      </c>
      <c r="N16" s="16"/>
      <c r="O16" s="16"/>
      <c r="P16" s="11"/>
      <c r="Q16" s="13"/>
      <c r="R16" s="14">
        <f t="shared" ca="1" si="6"/>
        <v>6946.8299867978749</v>
      </c>
      <c r="S16" s="16">
        <f t="shared" ca="1" si="4"/>
        <v>6946.8299867978749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10863.172989835964</v>
      </c>
      <c r="D18" s="9">
        <f ca="1">SUM(D$2:D$12)</f>
        <v>0</v>
      </c>
      <c r="E18" s="9">
        <f ca="1">$R$5/parameters!$B$4</f>
        <v>13828.576758348376</v>
      </c>
      <c r="F18" s="9">
        <f t="shared" ref="F18:L18" ca="1" si="7">SUM(F$2:F$12)</f>
        <v>12211.343283582089</v>
      </c>
      <c r="G18" s="9">
        <f t="shared" ca="1" si="7"/>
        <v>0</v>
      </c>
      <c r="H18" s="9">
        <f t="shared" ca="1" si="7"/>
        <v>17947.210031347964</v>
      </c>
      <c r="I18" s="9">
        <f t="shared" ca="1" si="7"/>
        <v>28629.72</v>
      </c>
      <c r="J18" s="9">
        <f t="shared" ca="1" si="7"/>
        <v>16887.443895367764</v>
      </c>
      <c r="K18" s="9">
        <f t="shared" ca="1" si="7"/>
        <v>15280.076104632235</v>
      </c>
      <c r="L18" s="9">
        <f t="shared" ca="1" si="7"/>
        <v>31044.405149359889</v>
      </c>
      <c r="M18" s="17">
        <f ca="1">SUM(B18:L18)</f>
        <v>146691.94821247426</v>
      </c>
      <c r="N18" s="17"/>
      <c r="O18" s="17"/>
      <c r="P18" s="9"/>
      <c r="Q18" s="14"/>
      <c r="R18" s="11">
        <f t="shared" ca="1" si="6"/>
        <v>146691.94821247426</v>
      </c>
      <c r="S18" s="17">
        <f t="shared" ca="1" si="4"/>
        <v>146691.94821247426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0.88712419077876969</v>
      </c>
      <c r="K19" s="39">
        <f ca="1">J19</f>
        <v>0.88712419077876969</v>
      </c>
      <c r="L19" s="40">
        <f ca="1">1-(-L14)/L18</f>
        <v>0.89528509548596014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29273.412498742073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29273.412498742073</v>
      </c>
      <c r="N2" s="17"/>
      <c r="O2" s="17">
        <f ca="1">R2-(M2+P2+Q2)</f>
        <v>0</v>
      </c>
      <c r="P2" s="11" cm="1">
        <f t="array" aca="1" ref="P2" ca="1">INDIRECT("'data'!$F$" &amp; $A$1)</f>
        <v>12725.050000000001</v>
      </c>
      <c r="Q2" s="13">
        <f ca="1">IF(-(M2-R2+P2)&lt;0, -(M2-R2+P2), 0)</f>
        <v>-4298.4624987420739</v>
      </c>
      <c r="R2" s="17" cm="1">
        <f t="array" aca="1" ref="R2" ca="1">INDIRECT("'data'!$D$" &amp; $A$1)</f>
        <v>37700</v>
      </c>
      <c r="S2" s="17">
        <f ca="1">SUM(M2:Q2)</f>
        <v>37700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12098.507462686568</v>
      </c>
      <c r="G3" s="14">
        <f ca="1">R7/parameters!$B$6</f>
        <v>16246.268656716418</v>
      </c>
      <c r="H3" s="14">
        <f ca="1">R3-P3-Q3-F3-G3</f>
        <v>97.833880597014286</v>
      </c>
      <c r="I3" s="14"/>
      <c r="J3" s="14"/>
      <c r="K3" s="14"/>
      <c r="L3" s="13"/>
      <c r="M3" s="16">
        <f t="shared" ref="M3:M11" ca="1" si="0">SUM(B3:L3)</f>
        <v>28442.61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830.65499999999997</v>
      </c>
      <c r="Q3" s="13" cm="1">
        <f t="array" aca="1" ref="Q3" ca="1">-INDIRECT("'data'!$I$" &amp; $A$1)*parameters!$B$13</f>
        <v>-184.27499999999998</v>
      </c>
      <c r="R3" s="16" cm="1">
        <f t="array" aca="1" ref="R3" ca="1">INDIRECT("'data'!$G$" &amp; $A$1)*parameters!$B$13</f>
        <v>29088.989999999998</v>
      </c>
      <c r="S3" s="16">
        <f t="shared" ref="S3:S11" ca="1" si="2">SUM(M3:Q3)</f>
        <v>29088.989999999998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485.76000000000005</v>
      </c>
      <c r="I4" s="14"/>
      <c r="J4" s="14"/>
      <c r="K4" s="14"/>
      <c r="L4" s="13"/>
      <c r="M4" s="16">
        <f t="shared" ca="1" si="0"/>
        <v>485.76000000000005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-485.76000000000005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8065.6716417910466</v>
      </c>
      <c r="G5" s="14"/>
      <c r="H5" s="14">
        <f ca="1">R8/parameters!$B$7-(H3+H4)</f>
        <v>2795.7164642305725</v>
      </c>
      <c r="I5" s="14"/>
      <c r="J5" s="14"/>
      <c r="K5" s="14"/>
      <c r="L5" s="13"/>
      <c r="M5" s="16">
        <f t="shared" ca="1" si="0"/>
        <v>10861.388106021619</v>
      </c>
      <c r="N5" s="16"/>
      <c r="O5" s="16"/>
      <c r="P5" s="11" cm="1">
        <f t="array" aca="1" ref="P5" ca="1">INDIRECT("'data'!$M$" &amp; $A$1)*parameters!$B$15</f>
        <v>1238.72</v>
      </c>
      <c r="Q5" s="13" cm="1">
        <f t="array" aca="1" ref="Q5" ca="1">-INDIRECT("'data'!$N$" &amp; $A$1)*parameters!$B$15</f>
        <v>-11.76</v>
      </c>
      <c r="R5" s="16">
        <f ca="1">SUM(M5:Q5)</f>
        <v>12088.348106021618</v>
      </c>
      <c r="S5" s="16">
        <f t="shared" ca="1" si="2"/>
        <v>12088.348106021618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18914</v>
      </c>
      <c r="J6" s="14"/>
      <c r="K6" s="14"/>
      <c r="L6" s="13"/>
      <c r="M6" s="16">
        <f t="shared" ca="1" si="0"/>
        <v>18914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18914</v>
      </c>
      <c r="S6" s="16">
        <f t="shared" ca="1" si="2"/>
        <v>18914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15239</v>
      </c>
      <c r="J7" s="14"/>
      <c r="K7" s="14"/>
      <c r="L7" s="13"/>
      <c r="M7" s="16">
        <f t="shared" ca="1" si="0"/>
        <v>15239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15239</v>
      </c>
      <c r="S7" s="16">
        <f t="shared" ca="1" si="2"/>
        <v>15239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3234</v>
      </c>
      <c r="J8" s="14"/>
      <c r="K8" s="14"/>
      <c r="L8" s="13"/>
      <c r="M8" s="16">
        <f t="shared" ca="1" si="0"/>
        <v>3234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3234</v>
      </c>
      <c r="S8" s="16">
        <f t="shared" ca="1" si="2"/>
        <v>3234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18032.000000000004</v>
      </c>
      <c r="K9" s="14">
        <f ca="1">R11/K19</f>
        <v>16127.901894137904</v>
      </c>
      <c r="L9" s="13"/>
      <c r="M9" s="16">
        <f t="shared" ca="1" si="0"/>
        <v>34159.901894137904</v>
      </c>
      <c r="N9" s="16"/>
      <c r="O9" s="16">
        <f t="shared" ca="1" si="3"/>
        <v>-6128.9618941379085</v>
      </c>
      <c r="P9" s="11" cm="1">
        <f t="array" aca="1" ref="P9" ca="1">INDIRECT("'data'!$R$" &amp; $A$1)*parameters!$B$15</f>
        <v>9689.26</v>
      </c>
      <c r="Q9" s="13" cm="1">
        <f t="array" aca="1" ref="Q9" ca="1">-INDIRECT("'data'!$S$" &amp; $A$1)*parameters!$B$15</f>
        <v>-333.2</v>
      </c>
      <c r="R9" s="16">
        <f ca="1">SUM(R6:R8)</f>
        <v>37387</v>
      </c>
      <c r="S9" s="16">
        <f t="shared" ca="1" si="2"/>
        <v>37387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11323.900000000001</v>
      </c>
      <c r="M10" s="16">
        <f t="shared" ca="1" si="0"/>
        <v>11323.900000000001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6019.16</v>
      </c>
      <c r="Q10" s="13" cm="1">
        <f t="array" aca="1" ref="Q10" ca="1">-INDIRECT("'data'!$V$" &amp; $A$1)*parameters!$B$15</f>
        <v>-212.66</v>
      </c>
      <c r="R10" s="16" cm="1">
        <f t="array" aca="1" ref="R10" ca="1">INDIRECT("'data'!$T$" &amp; $A$1)*parameters!$B$15</f>
        <v>17130.400000000001</v>
      </c>
      <c r="S10" s="16">
        <f t="shared" ca="1" si="2"/>
        <v>17130.400000000001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6338.8267994310081</v>
      </c>
      <c r="M11" s="16">
        <f t="shared" ca="1" si="0"/>
        <v>6338.8267994310081</v>
      </c>
      <c r="N11" s="16"/>
      <c r="O11" s="16">
        <f t="shared" ca="1" si="3"/>
        <v>0</v>
      </c>
      <c r="P11" s="11" cm="1">
        <f t="array" aca="1" ref="P11" ca="1">INDIRECT("'data'!$X$" &amp; $A$1)*parameters!$B$15</f>
        <v>9379.58</v>
      </c>
      <c r="Q11" s="13" cm="1">
        <f t="array" aca="1" ref="Q11" ca="1">-INDIRECT("'data'!$Y$" &amp; $A$1)*parameters!$B$15</f>
        <v>-396.9</v>
      </c>
      <c r="R11" s="16" cm="1">
        <f t="array" aca="1" ref="R11" ca="1">INDIRECT("'data'!$W$" &amp; $A$1)*parameters!$B$15</f>
        <v>15321.506799431008</v>
      </c>
      <c r="S11" s="16">
        <f t="shared" ca="1" si="2"/>
        <v>15321.506799431008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15633.297047510669</v>
      </c>
      <c r="O12" s="19"/>
      <c r="P12" s="21" cm="1">
        <f t="array" aca="1" ref="P12" ca="1">INDIRECT("'data'!$Z$" &amp; $A$1)*parameters!$B$15</f>
        <v>1797.32</v>
      </c>
      <c r="Q12" s="27" cm="1">
        <f t="array" aca="1" ref="Q12" ca="1">-INDIRECT("'data'!$AA$" &amp; $A$1)*parameters!$B$15</f>
        <v>-1334.76</v>
      </c>
      <c r="R12" s="16">
        <f ca="1">L10*parameters!$B$10+L11*parameters!$B$11</f>
        <v>16095.857047510668</v>
      </c>
      <c r="S12" s="16">
        <f t="shared" ref="S12:S18" ca="1" si="4">SUM(M12:Q12)</f>
        <v>16095.85704751067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-184.42249874207482</v>
      </c>
      <c r="D13" s="9">
        <f ca="1">-(D18-R4)</f>
        <v>0</v>
      </c>
      <c r="E13" s="9">
        <f ca="1">-(E18-R5)</f>
        <v>-1494.0654962498629</v>
      </c>
      <c r="F13" s="9">
        <f ca="1">-(F18-R6)</f>
        <v>-1250.1791044776146</v>
      </c>
      <c r="G13" s="9">
        <f ca="1">-(G18-R7)</f>
        <v>-1007.2686567164183</v>
      </c>
      <c r="H13" s="9">
        <f ca="1">-(H18-R8)</f>
        <v>-145.31034482758696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-4081.2461010135576</v>
      </c>
      <c r="N13" s="17"/>
      <c r="O13" s="17"/>
      <c r="P13" s="10"/>
      <c r="Q13" s="12"/>
      <c r="R13" s="9">
        <f t="shared" ref="R13:R18" ca="1" si="6">SUM(M13:Q13)</f>
        <v>-4081.2461010135576</v>
      </c>
      <c r="S13" s="17">
        <f t="shared" ca="1" si="4"/>
        <v>-4081.2461010135576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-901.60000000000218</v>
      </c>
      <c r="K14" s="14">
        <f ca="1">-(K18-R11)</f>
        <v>-806.39509470689518</v>
      </c>
      <c r="L14" s="13">
        <f ca="1">-(L18-R12)</f>
        <v>-1566.8697519203415</v>
      </c>
      <c r="M14" s="14">
        <f t="shared" ca="1" si="5"/>
        <v>-3274.8648466272389</v>
      </c>
      <c r="N14" s="16">
        <f ca="1">-E16</f>
        <v>-10307.548755644242</v>
      </c>
      <c r="O14" s="16"/>
      <c r="P14" s="11"/>
      <c r="Q14" s="13"/>
      <c r="R14" s="14">
        <f t="shared" ca="1" si="6"/>
        <v>-13582.413602271481</v>
      </c>
      <c r="S14" s="16">
        <f t="shared" ca="1" si="4"/>
        <v>-13582.413602271481</v>
      </c>
    </row>
    <row r="15" spans="1:21">
      <c r="A15" s="18" t="s">
        <v>79</v>
      </c>
      <c r="B15" s="11"/>
      <c r="C15" s="14"/>
      <c r="D15" s="14"/>
      <c r="E15" s="14">
        <f ca="1">-(J14+K14)-L14</f>
        <v>3274.8648466272389</v>
      </c>
      <c r="F15" s="14"/>
      <c r="G15" s="14"/>
      <c r="H15" s="14"/>
      <c r="I15" s="14"/>
      <c r="J15" s="14"/>
      <c r="K15" s="14"/>
      <c r="L15" s="13"/>
      <c r="M15" s="14">
        <f t="shared" ca="1" si="5"/>
        <v>3274.8648466272389</v>
      </c>
      <c r="N15" s="16"/>
      <c r="O15" s="16"/>
      <c r="P15" s="11"/>
      <c r="Q15" s="13"/>
      <c r="R15" s="14">
        <f t="shared" ca="1" si="6"/>
        <v>3274.8648466272389</v>
      </c>
      <c r="S15" s="16">
        <f t="shared" ca="1" si="4"/>
        <v>3274.8648466272389</v>
      </c>
    </row>
    <row r="16" spans="1:21">
      <c r="A16" s="18" t="s">
        <v>80</v>
      </c>
      <c r="B16" s="11"/>
      <c r="C16" s="14"/>
      <c r="D16" s="14"/>
      <c r="E16" s="14">
        <f ca="1">E18-E15</f>
        <v>10307.548755644242</v>
      </c>
      <c r="F16" s="14"/>
      <c r="G16" s="14"/>
      <c r="H16" s="14"/>
      <c r="I16" s="14"/>
      <c r="J16" s="14"/>
      <c r="K16" s="14"/>
      <c r="L16" s="13"/>
      <c r="M16" s="14">
        <f t="shared" ca="1" si="5"/>
        <v>10307.548755644242</v>
      </c>
      <c r="N16" s="16"/>
      <c r="O16" s="16"/>
      <c r="P16" s="11"/>
      <c r="Q16" s="13"/>
      <c r="R16" s="14">
        <f t="shared" ca="1" si="6"/>
        <v>10307.548755644242</v>
      </c>
      <c r="S16" s="16">
        <f t="shared" ca="1" si="4"/>
        <v>10307.548755644242</v>
      </c>
    </row>
    <row r="17" spans="1:19">
      <c r="A17" s="30" t="s">
        <v>90</v>
      </c>
      <c r="B17" s="21">
        <f ca="1">R2</f>
        <v>37700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37700</v>
      </c>
      <c r="N17" s="19"/>
      <c r="O17" s="19"/>
      <c r="P17" s="21"/>
      <c r="Q17" s="27"/>
      <c r="R17" s="22">
        <f t="shared" ca="1" si="6"/>
        <v>37700</v>
      </c>
      <c r="S17" s="19">
        <f t="shared" ca="1" si="4"/>
        <v>37700</v>
      </c>
    </row>
    <row r="18" spans="1:19">
      <c r="A18" s="29" t="s">
        <v>89</v>
      </c>
      <c r="B18" s="9">
        <f ca="1">B17</f>
        <v>37700</v>
      </c>
      <c r="C18" s="9">
        <f ca="1">SUM(C$2:C$12)</f>
        <v>29273.412498742073</v>
      </c>
      <c r="D18" s="9">
        <f ca="1">SUM(D$2:D$12)</f>
        <v>0</v>
      </c>
      <c r="E18" s="9">
        <f ca="1">$R$5/parameters!$B$4</f>
        <v>13582.413602271481</v>
      </c>
      <c r="F18" s="9">
        <f t="shared" ref="F18:L18" ca="1" si="7">SUM(F$2:F$12)</f>
        <v>20164.179104477615</v>
      </c>
      <c r="G18" s="9">
        <f t="shared" ca="1" si="7"/>
        <v>16246.268656716418</v>
      </c>
      <c r="H18" s="9">
        <f t="shared" ca="1" si="7"/>
        <v>3379.310344827587</v>
      </c>
      <c r="I18" s="9">
        <f t="shared" ca="1" si="7"/>
        <v>37387</v>
      </c>
      <c r="J18" s="9">
        <f t="shared" ca="1" si="7"/>
        <v>18032.000000000004</v>
      </c>
      <c r="K18" s="9">
        <f t="shared" ca="1" si="7"/>
        <v>16127.901894137904</v>
      </c>
      <c r="L18" s="9">
        <f t="shared" ca="1" si="7"/>
        <v>17662.72679943101</v>
      </c>
      <c r="M18" s="17">
        <f ca="1">SUM(B18:L18)</f>
        <v>209555.21290060412</v>
      </c>
      <c r="N18" s="17"/>
      <c r="O18" s="17"/>
      <c r="P18" s="9"/>
      <c r="Q18" s="14"/>
      <c r="R18" s="11">
        <f t="shared" ca="1" si="6"/>
        <v>209555.21290060412</v>
      </c>
      <c r="S18" s="17">
        <f t="shared" ca="1" si="4"/>
        <v>209555.21290060412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0.95699999999999974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0.91128947587125575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3848.6615678776288</v>
      </c>
      <c r="D2" s="9">
        <f ca="1">R4/parameters!$B$3</f>
        <v>5615.1756063198145</v>
      </c>
      <c r="E2" s="9"/>
      <c r="F2" s="9"/>
      <c r="G2" s="9"/>
      <c r="H2" s="9"/>
      <c r="I2" s="9"/>
      <c r="J2" s="9"/>
      <c r="K2" s="9"/>
      <c r="L2" s="12"/>
      <c r="M2" s="17">
        <f ca="1">SUM(B2:L2)</f>
        <v>9463.8371741974443</v>
      </c>
      <c r="N2" s="17"/>
      <c r="O2" s="17">
        <f ca="1">R2-(M2+P2+Q2)</f>
        <v>0</v>
      </c>
      <c r="P2" s="11" cm="1">
        <f t="array" aca="1" ref="P2" ca="1">INDIRECT("'data'!$F$" &amp; $A$1)</f>
        <v>1032.8500000000001</v>
      </c>
      <c r="Q2" s="13">
        <f ca="1">IF(-(M2-R2+P2)&lt;0, -(M2-R2+P2), 0)</f>
        <v>-3484.6871741974446</v>
      </c>
      <c r="R2" s="17" cm="1">
        <f t="array" aca="1" ref="R2" ca="1">INDIRECT("'data'!$D$" &amp; $A$1)</f>
        <v>7012</v>
      </c>
      <c r="S2" s="17">
        <f ca="1">SUM(M2:Q2)</f>
        <v>7012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3765.373134328358</v>
      </c>
      <c r="G3" s="14">
        <f ca="1">R7/parameters!$B$6</f>
        <v>0</v>
      </c>
      <c r="H3" s="14">
        <f ca="1">R3-P3-Q3-F3-G3</f>
        <v>698.8068656716423</v>
      </c>
      <c r="I3" s="14"/>
      <c r="J3" s="14"/>
      <c r="K3" s="14"/>
      <c r="L3" s="13"/>
      <c r="M3" s="16">
        <f t="shared" ref="M3:M11" ca="1" si="0">SUM(B3:L3)</f>
        <v>4464.18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-639.76499999999999</v>
      </c>
      <c r="R3" s="16" cm="1">
        <f t="array" aca="1" ref="R3" ca="1">INDIRECT("'data'!$G$" &amp; $A$1)*parameters!$B$13</f>
        <v>3824.415</v>
      </c>
      <c r="S3" s="16">
        <f t="shared" ref="S3:S11" ca="1" si="2">SUM(M3:Q3)</f>
        <v>3824.4150000000004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5579.8</v>
      </c>
      <c r="I4" s="14"/>
      <c r="J4" s="14"/>
      <c r="K4" s="14"/>
      <c r="L4" s="13"/>
      <c r="M4" s="16">
        <f t="shared" ca="1" si="0"/>
        <v>5579.8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5579.8</v>
      </c>
      <c r="S4" s="16">
        <f t="shared" ca="1" si="2"/>
        <v>5579.8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941.3432835820895</v>
      </c>
      <c r="G5" s="14"/>
      <c r="H5" s="14">
        <f ca="1">R8/parameters!$B$7-(H3+H4)</f>
        <v>5692.3440225206241</v>
      </c>
      <c r="I5" s="14"/>
      <c r="J5" s="14"/>
      <c r="K5" s="14"/>
      <c r="L5" s="13"/>
      <c r="M5" s="16">
        <f t="shared" ca="1" si="0"/>
        <v>6633.6873061027136</v>
      </c>
      <c r="N5" s="16"/>
      <c r="O5" s="16"/>
      <c r="P5" s="11" cm="1">
        <f t="array" aca="1" ref="P5" ca="1">INDIRECT("'data'!$M$" &amp; $A$1)*parameters!$B$15</f>
        <v>549.78</v>
      </c>
      <c r="Q5" s="13" cm="1">
        <f t="array" aca="1" ref="Q5" ca="1">-INDIRECT("'data'!$N$" &amp; $A$1)*parameters!$B$15</f>
        <v>-1421</v>
      </c>
      <c r="R5" s="16">
        <f ca="1">SUM(M5:Q5)</f>
        <v>5762.4673061027133</v>
      </c>
      <c r="S5" s="16">
        <f t="shared" ca="1" si="2"/>
        <v>5762.4673061027133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4414.8999999999996</v>
      </c>
      <c r="J6" s="14"/>
      <c r="K6" s="14"/>
      <c r="L6" s="13"/>
      <c r="M6" s="16">
        <f t="shared" ca="1" si="0"/>
        <v>4414.8999999999996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4414.8999999999996</v>
      </c>
      <c r="S6" s="16">
        <f t="shared" ca="1" si="2"/>
        <v>4414.8999999999996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11456.199999999999</v>
      </c>
      <c r="J8" s="14"/>
      <c r="K8" s="14"/>
      <c r="L8" s="13"/>
      <c r="M8" s="16">
        <f t="shared" ca="1" si="0"/>
        <v>11456.199999999999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11456.199999999999</v>
      </c>
      <c r="S8" s="16">
        <f t="shared" ca="1" si="2"/>
        <v>11456.199999999999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7455.3081673897204</v>
      </c>
      <c r="K9" s="14">
        <f ca="1">R11/K19</f>
        <v>6740.9718326102802</v>
      </c>
      <c r="L9" s="13"/>
      <c r="M9" s="16">
        <f t="shared" ca="1" si="0"/>
        <v>14196.28</v>
      </c>
      <c r="N9" s="16"/>
      <c r="O9" s="16">
        <f t="shared" ca="1" si="3"/>
        <v>0</v>
      </c>
      <c r="P9" s="11" cm="1">
        <f t="array" aca="1" ref="P9" ca="1">INDIRECT("'data'!$R$" &amp; $A$1)*parameters!$B$15</f>
        <v>2539.1799999999998</v>
      </c>
      <c r="Q9" s="13" cm="1">
        <f t="array" aca="1" ref="Q9" ca="1">-INDIRECT("'data'!$S$" &amp; $A$1)*parameters!$B$15</f>
        <v>-864.36</v>
      </c>
      <c r="R9" s="16">
        <f ca="1">SUM(R6:R8)</f>
        <v>15871.099999999999</v>
      </c>
      <c r="S9" s="16">
        <f t="shared" ca="1" si="2"/>
        <v>15871.099999999999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7484.26</v>
      </c>
      <c r="M10" s="16">
        <f t="shared" ca="1" si="0"/>
        <v>7484.26</v>
      </c>
      <c r="N10" s="16"/>
      <c r="O10" s="16">
        <f t="shared" ca="1" si="3"/>
        <v>0</v>
      </c>
      <c r="P10" s="11" cm="1">
        <f t="array" aca="1" ref="P10" ca="1">INDIRECT("'data'!$U$" &amp; $A$1)*parameters!$B$15</f>
        <v>745.78</v>
      </c>
      <c r="Q10" s="13" cm="1">
        <f t="array" aca="1" ref="Q10" ca="1">-INDIRECT("'data'!$V$" &amp; $A$1)*parameters!$B$15</f>
        <v>-1262.24</v>
      </c>
      <c r="R10" s="16" cm="1">
        <f t="array" aca="1" ref="R10" ca="1">INDIRECT("'data'!$T$" &amp; $A$1)*parameters!$B$15</f>
        <v>6967.8</v>
      </c>
      <c r="S10" s="16">
        <f t="shared" ca="1" si="2"/>
        <v>6967.8000000000011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8623.7546514935984</v>
      </c>
      <c r="M11" s="16">
        <f t="shared" ca="1" si="0"/>
        <v>8623.7546514935984</v>
      </c>
      <c r="N11" s="16"/>
      <c r="O11" s="16">
        <f t="shared" ca="1" si="3"/>
        <v>0</v>
      </c>
      <c r="P11" s="11" cm="1">
        <f t="array" aca="1" ref="P11" ca="1">INDIRECT("'data'!$X$" &amp; $A$1)*parameters!$B$15</f>
        <v>1177.96</v>
      </c>
      <c r="Q11" s="13" cm="1">
        <f t="array" aca="1" ref="Q11" ca="1">-INDIRECT("'data'!$Y$" &amp; $A$1)*parameters!$B$15</f>
        <v>-3501.54</v>
      </c>
      <c r="R11" s="16" cm="1">
        <f t="array" aca="1" ref="R11" ca="1">INDIRECT("'data'!$W$" &amp; $A$1)*parameters!$B$15</f>
        <v>6300.1746514935985</v>
      </c>
      <c r="S11" s="16">
        <f t="shared" ca="1" si="2"/>
        <v>6300.1746514935994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14045.913400284495</v>
      </c>
      <c r="O12" s="19"/>
      <c r="P12" s="21" cm="1">
        <f t="array" aca="1" ref="P12" ca="1">INDIRECT("'data'!$Z$" &amp; $A$1)*parameters!$B$15</f>
        <v>7172.62</v>
      </c>
      <c r="Q12" s="27" cm="1">
        <f t="array" aca="1" ref="Q12" ca="1">-INDIRECT("'data'!$AA$" &amp; $A$1)*parameters!$B$15</f>
        <v>-6766.9</v>
      </c>
      <c r="R12" s="16">
        <f ca="1">L10*parameters!$B$10+L11*parameters!$B$11</f>
        <v>14451.633400284494</v>
      </c>
      <c r="S12" s="16">
        <f t="shared" ref="S12:S18" ca="1" si="4">SUM(M12:Q12)</f>
        <v>14451.633400284494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-24.246567877628877</v>
      </c>
      <c r="D13" s="9">
        <f ca="1">-(D18-R4)</f>
        <v>-35.375606319814324</v>
      </c>
      <c r="E13" s="9">
        <f ca="1">-(E18-R5)</f>
        <v>-712.21506030482942</v>
      </c>
      <c r="F13" s="9">
        <f ca="1">-(F18-R6)</f>
        <v>-291.81641791044785</v>
      </c>
      <c r="G13" s="9">
        <f ca="1">-(G18-R7)</f>
        <v>0</v>
      </c>
      <c r="H13" s="9">
        <f ca="1">-(H18-R8)</f>
        <v>-514.75088819226767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-1578.4045406049881</v>
      </c>
      <c r="N13" s="17"/>
      <c r="O13" s="17"/>
      <c r="P13" s="10"/>
      <c r="Q13" s="12"/>
      <c r="R13" s="9">
        <f t="shared" ref="R13:R18" ca="1" si="6">SUM(M13:Q13)</f>
        <v>-1578.4045406049881</v>
      </c>
      <c r="S13" s="17">
        <f t="shared" ca="1" si="4"/>
        <v>-1578.4045406049881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-487.50816738972026</v>
      </c>
      <c r="K14" s="14">
        <f ca="1">-(K18-R11)</f>
        <v>-440.79718111668171</v>
      </c>
      <c r="L14" s="13">
        <f ca="1">-(L18-R12)</f>
        <v>-1656.3812512091044</v>
      </c>
      <c r="M14" s="14">
        <f t="shared" ca="1" si="5"/>
        <v>-2584.6865997155064</v>
      </c>
      <c r="N14" s="16">
        <f ca="1">-E16</f>
        <v>-3889.9957666920363</v>
      </c>
      <c r="O14" s="16"/>
      <c r="P14" s="11"/>
      <c r="Q14" s="13"/>
      <c r="R14" s="14">
        <f t="shared" ca="1" si="6"/>
        <v>-6474.6823664075428</v>
      </c>
      <c r="S14" s="16">
        <f t="shared" ca="1" si="4"/>
        <v>-6474.6823664075428</v>
      </c>
    </row>
    <row r="15" spans="1:21">
      <c r="A15" s="18" t="s">
        <v>79</v>
      </c>
      <c r="B15" s="11"/>
      <c r="C15" s="14"/>
      <c r="D15" s="14"/>
      <c r="E15" s="14">
        <f ca="1">-(J14+K14)-L14</f>
        <v>2584.6865997155064</v>
      </c>
      <c r="F15" s="14"/>
      <c r="G15" s="14"/>
      <c r="H15" s="14"/>
      <c r="I15" s="14"/>
      <c r="J15" s="14"/>
      <c r="K15" s="14"/>
      <c r="L15" s="13"/>
      <c r="M15" s="14">
        <f t="shared" ca="1" si="5"/>
        <v>2584.6865997155064</v>
      </c>
      <c r="N15" s="16"/>
      <c r="O15" s="16"/>
      <c r="P15" s="11"/>
      <c r="Q15" s="13"/>
      <c r="R15" s="14">
        <f t="shared" ca="1" si="6"/>
        <v>2584.6865997155064</v>
      </c>
      <c r="S15" s="16">
        <f t="shared" ca="1" si="4"/>
        <v>2584.6865997155064</v>
      </c>
    </row>
    <row r="16" spans="1:21">
      <c r="A16" s="18" t="s">
        <v>80</v>
      </c>
      <c r="B16" s="11"/>
      <c r="C16" s="14"/>
      <c r="D16" s="14"/>
      <c r="E16" s="14">
        <f ca="1">E18-E15</f>
        <v>3889.9957666920363</v>
      </c>
      <c r="F16" s="14"/>
      <c r="G16" s="14"/>
      <c r="H16" s="14"/>
      <c r="I16" s="14"/>
      <c r="J16" s="14"/>
      <c r="K16" s="14"/>
      <c r="L16" s="13"/>
      <c r="M16" s="14">
        <f t="shared" ca="1" si="5"/>
        <v>3889.9957666920363</v>
      </c>
      <c r="N16" s="16"/>
      <c r="O16" s="16"/>
      <c r="P16" s="11"/>
      <c r="Q16" s="13"/>
      <c r="R16" s="14">
        <f t="shared" ca="1" si="6"/>
        <v>3889.9957666920363</v>
      </c>
      <c r="S16" s="16">
        <f t="shared" ca="1" si="4"/>
        <v>3889.9957666920363</v>
      </c>
    </row>
    <row r="17" spans="1:19">
      <c r="A17" s="30" t="s">
        <v>90</v>
      </c>
      <c r="B17" s="21">
        <f ca="1">R2</f>
        <v>7012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7012</v>
      </c>
      <c r="N17" s="19"/>
      <c r="O17" s="19"/>
      <c r="P17" s="21"/>
      <c r="Q17" s="27"/>
      <c r="R17" s="22">
        <f t="shared" ca="1" si="6"/>
        <v>7012</v>
      </c>
      <c r="S17" s="19">
        <f t="shared" ca="1" si="4"/>
        <v>7012</v>
      </c>
    </row>
    <row r="18" spans="1:19">
      <c r="A18" s="29" t="s">
        <v>89</v>
      </c>
      <c r="B18" s="9">
        <f ca="1">B17</f>
        <v>7012</v>
      </c>
      <c r="C18" s="9">
        <f ca="1">SUM(C$2:C$12)</f>
        <v>3848.6615678776288</v>
      </c>
      <c r="D18" s="9">
        <f ca="1">SUM(D$2:D$12)</f>
        <v>5615.1756063198145</v>
      </c>
      <c r="E18" s="9">
        <f ca="1">$R$5/parameters!$B$4</f>
        <v>6474.6823664075428</v>
      </c>
      <c r="F18" s="9">
        <f t="shared" ref="F18:L18" ca="1" si="7">SUM(F$2:F$12)</f>
        <v>4706.7164179104475</v>
      </c>
      <c r="G18" s="9">
        <f t="shared" ca="1" si="7"/>
        <v>0</v>
      </c>
      <c r="H18" s="9">
        <f t="shared" ca="1" si="7"/>
        <v>11970.950888192267</v>
      </c>
      <c r="I18" s="9">
        <f t="shared" ca="1" si="7"/>
        <v>15871.099999999999</v>
      </c>
      <c r="J18" s="9">
        <f t="shared" ca="1" si="7"/>
        <v>7455.3081673897204</v>
      </c>
      <c r="K18" s="9">
        <f t="shared" ca="1" si="7"/>
        <v>6740.9718326102802</v>
      </c>
      <c r="L18" s="9">
        <f t="shared" ca="1" si="7"/>
        <v>16108.014651493599</v>
      </c>
      <c r="M18" s="17">
        <f ca="1">SUM(B18:L18)</f>
        <v>85803.581498201296</v>
      </c>
      <c r="N18" s="17"/>
      <c r="O18" s="17"/>
      <c r="P18" s="9"/>
      <c r="Q18" s="14"/>
      <c r="R18" s="11">
        <f t="shared" ca="1" si="6"/>
        <v>85803.581498201296</v>
      </c>
      <c r="S18" s="17">
        <f t="shared" ca="1" si="4"/>
        <v>85803.581498201296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0.93460925337437684</v>
      </c>
      <c r="K19" s="39">
        <f ca="1">J19</f>
        <v>0.93460925337437684</v>
      </c>
      <c r="L19" s="40">
        <f ca="1">1-(-L14)/L18</f>
        <v>0.89717036599196798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108.93383398516603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108.93383398516603</v>
      </c>
      <c r="N2" s="17"/>
      <c r="O2" s="17">
        <f ca="1">R2-(M2+P2+Q2)</f>
        <v>0</v>
      </c>
      <c r="P2" s="11" cm="1">
        <f t="array" aca="1" ref="P2" ca="1">INDIRECT("'data'!$F$" &amp; $A$1)</f>
        <v>780</v>
      </c>
      <c r="Q2" s="13">
        <f ca="1">IF(-(M2-R2+P2)&lt;0, -(M2-R2+P2), 0)</f>
        <v>-602.73477219860979</v>
      </c>
      <c r="R2" s="17" cm="1">
        <f t="array" aca="1" ref="R2" ca="1">INDIRECT("'data'!$D$" &amp; $A$1)</f>
        <v>286.19906178655629</v>
      </c>
      <c r="S2" s="17">
        <f ca="1">SUM(M2:Q2)</f>
        <v>286.19906178655629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121.47755083105949</v>
      </c>
      <c r="I3" s="14"/>
      <c r="J3" s="14"/>
      <c r="K3" s="14"/>
      <c r="L3" s="13"/>
      <c r="M3" s="16">
        <f t="shared" ref="M3:M11" ca="1" si="0">SUM(B3:L3)</f>
        <v>121.47755083105949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-13.229999999999999</v>
      </c>
      <c r="R3" s="16" cm="1">
        <f t="array" aca="1" ref="R3" ca="1">INDIRECT("'data'!$G$" &amp; $A$1)*parameters!$B$13</f>
        <v>108.24755083105948</v>
      </c>
      <c r="S3" s="16">
        <f t="shared" ref="S3:S11" ca="1" si="2">SUM(M3:Q3)</f>
        <v>108.24755083105948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789.91220883456219</v>
      </c>
      <c r="I5" s="14"/>
      <c r="J5" s="14"/>
      <c r="K5" s="14"/>
      <c r="L5" s="13"/>
      <c r="M5" s="16">
        <f t="shared" ca="1" si="0"/>
        <v>789.91220883456219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-176.4</v>
      </c>
      <c r="R5" s="16">
        <f ca="1">SUM(M5:Q5)</f>
        <v>613.51220883456222</v>
      </c>
      <c r="S5" s="16">
        <f t="shared" ca="1" si="2"/>
        <v>613.51220883456222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872.19999999999993</v>
      </c>
      <c r="J8" s="14"/>
      <c r="K8" s="14"/>
      <c r="L8" s="13"/>
      <c r="M8" s="16">
        <f t="shared" ca="1" si="0"/>
        <v>872.19999999999993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872.19999999999993</v>
      </c>
      <c r="S8" s="16">
        <f t="shared" ca="1" si="2"/>
        <v>872.19999999999993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3367.0736842105262</v>
      </c>
      <c r="K9" s="14">
        <f ca="1">R11/K19</f>
        <v>0</v>
      </c>
      <c r="L9" s="13"/>
      <c r="M9" s="16">
        <f t="shared" ca="1" si="0"/>
        <v>3367.0736842105262</v>
      </c>
      <c r="N9" s="16"/>
      <c r="O9" s="16">
        <f t="shared" ca="1" si="3"/>
        <v>-380.03368421052608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-2114.84</v>
      </c>
      <c r="R9" s="16">
        <f ca="1">SUM(R6:R8)</f>
        <v>872.19999999999993</v>
      </c>
      <c r="S9" s="16">
        <f t="shared" ca="1" si="2"/>
        <v>872.19999999999982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3219.2999999999997</v>
      </c>
      <c r="M10" s="16">
        <f t="shared" ca="1" si="0"/>
        <v>3219.2999999999997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147</v>
      </c>
      <c r="Q10" s="13" cm="1">
        <f t="array" aca="1" ref="Q10" ca="1">-INDIRECT("'data'!$V$" &amp; $A$1)*parameters!$B$15</f>
        <v>-167.57999999999998</v>
      </c>
      <c r="R10" s="16" cm="1">
        <f t="array" aca="1" ref="R10" ca="1">INDIRECT("'data'!$T$" &amp; $A$1)*parameters!$B$15</f>
        <v>3198.72</v>
      </c>
      <c r="S10" s="16">
        <f t="shared" ca="1" si="2"/>
        <v>3198.72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2179.52</v>
      </c>
      <c r="M11" s="16">
        <f t="shared" ca="1" si="0"/>
        <v>2179.52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-2179.52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5304.2891999999983</v>
      </c>
      <c r="O12" s="19"/>
      <c r="P12" s="21" cm="1">
        <f t="array" aca="1" ref="P12" ca="1">INDIRECT("'data'!$Z$" &amp; $A$1)*parameters!$B$15</f>
        <v>142.1</v>
      </c>
      <c r="Q12" s="27" cm="1">
        <f t="array" aca="1" ref="Q12" ca="1">-INDIRECT("'data'!$AA$" &amp; $A$1)*parameters!$B$15</f>
        <v>-545.86</v>
      </c>
      <c r="R12" s="16">
        <f ca="1">L10*parameters!$B$10+L11*parameters!$B$11</f>
        <v>4900.529199999999</v>
      </c>
      <c r="S12" s="16">
        <f t="shared" ref="S12:S18" ca="1" si="4">SUM(M12:Q12)</f>
        <v>4900.529199999999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-0.6862831541065475</v>
      </c>
      <c r="D13" s="9">
        <f ca="1">-(D18-R4)</f>
        <v>0</v>
      </c>
      <c r="E13" s="9">
        <f ca="1">-(E18-R5)</f>
        <v>-75.827351653709911</v>
      </c>
      <c r="F13" s="9">
        <f ca="1">-(F18-R6)</f>
        <v>0</v>
      </c>
      <c r="G13" s="9">
        <f ca="1">-(G18-R7)</f>
        <v>0</v>
      </c>
      <c r="H13" s="9">
        <f ca="1">-(H18-R8)</f>
        <v>-39.18975966562175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-115.70339447343821</v>
      </c>
      <c r="N13" s="17"/>
      <c r="O13" s="17"/>
      <c r="P13" s="10"/>
      <c r="Q13" s="12"/>
      <c r="R13" s="9">
        <f t="shared" ref="R13:R18" ca="1" si="6">SUM(M13:Q13)</f>
        <v>-115.70339447343821</v>
      </c>
      <c r="S13" s="17">
        <f t="shared" ca="1" si="4"/>
        <v>-115.70339447343821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-168.35368421052635</v>
      </c>
      <c r="K14" s="14">
        <f ca="1">-(K18-R11)</f>
        <v>0</v>
      </c>
      <c r="L14" s="13">
        <f ca="1">-(L18-R12)</f>
        <v>-498.29080000000067</v>
      </c>
      <c r="M14" s="14">
        <f t="shared" ca="1" si="5"/>
        <v>-666.64448421052703</v>
      </c>
      <c r="N14" s="16">
        <f ca="1">-E16</f>
        <v>-22.695076277745102</v>
      </c>
      <c r="O14" s="16"/>
      <c r="P14" s="11"/>
      <c r="Q14" s="13"/>
      <c r="R14" s="14">
        <f t="shared" ca="1" si="6"/>
        <v>-689.33956048827213</v>
      </c>
      <c r="S14" s="16">
        <f t="shared" ca="1" si="4"/>
        <v>-689.33956048827213</v>
      </c>
    </row>
    <row r="15" spans="1:21">
      <c r="A15" s="18" t="s">
        <v>79</v>
      </c>
      <c r="B15" s="11"/>
      <c r="C15" s="14"/>
      <c r="D15" s="14"/>
      <c r="E15" s="14">
        <f ca="1">-(J14+K14)-L14</f>
        <v>666.64448421052703</v>
      </c>
      <c r="F15" s="14"/>
      <c r="G15" s="14"/>
      <c r="H15" s="14"/>
      <c r="I15" s="14"/>
      <c r="J15" s="14"/>
      <c r="K15" s="14"/>
      <c r="L15" s="13"/>
      <c r="M15" s="14">
        <f t="shared" ca="1" si="5"/>
        <v>666.64448421052703</v>
      </c>
      <c r="N15" s="16"/>
      <c r="O15" s="16"/>
      <c r="P15" s="11"/>
      <c r="Q15" s="13"/>
      <c r="R15" s="14">
        <f t="shared" ca="1" si="6"/>
        <v>666.64448421052703</v>
      </c>
      <c r="S15" s="16">
        <f t="shared" ca="1" si="4"/>
        <v>666.64448421052703</v>
      </c>
    </row>
    <row r="16" spans="1:21">
      <c r="A16" s="18" t="s">
        <v>80</v>
      </c>
      <c r="B16" s="11"/>
      <c r="C16" s="14"/>
      <c r="D16" s="14"/>
      <c r="E16" s="14">
        <f ca="1">E18-E15</f>
        <v>22.695076277745102</v>
      </c>
      <c r="F16" s="14"/>
      <c r="G16" s="14"/>
      <c r="H16" s="14"/>
      <c r="I16" s="14"/>
      <c r="J16" s="14"/>
      <c r="K16" s="14"/>
      <c r="L16" s="13"/>
      <c r="M16" s="14">
        <f t="shared" ca="1" si="5"/>
        <v>22.695076277745102</v>
      </c>
      <c r="N16" s="16"/>
      <c r="O16" s="16"/>
      <c r="P16" s="11"/>
      <c r="Q16" s="13"/>
      <c r="R16" s="14">
        <f t="shared" ca="1" si="6"/>
        <v>22.695076277745102</v>
      </c>
      <c r="S16" s="16">
        <f t="shared" ca="1" si="4"/>
        <v>22.695076277745102</v>
      </c>
    </row>
    <row r="17" spans="1:19">
      <c r="A17" s="30" t="s">
        <v>90</v>
      </c>
      <c r="B17" s="21">
        <f ca="1">R2</f>
        <v>286.19906178655629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286.19906178655629</v>
      </c>
      <c r="N17" s="19"/>
      <c r="O17" s="19"/>
      <c r="P17" s="21"/>
      <c r="Q17" s="27"/>
      <c r="R17" s="22">
        <f t="shared" ca="1" si="6"/>
        <v>286.19906178655629</v>
      </c>
      <c r="S17" s="19">
        <f t="shared" ca="1" si="4"/>
        <v>286.19906178655629</v>
      </c>
    </row>
    <row r="18" spans="1:19">
      <c r="A18" s="29" t="s">
        <v>89</v>
      </c>
      <c r="B18" s="9">
        <f ca="1">B17</f>
        <v>286.19906178655629</v>
      </c>
      <c r="C18" s="9">
        <f ca="1">SUM(C$2:C$12)</f>
        <v>108.93383398516603</v>
      </c>
      <c r="D18" s="9">
        <f ca="1">SUM(D$2:D$12)</f>
        <v>0</v>
      </c>
      <c r="E18" s="9">
        <f ca="1">$R$5/parameters!$B$4</f>
        <v>689.33956048827213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911.38975966562168</v>
      </c>
      <c r="I18" s="9">
        <f t="shared" ca="1" si="7"/>
        <v>872.19999999999993</v>
      </c>
      <c r="J18" s="9">
        <f t="shared" ca="1" si="7"/>
        <v>3367.0736842105262</v>
      </c>
      <c r="K18" s="9">
        <f t="shared" ca="1" si="7"/>
        <v>0</v>
      </c>
      <c r="L18" s="9">
        <f t="shared" ca="1" si="7"/>
        <v>5398.82</v>
      </c>
      <c r="M18" s="17">
        <f ca="1">SUM(B18:L18)</f>
        <v>11633.955900136141</v>
      </c>
      <c r="N18" s="17"/>
      <c r="O18" s="17"/>
      <c r="P18" s="9"/>
      <c r="Q18" s="14"/>
      <c r="R18" s="11">
        <f t="shared" ca="1" si="6"/>
        <v>11633.955900136141</v>
      </c>
      <c r="S18" s="17">
        <f t="shared" ca="1" si="4"/>
        <v>11633.955900136141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0.90770375748774723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12082.343765724059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12082.343765724059</v>
      </c>
      <c r="N2" s="17"/>
      <c r="O2" s="17">
        <f ca="1">R2-(M2+P2+Q2)</f>
        <v>0</v>
      </c>
      <c r="P2" s="11" cm="1">
        <f t="array" aca="1" ref="P2" ca="1">INDIRECT("'data'!$F$" &amp; $A$1)</f>
        <v>69.55</v>
      </c>
      <c r="Q2" s="13">
        <f ca="1">IF(-(M2-R2+P2)&lt;0, -(M2-R2+P2), 0)</f>
        <v>-12151.893765724059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10180.298507462687</v>
      </c>
      <c r="G3" s="14">
        <f ca="1">R7/parameters!$B$6</f>
        <v>0</v>
      </c>
      <c r="H3" s="14">
        <f ca="1">R3-P3-Q3-F3-G3</f>
        <v>2061.2314925373121</v>
      </c>
      <c r="I3" s="14"/>
      <c r="J3" s="14"/>
      <c r="K3" s="14"/>
      <c r="L3" s="13"/>
      <c r="M3" s="16">
        <f t="shared" ref="M3:M11" ca="1" si="0">SUM(B3:L3)</f>
        <v>12241.529999999999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-235.30499999999998</v>
      </c>
      <c r="R3" s="16" cm="1">
        <f t="array" aca="1" ref="R3" ca="1">INDIRECT("'data'!$G$" &amp; $A$1)*parameters!$B$13</f>
        <v>12006.224999999999</v>
      </c>
      <c r="S3" s="16">
        <f t="shared" ref="S3:S11" ca="1" si="2">SUM(M3:Q3)</f>
        <v>12006.224999999999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156.4</v>
      </c>
      <c r="I4" s="14"/>
      <c r="J4" s="14"/>
      <c r="K4" s="14"/>
      <c r="L4" s="13"/>
      <c r="M4" s="16">
        <f t="shared" ca="1" si="0"/>
        <v>156.4</v>
      </c>
      <c r="N4" s="16"/>
      <c r="O4" s="16">
        <f t="shared" ca="1" si="1"/>
        <v>0</v>
      </c>
      <c r="P4" s="11" cm="1">
        <f t="array" aca="1" ref="P4" ca="1">INDIRECT("'data'!$K$" &amp; $A$1)*parameters!$B$14</f>
        <v>3.68</v>
      </c>
      <c r="Q4" s="13" cm="1">
        <f t="array" aca="1" ref="Q4" ca="1">-INDIRECT("'data'!$L$" &amp; $A$1)*parameters!$B$14</f>
        <v>-160.08000000000001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2545.0746268656717</v>
      </c>
      <c r="G5" s="14"/>
      <c r="H5" s="14">
        <f ca="1">R8/parameters!$B$7-(H3+H4)</f>
        <v>5255.7645367207861</v>
      </c>
      <c r="I5" s="14"/>
      <c r="J5" s="14"/>
      <c r="K5" s="14"/>
      <c r="L5" s="13"/>
      <c r="M5" s="16">
        <f t="shared" ca="1" si="0"/>
        <v>7800.8391635864573</v>
      </c>
      <c r="N5" s="16"/>
      <c r="O5" s="16"/>
      <c r="P5" s="11" cm="1">
        <f t="array" aca="1" ref="P5" ca="1">INDIRECT("'data'!$M$" &amp; $A$1)*parameters!$B$15</f>
        <v>4906.8599999999997</v>
      </c>
      <c r="Q5" s="13" cm="1">
        <f t="array" aca="1" ref="Q5" ca="1">-INDIRECT("'data'!$N$" &amp; $A$1)*parameters!$B$15</f>
        <v>-2765.56</v>
      </c>
      <c r="R5" s="16">
        <f ca="1">SUM(M5:Q5)</f>
        <v>9942.1391635864584</v>
      </c>
      <c r="S5" s="16">
        <f t="shared" ca="1" si="2"/>
        <v>9942.1391635864584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11936.4</v>
      </c>
      <c r="J6" s="14"/>
      <c r="K6" s="14"/>
      <c r="L6" s="13"/>
      <c r="M6" s="16">
        <f t="shared" ca="1" si="0"/>
        <v>11936.4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11936.4</v>
      </c>
      <c r="S6" s="16">
        <f t="shared" ca="1" si="2"/>
        <v>11936.4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7152.04</v>
      </c>
      <c r="J8" s="14"/>
      <c r="K8" s="14"/>
      <c r="L8" s="13"/>
      <c r="M8" s="16">
        <f t="shared" ca="1" si="0"/>
        <v>7152.04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7152.04</v>
      </c>
      <c r="S8" s="16">
        <f t="shared" ca="1" si="2"/>
        <v>7152.04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5258.4701010880481</v>
      </c>
      <c r="K9" s="14">
        <f ca="1">R11/K19</f>
        <v>11581.849898911953</v>
      </c>
      <c r="L9" s="13"/>
      <c r="M9" s="16">
        <f t="shared" ca="1" si="0"/>
        <v>16840.32</v>
      </c>
      <c r="N9" s="16"/>
      <c r="O9" s="16">
        <f t="shared" ca="1" si="3"/>
        <v>0</v>
      </c>
      <c r="P9" s="11" cm="1">
        <f t="array" aca="1" ref="P9" ca="1">INDIRECT("'data'!$R$" &amp; $A$1)*parameters!$B$15</f>
        <v>3836.7</v>
      </c>
      <c r="Q9" s="13" cm="1">
        <f t="array" aca="1" ref="Q9" ca="1">-INDIRECT("'data'!$S$" &amp; $A$1)*parameters!$B$15</f>
        <v>-1588.58</v>
      </c>
      <c r="R9" s="16">
        <f ca="1">SUM(R6:R8)</f>
        <v>19088.439999999999</v>
      </c>
      <c r="S9" s="16">
        <f t="shared" ca="1" si="2"/>
        <v>19088.440000000002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5608.54</v>
      </c>
      <c r="M10" s="16">
        <f t="shared" ca="1" si="0"/>
        <v>5608.54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2793</v>
      </c>
      <c r="Q10" s="13" cm="1">
        <f t="array" aca="1" ref="Q10" ca="1">-INDIRECT("'data'!$V$" &amp; $A$1)*parameters!$B$15</f>
        <v>-3431.96</v>
      </c>
      <c r="R10" s="16" cm="1">
        <f t="array" aca="1" ref="R10" ca="1">INDIRECT("'data'!$T$" &amp; $A$1)*parameters!$B$15</f>
        <v>4969.58</v>
      </c>
      <c r="S10" s="16">
        <f t="shared" ca="1" si="2"/>
        <v>4969.5800000000008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9993.0056330014213</v>
      </c>
      <c r="M11" s="16">
        <f t="shared" ca="1" si="0"/>
        <v>9993.0056330014213</v>
      </c>
      <c r="N11" s="16"/>
      <c r="O11" s="16">
        <f t="shared" ca="1" si="3"/>
        <v>0</v>
      </c>
      <c r="P11" s="11" cm="1">
        <f t="array" aca="1" ref="P11" ca="1">INDIRECT("'data'!$X$" &amp; $A$1)*parameters!$B$15</f>
        <v>9263.94</v>
      </c>
      <c r="Q11" s="13" cm="1">
        <f t="array" aca="1" ref="Q11" ca="1">-INDIRECT("'data'!$Y$" &amp; $A$1)*parameters!$B$15</f>
        <v>-8311.3799999999992</v>
      </c>
      <c r="R11" s="16" cm="1">
        <f t="array" aca="1" ref="R11" ca="1">INDIRECT("'data'!$W$" &amp; $A$1)*parameters!$B$15</f>
        <v>10945.565633001423</v>
      </c>
      <c r="S11" s="16">
        <f t="shared" ca="1" si="2"/>
        <v>10945.565633001423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14634.332444381222</v>
      </c>
      <c r="O12" s="19"/>
      <c r="P12" s="21" cm="1">
        <f t="array" aca="1" ref="P12" ca="1">INDIRECT("'data'!$Z$" &amp; $A$1)*parameters!$B$15</f>
        <v>9999.92</v>
      </c>
      <c r="Q12" s="27" cm="1">
        <f t="array" aca="1" ref="Q12" ca="1">-INDIRECT("'data'!$AA$" &amp; $A$1)*parameters!$B$15</f>
        <v>-10768.24</v>
      </c>
      <c r="R12" s="16">
        <f ca="1">L10*parameters!$B$10+L11*parameters!$B$11</f>
        <v>13866.012444381222</v>
      </c>
      <c r="S12" s="16">
        <f t="shared" ref="S12:S18" ca="1" si="4">SUM(M12:Q12)</f>
        <v>13866.012444381222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-76.118765724060722</v>
      </c>
      <c r="D13" s="9">
        <f ca="1">-(D18-R4)</f>
        <v>0</v>
      </c>
      <c r="E13" s="9">
        <f ca="1">-(E18-R5)</f>
        <v>-1228.803716847764</v>
      </c>
      <c r="F13" s="9">
        <f ca="1">-(F18-R6)</f>
        <v>-788.97313432835836</v>
      </c>
      <c r="G13" s="9">
        <f ca="1">-(G18-R7)</f>
        <v>0</v>
      </c>
      <c r="H13" s="9">
        <f ca="1">-(H18-R8)</f>
        <v>-321.35602925809781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-2415.2516461582809</v>
      </c>
      <c r="N13" s="17"/>
      <c r="O13" s="17"/>
      <c r="P13" s="10"/>
      <c r="Q13" s="12"/>
      <c r="R13" s="9">
        <f t="shared" ref="R13:R18" ca="1" si="6">SUM(M13:Q13)</f>
        <v>-2415.2516461582809</v>
      </c>
      <c r="S13" s="17">
        <f t="shared" ca="1" si="4"/>
        <v>-2415.2516461582809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-288.89010108804814</v>
      </c>
      <c r="K14" s="14">
        <f ca="1">-(K18-R11)</f>
        <v>-636.28426591052994</v>
      </c>
      <c r="L14" s="13">
        <f ca="1">-(L18-R12)</f>
        <v>-1735.5331886201984</v>
      </c>
      <c r="M14" s="14">
        <f t="shared" ca="1" si="5"/>
        <v>-2660.7075556187765</v>
      </c>
      <c r="N14" s="16">
        <f ca="1">-E16</f>
        <v>-8510.2353248154468</v>
      </c>
      <c r="O14" s="16"/>
      <c r="P14" s="11"/>
      <c r="Q14" s="13"/>
      <c r="R14" s="14">
        <f t="shared" ca="1" si="6"/>
        <v>-11170.942880434224</v>
      </c>
      <c r="S14" s="16">
        <f t="shared" ca="1" si="4"/>
        <v>-11170.942880434224</v>
      </c>
    </row>
    <row r="15" spans="1:21">
      <c r="A15" s="18" t="s">
        <v>79</v>
      </c>
      <c r="B15" s="11"/>
      <c r="C15" s="14"/>
      <c r="D15" s="14"/>
      <c r="E15" s="14">
        <f ca="1">-(J14+K14)-L14</f>
        <v>2660.7075556187765</v>
      </c>
      <c r="F15" s="14"/>
      <c r="G15" s="14"/>
      <c r="H15" s="14"/>
      <c r="I15" s="14"/>
      <c r="J15" s="14"/>
      <c r="K15" s="14"/>
      <c r="L15" s="13"/>
      <c r="M15" s="14">
        <f t="shared" ca="1" si="5"/>
        <v>2660.7075556187765</v>
      </c>
      <c r="N15" s="16"/>
      <c r="O15" s="16"/>
      <c r="P15" s="11"/>
      <c r="Q15" s="13"/>
      <c r="R15" s="14">
        <f t="shared" ca="1" si="6"/>
        <v>2660.7075556187765</v>
      </c>
      <c r="S15" s="16">
        <f t="shared" ca="1" si="4"/>
        <v>2660.7075556187765</v>
      </c>
    </row>
    <row r="16" spans="1:21">
      <c r="A16" s="18" t="s">
        <v>80</v>
      </c>
      <c r="B16" s="11"/>
      <c r="C16" s="14"/>
      <c r="D16" s="14"/>
      <c r="E16" s="14">
        <f ca="1">E18-E15</f>
        <v>8510.2353248154468</v>
      </c>
      <c r="F16" s="14"/>
      <c r="G16" s="14"/>
      <c r="H16" s="14"/>
      <c r="I16" s="14"/>
      <c r="J16" s="14"/>
      <c r="K16" s="14"/>
      <c r="L16" s="13"/>
      <c r="M16" s="14">
        <f t="shared" ca="1" si="5"/>
        <v>8510.2353248154468</v>
      </c>
      <c r="N16" s="16"/>
      <c r="O16" s="16"/>
      <c r="P16" s="11"/>
      <c r="Q16" s="13"/>
      <c r="R16" s="14">
        <f t="shared" ca="1" si="6"/>
        <v>8510.2353248154468</v>
      </c>
      <c r="S16" s="16">
        <f t="shared" ca="1" si="4"/>
        <v>8510.2353248154468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12082.343765724059</v>
      </c>
      <c r="D18" s="9">
        <f ca="1">SUM(D$2:D$12)</f>
        <v>0</v>
      </c>
      <c r="E18" s="9">
        <f ca="1">$R$5/parameters!$B$4</f>
        <v>11170.942880434222</v>
      </c>
      <c r="F18" s="9">
        <f t="shared" ref="F18:L18" ca="1" si="7">SUM(F$2:F$12)</f>
        <v>12725.373134328358</v>
      </c>
      <c r="G18" s="9">
        <f t="shared" ca="1" si="7"/>
        <v>0</v>
      </c>
      <c r="H18" s="9">
        <f t="shared" ca="1" si="7"/>
        <v>7473.3960292580978</v>
      </c>
      <c r="I18" s="9">
        <f t="shared" ca="1" si="7"/>
        <v>19088.439999999999</v>
      </c>
      <c r="J18" s="9">
        <f t="shared" ca="1" si="7"/>
        <v>5258.4701010880481</v>
      </c>
      <c r="K18" s="9">
        <f t="shared" ca="1" si="7"/>
        <v>11581.849898911953</v>
      </c>
      <c r="L18" s="9">
        <f t="shared" ca="1" si="7"/>
        <v>15601.54563300142</v>
      </c>
      <c r="M18" s="17">
        <f ca="1">SUM(B18:L18)</f>
        <v>94982.361442746158</v>
      </c>
      <c r="N18" s="17"/>
      <c r="O18" s="17"/>
      <c r="P18" s="9"/>
      <c r="Q18" s="14"/>
      <c r="R18" s="11">
        <f t="shared" ca="1" si="6"/>
        <v>94982.361442746158</v>
      </c>
      <c r="S18" s="17">
        <f t="shared" ca="1" si="4"/>
        <v>94982.361442746158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0.94506194852600323</v>
      </c>
      <c r="K19" s="39">
        <f ca="1">J19</f>
        <v>0.94506194852600323</v>
      </c>
      <c r="L19" s="40">
        <f ca="1">1-(-L14)/L18</f>
        <v>0.88875889418615783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3956.1235785448321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3956.1235785448321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-3956.1235785448321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3644.1791044776123</v>
      </c>
      <c r="G3" s="14">
        <f ca="1">R7/parameters!$B$6</f>
        <v>0</v>
      </c>
      <c r="H3" s="14">
        <f ca="1">R3-P3-Q3-F3-G3</f>
        <v>1036.4058955223877</v>
      </c>
      <c r="I3" s="14"/>
      <c r="J3" s="14"/>
      <c r="K3" s="14"/>
      <c r="L3" s="13"/>
      <c r="M3" s="16">
        <f t="shared" ref="M3:M11" ca="1" si="0">SUM(B3:L3)</f>
        <v>4680.585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12.285</v>
      </c>
      <c r="Q3" s="13" cm="1">
        <f t="array" aca="1" ref="Q3" ca="1">-INDIRECT("'data'!$I$" &amp; $A$1)*parameters!$B$13</f>
        <v>-761.67</v>
      </c>
      <c r="R3" s="16" cm="1">
        <f t="array" aca="1" ref="R3" ca="1">INDIRECT("'data'!$G$" &amp; $A$1)*parameters!$B$13</f>
        <v>3931.2</v>
      </c>
      <c r="S3" s="16">
        <f t="shared" ref="S3:S11" ca="1" si="2">SUM(M3:Q3)</f>
        <v>3931.2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403.88000000000005</v>
      </c>
      <c r="I4" s="14"/>
      <c r="J4" s="14"/>
      <c r="K4" s="14"/>
      <c r="L4" s="13"/>
      <c r="M4" s="16">
        <f t="shared" ca="1" si="0"/>
        <v>403.88000000000005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-405.72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911.0447761194032</v>
      </c>
      <c r="G5" s="14"/>
      <c r="H5" s="14">
        <f ca="1">R8/parameters!$B$7-(H3+H4)</f>
        <v>12349.348378249819</v>
      </c>
      <c r="I5" s="14"/>
      <c r="J5" s="14"/>
      <c r="K5" s="14"/>
      <c r="L5" s="13"/>
      <c r="M5" s="16">
        <f t="shared" ca="1" si="0"/>
        <v>13260.393154369222</v>
      </c>
      <c r="N5" s="16"/>
      <c r="O5" s="16"/>
      <c r="P5" s="11" cm="1">
        <f t="array" aca="1" ref="P5" ca="1">INDIRECT("'data'!$M$" &amp; $A$1)*parameters!$B$15</f>
        <v>137.19999999999999</v>
      </c>
      <c r="Q5" s="13" cm="1">
        <f t="array" aca="1" ref="Q5" ca="1">-INDIRECT("'data'!$N$" &amp; $A$1)*parameters!$B$15</f>
        <v>-6835.5</v>
      </c>
      <c r="R5" s="16">
        <f ca="1">SUM(M5:Q5)</f>
        <v>6562.0931543692222</v>
      </c>
      <c r="S5" s="16">
        <f t="shared" ca="1" si="2"/>
        <v>6562.0931543692222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4272.8</v>
      </c>
      <c r="J6" s="14"/>
      <c r="K6" s="14"/>
      <c r="L6" s="13"/>
      <c r="M6" s="16">
        <f t="shared" ca="1" si="0"/>
        <v>4272.8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4272.8</v>
      </c>
      <c r="S6" s="16">
        <f t="shared" ca="1" si="2"/>
        <v>4272.8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13196.68</v>
      </c>
      <c r="J8" s="14"/>
      <c r="K8" s="14"/>
      <c r="L8" s="13"/>
      <c r="M8" s="16">
        <f t="shared" ca="1" si="0"/>
        <v>13196.68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13196.68</v>
      </c>
      <c r="S8" s="16">
        <f t="shared" ca="1" si="2"/>
        <v>13196.68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12952.509759385406</v>
      </c>
      <c r="K9" s="14">
        <f ca="1">R11/K19</f>
        <v>5595.9502406145939</v>
      </c>
      <c r="L9" s="13"/>
      <c r="M9" s="16">
        <f t="shared" ca="1" si="0"/>
        <v>18548.46</v>
      </c>
      <c r="N9" s="16"/>
      <c r="O9" s="16">
        <f t="shared" ca="1" si="3"/>
        <v>0</v>
      </c>
      <c r="P9" s="11" cm="1">
        <f t="array" aca="1" ref="P9" ca="1">INDIRECT("'data'!$R$" &amp; $A$1)*parameters!$B$15</f>
        <v>115.64</v>
      </c>
      <c r="Q9" s="13" cm="1">
        <f t="array" aca="1" ref="Q9" ca="1">-INDIRECT("'data'!$S$" &amp; $A$1)*parameters!$B$15</f>
        <v>-1194.6199999999999</v>
      </c>
      <c r="R9" s="16">
        <f ca="1">SUM(R6:R8)</f>
        <v>17469.48</v>
      </c>
      <c r="S9" s="16">
        <f t="shared" ca="1" si="2"/>
        <v>17469.48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10766.28</v>
      </c>
      <c r="M10" s="16">
        <f t="shared" ca="1" si="0"/>
        <v>10766.28</v>
      </c>
      <c r="N10" s="16"/>
      <c r="O10" s="16">
        <f t="shared" ca="1" si="3"/>
        <v>0</v>
      </c>
      <c r="P10" s="11" cm="1">
        <f t="array" aca="1" ref="P10" ca="1">INDIRECT("'data'!$U$" &amp; $A$1)*parameters!$B$15</f>
        <v>3623.06</v>
      </c>
      <c r="Q10" s="13" cm="1">
        <f t="array" aca="1" ref="Q10" ca="1">-INDIRECT("'data'!$V$" &amp; $A$1)*parameters!$B$15</f>
        <v>-2722.44</v>
      </c>
      <c r="R10" s="16" cm="1">
        <f t="array" aca="1" ref="R10" ca="1">INDIRECT("'data'!$T$" &amp; $A$1)*parameters!$B$15</f>
        <v>11666.9</v>
      </c>
      <c r="S10" s="16">
        <f t="shared" ca="1" si="2"/>
        <v>11666.9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9455.4205689900427</v>
      </c>
      <c r="M11" s="16">
        <f t="shared" ca="1" si="0"/>
        <v>9455.4205689900427</v>
      </c>
      <c r="N11" s="16"/>
      <c r="O11" s="16">
        <f t="shared" ca="1" si="3"/>
        <v>0</v>
      </c>
      <c r="P11" s="11" cm="1">
        <f t="array" aca="1" ref="P11" ca="1">INDIRECT("'data'!$X$" &amp; $A$1)*parameters!$B$15</f>
        <v>2102.1</v>
      </c>
      <c r="Q11" s="13" cm="1">
        <f t="array" aca="1" ref="Q11" ca="1">-INDIRECT("'data'!$Y$" &amp; $A$1)*parameters!$B$15</f>
        <v>-6517</v>
      </c>
      <c r="R11" s="16" cm="1">
        <f t="array" aca="1" ref="R11" ca="1">INDIRECT("'data'!$W$" &amp; $A$1)*parameters!$B$15</f>
        <v>5040.5205689900422</v>
      </c>
      <c r="S11" s="16">
        <f t="shared" ca="1" si="2"/>
        <v>5040.5205689900431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19050.664889331438</v>
      </c>
      <c r="O12" s="19"/>
      <c r="P12" s="21" cm="1">
        <f t="array" aca="1" ref="P12" ca="1">INDIRECT("'data'!$Z$" &amp; $A$1)*parameters!$B$15</f>
        <v>7546</v>
      </c>
      <c r="Q12" s="27" cm="1">
        <f t="array" aca="1" ref="Q12" ca="1">-INDIRECT("'data'!$AA$" &amp; $A$1)*parameters!$B$15</f>
        <v>-8344.7000000000007</v>
      </c>
      <c r="R12" s="16">
        <f ca="1">L10*parameters!$B$10+L11*parameters!$B$11</f>
        <v>18251.964889331437</v>
      </c>
      <c r="S12" s="16">
        <f t="shared" ref="S12:S18" ca="1" si="4">SUM(M12:Q12)</f>
        <v>18251.964889331437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-24.923578544832253</v>
      </c>
      <c r="D13" s="9">
        <f ca="1">-(D18-R4)</f>
        <v>0</v>
      </c>
      <c r="E13" s="9">
        <f ca="1">-(E18-R5)</f>
        <v>-811.04522132653256</v>
      </c>
      <c r="F13" s="9">
        <f ca="1">-(F18-R6)</f>
        <v>-282.42388059701534</v>
      </c>
      <c r="G13" s="9">
        <f ca="1">-(G18-R7)</f>
        <v>0</v>
      </c>
      <c r="H13" s="9">
        <f ca="1">-(H18-R8)</f>
        <v>-592.95427377220585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-1711.346954240586</v>
      </c>
      <c r="N13" s="17"/>
      <c r="O13" s="17"/>
      <c r="P13" s="10"/>
      <c r="Q13" s="12"/>
      <c r="R13" s="9">
        <f t="shared" ref="R13:R18" ca="1" si="6">SUM(M13:Q13)</f>
        <v>-1711.346954240586</v>
      </c>
      <c r="S13" s="17">
        <f t="shared" ca="1" si="4"/>
        <v>-1711.346954240586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-1285.6097593854065</v>
      </c>
      <c r="K14" s="14">
        <f ca="1">-(K18-R11)</f>
        <v>-555.4296716245517</v>
      </c>
      <c r="L14" s="13">
        <f ca="1">-(L18-R12)</f>
        <v>-1969.7356796586064</v>
      </c>
      <c r="M14" s="14">
        <f t="shared" ca="1" si="5"/>
        <v>-3810.7751106685646</v>
      </c>
      <c r="N14" s="16">
        <f ca="1">-E16</f>
        <v>-3562.3632650271902</v>
      </c>
      <c r="O14" s="16"/>
      <c r="P14" s="11"/>
      <c r="Q14" s="13"/>
      <c r="R14" s="14">
        <f t="shared" ca="1" si="6"/>
        <v>-7373.1383756957548</v>
      </c>
      <c r="S14" s="16">
        <f t="shared" ca="1" si="4"/>
        <v>-7373.1383756957548</v>
      </c>
    </row>
    <row r="15" spans="1:21">
      <c r="A15" s="18" t="s">
        <v>79</v>
      </c>
      <c r="B15" s="11"/>
      <c r="C15" s="14"/>
      <c r="D15" s="14"/>
      <c r="E15" s="14">
        <f ca="1">-(J14+K14)-L14</f>
        <v>3810.7751106685646</v>
      </c>
      <c r="F15" s="14"/>
      <c r="G15" s="14"/>
      <c r="H15" s="14"/>
      <c r="I15" s="14"/>
      <c r="J15" s="14"/>
      <c r="K15" s="14"/>
      <c r="L15" s="13"/>
      <c r="M15" s="14">
        <f t="shared" ca="1" si="5"/>
        <v>3810.7751106685646</v>
      </c>
      <c r="N15" s="16"/>
      <c r="O15" s="16"/>
      <c r="P15" s="11"/>
      <c r="Q15" s="13"/>
      <c r="R15" s="14">
        <f t="shared" ca="1" si="6"/>
        <v>3810.7751106685646</v>
      </c>
      <c r="S15" s="16">
        <f t="shared" ca="1" si="4"/>
        <v>3810.7751106685646</v>
      </c>
    </row>
    <row r="16" spans="1:21">
      <c r="A16" s="18" t="s">
        <v>80</v>
      </c>
      <c r="B16" s="11"/>
      <c r="C16" s="14"/>
      <c r="D16" s="14"/>
      <c r="E16" s="14">
        <f ca="1">E18-E15</f>
        <v>3562.3632650271902</v>
      </c>
      <c r="F16" s="14"/>
      <c r="G16" s="14"/>
      <c r="H16" s="14"/>
      <c r="I16" s="14"/>
      <c r="J16" s="14"/>
      <c r="K16" s="14"/>
      <c r="L16" s="13"/>
      <c r="M16" s="14">
        <f t="shared" ca="1" si="5"/>
        <v>3562.3632650271902</v>
      </c>
      <c r="N16" s="16"/>
      <c r="O16" s="16"/>
      <c r="P16" s="11"/>
      <c r="Q16" s="13"/>
      <c r="R16" s="14">
        <f t="shared" ca="1" si="6"/>
        <v>3562.3632650271902</v>
      </c>
      <c r="S16" s="16">
        <f t="shared" ca="1" si="4"/>
        <v>3562.3632650271902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3956.1235785448321</v>
      </c>
      <c r="D18" s="9">
        <f ca="1">SUM(D$2:D$12)</f>
        <v>0</v>
      </c>
      <c r="E18" s="9">
        <f ca="1">$R$5/parameters!$B$4</f>
        <v>7373.1383756957548</v>
      </c>
      <c r="F18" s="9">
        <f t="shared" ref="F18:L18" ca="1" si="7">SUM(F$2:F$12)</f>
        <v>4555.2238805970155</v>
      </c>
      <c r="G18" s="9">
        <f t="shared" ca="1" si="7"/>
        <v>0</v>
      </c>
      <c r="H18" s="9">
        <f t="shared" ca="1" si="7"/>
        <v>13789.634273772206</v>
      </c>
      <c r="I18" s="9">
        <f t="shared" ca="1" si="7"/>
        <v>17469.48</v>
      </c>
      <c r="J18" s="9">
        <f t="shared" ca="1" si="7"/>
        <v>12952.509759385406</v>
      </c>
      <c r="K18" s="9">
        <f t="shared" ca="1" si="7"/>
        <v>5595.9502406145939</v>
      </c>
      <c r="L18" s="9">
        <f t="shared" ca="1" si="7"/>
        <v>20221.700568990043</v>
      </c>
      <c r="M18" s="17">
        <f ca="1">SUM(B18:L18)</f>
        <v>85913.760677599857</v>
      </c>
      <c r="N18" s="17"/>
      <c r="O18" s="17"/>
      <c r="P18" s="9"/>
      <c r="Q18" s="14"/>
      <c r="R18" s="11">
        <f t="shared" ca="1" si="6"/>
        <v>85913.760677599857</v>
      </c>
      <c r="S18" s="17">
        <f t="shared" ca="1" si="4"/>
        <v>85913.760677599857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0.90074435122862173</v>
      </c>
      <c r="K19" s="39">
        <f ca="1">J19</f>
        <v>0.90074435122862173</v>
      </c>
      <c r="L19" s="40">
        <f ca="1">1-(-L14)/L18</f>
        <v>0.90259297565313601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7868.5015598269083</v>
      </c>
      <c r="D2" s="9">
        <f ca="1">R4/parameters!$B$3</f>
        <v>547.16715306430513</v>
      </c>
      <c r="E2" s="9"/>
      <c r="F2" s="9"/>
      <c r="G2" s="9"/>
      <c r="H2" s="9"/>
      <c r="I2" s="9"/>
      <c r="J2" s="9"/>
      <c r="K2" s="9"/>
      <c r="L2" s="12"/>
      <c r="M2" s="17">
        <f ca="1">SUM(B2:L2)</f>
        <v>8415.6687128912126</v>
      </c>
      <c r="N2" s="17"/>
      <c r="O2" s="17">
        <f ca="1">R2-(M2+P2+Q2)</f>
        <v>0</v>
      </c>
      <c r="P2" s="11" cm="1">
        <f t="array" aca="1" ref="P2" ca="1">INDIRECT("'data'!$F$" &amp; $A$1)</f>
        <v>17746.95</v>
      </c>
      <c r="Q2" s="13">
        <f ca="1">IF(-(M2-R2+P2)&lt;0, -(M2-R2+P2), 0)</f>
        <v>-6829.6187128912134</v>
      </c>
      <c r="R2" s="17" cm="1">
        <f t="array" aca="1" ref="R2" ca="1">INDIRECT("'data'!$D$" &amp; $A$1)</f>
        <v>19333</v>
      </c>
      <c r="S2" s="17">
        <f ca="1">SUM(M2:Q2)</f>
        <v>19333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7494.8059701492548</v>
      </c>
      <c r="G3" s="14">
        <f ca="1">R7/parameters!$B$6</f>
        <v>0</v>
      </c>
      <c r="H3" s="14">
        <f ca="1">R3-P3-Q3-F3-G3</f>
        <v>319.39902985074423</v>
      </c>
      <c r="I3" s="14"/>
      <c r="J3" s="14"/>
      <c r="K3" s="14"/>
      <c r="L3" s="13"/>
      <c r="M3" s="16">
        <f t="shared" ref="M3:M11" ca="1" si="0">SUM(B3:L3)</f>
        <v>7814.204999999999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99.224999999999994</v>
      </c>
      <c r="Q3" s="13" cm="1">
        <f t="array" aca="1" ref="Q3" ca="1">-INDIRECT("'data'!$I$" &amp; $A$1)*parameters!$B$13</f>
        <v>-94.5</v>
      </c>
      <c r="R3" s="16" cm="1">
        <f t="array" aca="1" ref="R3" ca="1">INDIRECT("'data'!$G$" &amp; $A$1)*parameters!$B$13</f>
        <v>7818.9299999999994</v>
      </c>
      <c r="S3" s="16">
        <f t="shared" ref="S3:S11" ca="1" si="2">SUM(M3:Q3)</f>
        <v>7818.9299999999994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531.76</v>
      </c>
      <c r="I4" s="14"/>
      <c r="J4" s="14"/>
      <c r="K4" s="14"/>
      <c r="L4" s="13"/>
      <c r="M4" s="16">
        <f t="shared" ca="1" si="0"/>
        <v>531.76</v>
      </c>
      <c r="N4" s="16"/>
      <c r="O4" s="16">
        <f t="shared" ca="1" si="1"/>
        <v>0</v>
      </c>
      <c r="P4" s="11" cm="1">
        <f t="array" aca="1" ref="P4" ca="1">INDIRECT("'data'!$K$" &amp; $A$1)*parameters!$B$14</f>
        <v>488.52000000000004</v>
      </c>
      <c r="Q4" s="13" cm="1">
        <f t="array" aca="1" ref="Q4" ca="1">-INDIRECT("'data'!$L$" &amp; $A$1)*parameters!$B$14</f>
        <v>-476.56</v>
      </c>
      <c r="R4" s="16" cm="1">
        <f t="array" aca="1" ref="R4" ca="1">INDIRECT("'data'!$J$" &amp; $A$1)*parameters!$B$14</f>
        <v>543.72</v>
      </c>
      <c r="S4" s="16">
        <f t="shared" ca="1" si="2"/>
        <v>543.72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1873.7014925373137</v>
      </c>
      <c r="G5" s="14"/>
      <c r="H5" s="14">
        <f ca="1">R8/parameters!$B$7-(H3+H4)</f>
        <v>5662.7176681638848</v>
      </c>
      <c r="I5" s="14"/>
      <c r="J5" s="14"/>
      <c r="K5" s="14"/>
      <c r="L5" s="13"/>
      <c r="M5" s="16">
        <f t="shared" ca="1" si="0"/>
        <v>7536.4191607011981</v>
      </c>
      <c r="N5" s="16"/>
      <c r="O5" s="16"/>
      <c r="P5" s="11" cm="1">
        <f t="array" aca="1" ref="P5" ca="1">INDIRECT("'data'!$M$" &amp; $A$1)*parameters!$B$15</f>
        <v>2994.88</v>
      </c>
      <c r="Q5" s="13" cm="1">
        <f t="array" aca="1" ref="Q5" ca="1">-INDIRECT("'data'!$N$" &amp; $A$1)*parameters!$B$15</f>
        <v>-1554.28</v>
      </c>
      <c r="R5" s="16">
        <f ca="1">SUM(M5:Q5)</f>
        <v>8977.0191607011966</v>
      </c>
      <c r="S5" s="16">
        <f t="shared" ca="1" si="2"/>
        <v>8977.0191607011966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8787.66</v>
      </c>
      <c r="J6" s="14"/>
      <c r="K6" s="14"/>
      <c r="L6" s="13"/>
      <c r="M6" s="16">
        <f t="shared" ca="1" si="0"/>
        <v>8787.66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8787.66</v>
      </c>
      <c r="S6" s="16">
        <f t="shared" ca="1" si="2"/>
        <v>8787.66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6233.78</v>
      </c>
      <c r="J8" s="14"/>
      <c r="K8" s="14"/>
      <c r="L8" s="13"/>
      <c r="M8" s="16">
        <f t="shared" ca="1" si="0"/>
        <v>6233.78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6233.78</v>
      </c>
      <c r="S8" s="16">
        <f t="shared" ca="1" si="2"/>
        <v>6233.78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3816.5117445370247</v>
      </c>
      <c r="K9" s="14">
        <f ca="1">R11/K19</f>
        <v>11552.828255462975</v>
      </c>
      <c r="L9" s="13"/>
      <c r="M9" s="16">
        <f t="shared" ca="1" si="0"/>
        <v>15369.34</v>
      </c>
      <c r="N9" s="16"/>
      <c r="O9" s="16">
        <f t="shared" ca="1" si="3"/>
        <v>0</v>
      </c>
      <c r="P9" s="11" cm="1">
        <f t="array" aca="1" ref="P9" ca="1">INDIRECT("'data'!$R$" &amp; $A$1)*parameters!$B$15</f>
        <v>565.46</v>
      </c>
      <c r="Q9" s="13" cm="1">
        <f t="array" aca="1" ref="Q9" ca="1">-INDIRECT("'data'!$S$" &amp; $A$1)*parameters!$B$15</f>
        <v>-913.36</v>
      </c>
      <c r="R9" s="16">
        <f ca="1">SUM(R6:R8)</f>
        <v>15021.439999999999</v>
      </c>
      <c r="S9" s="16">
        <f t="shared" ca="1" si="2"/>
        <v>15021.439999999999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4295.34</v>
      </c>
      <c r="M10" s="16">
        <f t="shared" ca="1" si="0"/>
        <v>4295.34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1642.48</v>
      </c>
      <c r="Q10" s="13" cm="1">
        <f t="array" aca="1" ref="Q10" ca="1">-INDIRECT("'data'!$V$" &amp; $A$1)*parameters!$B$15</f>
        <v>-2761.64</v>
      </c>
      <c r="R10" s="16" cm="1">
        <f t="array" aca="1" ref="R10" ca="1">INDIRECT("'data'!$T$" &amp; $A$1)*parameters!$B$15</f>
        <v>3176.18</v>
      </c>
      <c r="S10" s="16">
        <f t="shared" ca="1" si="2"/>
        <v>3176.18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11560.782588904694</v>
      </c>
      <c r="M11" s="16">
        <f t="shared" ca="1" si="0"/>
        <v>11560.782588904694</v>
      </c>
      <c r="N11" s="16"/>
      <c r="O11" s="16">
        <f t="shared" ca="1" si="3"/>
        <v>0</v>
      </c>
      <c r="P11" s="11" cm="1">
        <f t="array" aca="1" ref="P11" ca="1">INDIRECT("'data'!$X$" &amp; $A$1)*parameters!$B$15</f>
        <v>2558.7799999999997</v>
      </c>
      <c r="Q11" s="13" cm="1">
        <f t="array" aca="1" ref="Q11" ca="1">-INDIRECT("'data'!$Y$" &amp; $A$1)*parameters!$B$15</f>
        <v>-4505.0599999999995</v>
      </c>
      <c r="R11" s="16" cm="1">
        <f t="array" aca="1" ref="R11" ca="1">INDIRECT("'data'!$W$" &amp; $A$1)*parameters!$B$15</f>
        <v>9614.5025889046938</v>
      </c>
      <c r="S11" s="16">
        <f t="shared" ca="1" si="2"/>
        <v>9614.5025889046938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17269.752626458037</v>
      </c>
      <c r="O12" s="19"/>
      <c r="P12" s="21" cm="1">
        <f t="array" aca="1" ref="P12" ca="1">INDIRECT("'data'!$Z$" &amp; $A$1)*parameters!$B$15</f>
        <v>7798.84</v>
      </c>
      <c r="Q12" s="27" cm="1">
        <f t="array" aca="1" ref="Q12" ca="1">-INDIRECT("'data'!$AA$" &amp; $A$1)*parameters!$B$15</f>
        <v>-11088.699999999999</v>
      </c>
      <c r="R12" s="16">
        <f ca="1">L10*parameters!$B$10+L11*parameters!$B$11</f>
        <v>13979.892626458037</v>
      </c>
      <c r="S12" s="16">
        <f t="shared" ref="S12:S18" ca="1" si="4">SUM(M12:Q12)</f>
        <v>13979.892626458039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-49.571559826908924</v>
      </c>
      <c r="D13" s="9">
        <f ca="1">-(D18-R4)</f>
        <v>-3.4471530643050983</v>
      </c>
      <c r="E13" s="9">
        <f ca="1">-(E18-R5)</f>
        <v>-1109.5192221091365</v>
      </c>
      <c r="F13" s="9">
        <f ca="1">-(F18-R6)</f>
        <v>-580.84746268656818</v>
      </c>
      <c r="G13" s="9">
        <f ca="1">-(G18-R7)</f>
        <v>0</v>
      </c>
      <c r="H13" s="9">
        <f ca="1">-(H18-R8)</f>
        <v>-280.09669801462951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-2023.4820957015481</v>
      </c>
      <c r="N13" s="17"/>
      <c r="O13" s="17"/>
      <c r="P13" s="10"/>
      <c r="Q13" s="12"/>
      <c r="R13" s="9">
        <f t="shared" ref="R13:R18" ca="1" si="6">SUM(M13:Q13)</f>
        <v>-2023.4820957015481</v>
      </c>
      <c r="S13" s="17">
        <f t="shared" ca="1" si="4"/>
        <v>-2023.4820957015481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-640.33174453702486</v>
      </c>
      <c r="K14" s="14">
        <f ca="1">-(K18-R11)</f>
        <v>-1938.3256665582812</v>
      </c>
      <c r="L14" s="13">
        <f ca="1">-(L18-R12)</f>
        <v>-1876.2299624466577</v>
      </c>
      <c r="M14" s="14">
        <f t="shared" ca="1" si="5"/>
        <v>-4454.8873735419638</v>
      </c>
      <c r="N14" s="16">
        <f ca="1">-E16</f>
        <v>-5631.6510092683693</v>
      </c>
      <c r="O14" s="16"/>
      <c r="P14" s="11"/>
      <c r="Q14" s="13"/>
      <c r="R14" s="14">
        <f t="shared" ca="1" si="6"/>
        <v>-10086.538382810333</v>
      </c>
      <c r="S14" s="16">
        <f t="shared" ca="1" si="4"/>
        <v>-10086.538382810333</v>
      </c>
    </row>
    <row r="15" spans="1:21">
      <c r="A15" s="18" t="s">
        <v>79</v>
      </c>
      <c r="B15" s="11"/>
      <c r="C15" s="14"/>
      <c r="D15" s="14"/>
      <c r="E15" s="14">
        <f ca="1">-(J14+K14)-L14</f>
        <v>4454.8873735419638</v>
      </c>
      <c r="F15" s="14"/>
      <c r="G15" s="14"/>
      <c r="H15" s="14"/>
      <c r="I15" s="14"/>
      <c r="J15" s="14"/>
      <c r="K15" s="14"/>
      <c r="L15" s="13"/>
      <c r="M15" s="14">
        <f t="shared" ca="1" si="5"/>
        <v>4454.8873735419638</v>
      </c>
      <c r="N15" s="16"/>
      <c r="O15" s="16"/>
      <c r="P15" s="11"/>
      <c r="Q15" s="13"/>
      <c r="R15" s="14">
        <f t="shared" ca="1" si="6"/>
        <v>4454.8873735419638</v>
      </c>
      <c r="S15" s="16">
        <f t="shared" ca="1" si="4"/>
        <v>4454.8873735419638</v>
      </c>
    </row>
    <row r="16" spans="1:21">
      <c r="A16" s="18" t="s">
        <v>80</v>
      </c>
      <c r="B16" s="11"/>
      <c r="C16" s="14"/>
      <c r="D16" s="14"/>
      <c r="E16" s="14">
        <f ca="1">E18-E15</f>
        <v>5631.6510092683693</v>
      </c>
      <c r="F16" s="14"/>
      <c r="G16" s="14"/>
      <c r="H16" s="14"/>
      <c r="I16" s="14"/>
      <c r="J16" s="14"/>
      <c r="K16" s="14"/>
      <c r="L16" s="13"/>
      <c r="M16" s="14">
        <f t="shared" ca="1" si="5"/>
        <v>5631.6510092683693</v>
      </c>
      <c r="N16" s="16"/>
      <c r="O16" s="16"/>
      <c r="P16" s="11"/>
      <c r="Q16" s="13"/>
      <c r="R16" s="14">
        <f t="shared" ca="1" si="6"/>
        <v>5631.6510092683693</v>
      </c>
      <c r="S16" s="16">
        <f t="shared" ca="1" si="4"/>
        <v>5631.6510092683693</v>
      </c>
    </row>
    <row r="17" spans="1:19">
      <c r="A17" s="30" t="s">
        <v>90</v>
      </c>
      <c r="B17" s="21">
        <f ca="1">R2</f>
        <v>19333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19333</v>
      </c>
      <c r="N17" s="19"/>
      <c r="O17" s="19"/>
      <c r="P17" s="21"/>
      <c r="Q17" s="27"/>
      <c r="R17" s="22">
        <f t="shared" ca="1" si="6"/>
        <v>19333</v>
      </c>
      <c r="S17" s="19">
        <f t="shared" ca="1" si="4"/>
        <v>19333</v>
      </c>
    </row>
    <row r="18" spans="1:19">
      <c r="A18" s="29" t="s">
        <v>89</v>
      </c>
      <c r="B18" s="9">
        <f ca="1">B17</f>
        <v>19333</v>
      </c>
      <c r="C18" s="9">
        <f ca="1">SUM(C$2:C$12)</f>
        <v>7868.5015598269083</v>
      </c>
      <c r="D18" s="9">
        <f ca="1">SUM(D$2:D$12)</f>
        <v>547.16715306430513</v>
      </c>
      <c r="E18" s="9">
        <f ca="1">$R$5/parameters!$B$4</f>
        <v>10086.538382810333</v>
      </c>
      <c r="F18" s="9">
        <f t="shared" ref="F18:L18" ca="1" si="7">SUM(F$2:F$12)</f>
        <v>9368.507462686568</v>
      </c>
      <c r="G18" s="9">
        <f t="shared" ca="1" si="7"/>
        <v>0</v>
      </c>
      <c r="H18" s="9">
        <f t="shared" ca="1" si="7"/>
        <v>6513.8766980146293</v>
      </c>
      <c r="I18" s="9">
        <f t="shared" ca="1" si="7"/>
        <v>15021.439999999999</v>
      </c>
      <c r="J18" s="9">
        <f t="shared" ca="1" si="7"/>
        <v>3816.5117445370247</v>
      </c>
      <c r="K18" s="9">
        <f t="shared" ca="1" si="7"/>
        <v>11552.828255462975</v>
      </c>
      <c r="L18" s="9">
        <f t="shared" ca="1" si="7"/>
        <v>15856.122588904695</v>
      </c>
      <c r="M18" s="17">
        <f ca="1">SUM(B18:L18)</f>
        <v>99964.493845307428</v>
      </c>
      <c r="N18" s="17"/>
      <c r="O18" s="17"/>
      <c r="P18" s="9"/>
      <c r="Q18" s="14"/>
      <c r="R18" s="11">
        <f t="shared" ca="1" si="6"/>
        <v>99964.493845307428</v>
      </c>
      <c r="S18" s="17">
        <f t="shared" ca="1" si="4"/>
        <v>99964.493845307428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0.83222068019216788</v>
      </c>
      <c r="K19" s="39">
        <f ca="1">J19</f>
        <v>0.83222068019216788</v>
      </c>
      <c r="L19" s="40">
        <f ca="1">1-(-L14)/L18</f>
        <v>0.88167157816000064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1173.9559223105564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1173.9559223105564</v>
      </c>
      <c r="N2" s="17"/>
      <c r="O2" s="17">
        <f ca="1">R2-(M2+P2+Q2)</f>
        <v>-9.2370555648813024E-14</v>
      </c>
      <c r="P2" s="11" cm="1">
        <f t="array" aca="1" ref="P2" ca="1">INDIRECT("'data'!$F$" &amp; $A$1)</f>
        <v>458.90000000000003</v>
      </c>
      <c r="Q2" s="13">
        <f ca="1">IF(-(M2-R2+P2)&lt;0, -(M2-R2+P2), 0)</f>
        <v>-1614.4559223105564</v>
      </c>
      <c r="R2" s="17" cm="1">
        <f t="array" aca="1" ref="R2" ca="1">INDIRECT("'data'!$D$" &amp; $A$1)</f>
        <v>18.399999999999999</v>
      </c>
      <c r="S2" s="17">
        <f ca="1">SUM(M2:Q2)</f>
        <v>18.400000000000091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34.02000000000001</v>
      </c>
      <c r="I3" s="14"/>
      <c r="J3" s="14"/>
      <c r="K3" s="14"/>
      <c r="L3" s="13"/>
      <c r="M3" s="16">
        <f t="shared" ref="M3:M11" ca="1" si="0">SUM(B3:L3)</f>
        <v>34.02000000000001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84.10499999999999</v>
      </c>
      <c r="Q3" s="13" cm="1">
        <f t="array" aca="1" ref="Q3" ca="1">-INDIRECT("'data'!$I$" &amp; $A$1)*parameters!$B$13</f>
        <v>-118.125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1376.32</v>
      </c>
      <c r="I4" s="14"/>
      <c r="J4" s="14"/>
      <c r="K4" s="14"/>
      <c r="L4" s="13"/>
      <c r="M4" s="16">
        <f t="shared" ca="1" si="0"/>
        <v>1376.32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-209.76000000000002</v>
      </c>
      <c r="R4" s="16" cm="1">
        <f t="array" aca="1" ref="R4" ca="1">INDIRECT("'data'!$J$" &amp; $A$1)*parameters!$B$14</f>
        <v>1166.56</v>
      </c>
      <c r="S4" s="16">
        <f t="shared" ca="1" si="2"/>
        <v>1166.56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2352.9828840125392</v>
      </c>
      <c r="I5" s="14"/>
      <c r="J5" s="14"/>
      <c r="K5" s="14"/>
      <c r="L5" s="13"/>
      <c r="M5" s="16">
        <f t="shared" ca="1" si="0"/>
        <v>2352.9828840125392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-1177.96</v>
      </c>
      <c r="R5" s="16">
        <f ca="1">SUM(M5:Q5)</f>
        <v>1175.0228840125392</v>
      </c>
      <c r="S5" s="16">
        <f t="shared" ca="1" si="2"/>
        <v>1175.0228840125392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3601.5</v>
      </c>
      <c r="J8" s="14"/>
      <c r="K8" s="14"/>
      <c r="L8" s="13"/>
      <c r="M8" s="16">
        <f t="shared" ca="1" si="0"/>
        <v>3601.5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3601.5</v>
      </c>
      <c r="S8" s="16">
        <f t="shared" ca="1" si="2"/>
        <v>3601.5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3002.2746842011175</v>
      </c>
      <c r="K9" s="14">
        <f ca="1">R11/K19</f>
        <v>2301.4853157988828</v>
      </c>
      <c r="L9" s="13"/>
      <c r="M9" s="16">
        <f t="shared" ca="1" si="0"/>
        <v>5303.76</v>
      </c>
      <c r="N9" s="16"/>
      <c r="O9" s="16">
        <f t="shared" ca="1" si="3"/>
        <v>0</v>
      </c>
      <c r="P9" s="11" cm="1">
        <f t="array" aca="1" ref="P9" ca="1">INDIRECT("'data'!$R$" &amp; $A$1)*parameters!$B$15</f>
        <v>12.74</v>
      </c>
      <c r="Q9" s="13" cm="1">
        <f t="array" aca="1" ref="Q9" ca="1">-INDIRECT("'data'!$S$" &amp; $A$1)*parameters!$B$15</f>
        <v>-1715</v>
      </c>
      <c r="R9" s="16">
        <f ca="1">SUM(R6:R8)</f>
        <v>3601.5</v>
      </c>
      <c r="S9" s="16">
        <f t="shared" ca="1" si="2"/>
        <v>3601.5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3167.36</v>
      </c>
      <c r="M10" s="16">
        <f t="shared" ca="1" si="0"/>
        <v>3167.36</v>
      </c>
      <c r="N10" s="16"/>
      <c r="O10" s="16">
        <f t="shared" ca="1" si="3"/>
        <v>0</v>
      </c>
      <c r="P10" s="11" cm="1">
        <f t="array" aca="1" ref="P10" ca="1">INDIRECT("'data'!$U$" &amp; $A$1)*parameters!$B$15</f>
        <v>260.68</v>
      </c>
      <c r="Q10" s="13" cm="1">
        <f t="array" aca="1" ref="Q10" ca="1">-INDIRECT("'data'!$V$" &amp; $A$1)*parameters!$B$15</f>
        <v>-766.36</v>
      </c>
      <c r="R10" s="16" cm="1">
        <f t="array" aca="1" ref="R10" ca="1">INDIRECT("'data'!$T$" &amp; $A$1)*parameters!$B$15</f>
        <v>2661.68</v>
      </c>
      <c r="S10" s="16">
        <f t="shared" ca="1" si="2"/>
        <v>2661.68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3638.7720625889046</v>
      </c>
      <c r="M11" s="16">
        <f t="shared" ca="1" si="0"/>
        <v>3638.7720625889046</v>
      </c>
      <c r="N11" s="16"/>
      <c r="O11" s="16">
        <f t="shared" ca="1" si="3"/>
        <v>0</v>
      </c>
      <c r="P11" s="11" cm="1">
        <f t="array" aca="1" ref="P11" ca="1">INDIRECT("'data'!$X$" &amp; $A$1)*parameters!$B$15</f>
        <v>703.64</v>
      </c>
      <c r="Q11" s="13" cm="1">
        <f t="array" aca="1" ref="Q11" ca="1">-INDIRECT("'data'!$Y$" &amp; $A$1)*parameters!$B$15</f>
        <v>-2302.02</v>
      </c>
      <c r="R11" s="16" cm="1">
        <f t="array" aca="1" ref="R11" ca="1">INDIRECT("'data'!$W$" &amp; $A$1)*parameters!$B$15</f>
        <v>2040.3920625889045</v>
      </c>
      <c r="S11" s="16">
        <f t="shared" ca="1" si="2"/>
        <v>2040.3920625889045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7279.7223738264584</v>
      </c>
      <c r="O12" s="19"/>
      <c r="P12" s="21" cm="1">
        <f t="array" aca="1" ref="P12" ca="1">INDIRECT("'data'!$Z$" &amp; $A$1)*parameters!$B$15</f>
        <v>1029</v>
      </c>
      <c r="Q12" s="27" cm="1">
        <f t="array" aca="1" ref="Q12" ca="1">-INDIRECT("'data'!$AA$" &amp; $A$1)*parameters!$B$15</f>
        <v>-2202.06</v>
      </c>
      <c r="R12" s="16">
        <f ca="1">L10*parameters!$B$10+L11*parameters!$B$11</f>
        <v>6106.662373826458</v>
      </c>
      <c r="S12" s="16">
        <f t="shared" ref="S12:S18" ca="1" si="4">SUM(M12:Q12)</f>
        <v>6106.6623738264589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-7.3959223105564433</v>
      </c>
      <c r="E13" s="9">
        <f ca="1">-(E18-R5)</f>
        <v>-145.22754746222381</v>
      </c>
      <c r="F13" s="9">
        <f ca="1">-(F18-R6)</f>
        <v>0</v>
      </c>
      <c r="G13" s="9">
        <f ca="1">-(G18-R7)</f>
        <v>0</v>
      </c>
      <c r="H13" s="9">
        <f ca="1">-(H18-R8)</f>
        <v>-161.82288401253936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-314.44635378531962</v>
      </c>
      <c r="N13" s="17"/>
      <c r="O13" s="17"/>
      <c r="P13" s="10"/>
      <c r="Q13" s="12"/>
      <c r="R13" s="9">
        <f t="shared" ref="R13:R18" ca="1" si="6">SUM(M13:Q13)</f>
        <v>-314.44635378531962</v>
      </c>
      <c r="S13" s="17">
        <f t="shared" ca="1" si="4"/>
        <v>-314.44635378531962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-340.59468420111762</v>
      </c>
      <c r="K14" s="14">
        <f ca="1">-(K18-R11)</f>
        <v>-261.09325320997823</v>
      </c>
      <c r="L14" s="13">
        <f ca="1">-(L18-R12)</f>
        <v>-699.46968876244682</v>
      </c>
      <c r="M14" s="14">
        <f t="shared" ca="1" si="5"/>
        <v>-1301.1576261735427</v>
      </c>
      <c r="N14" s="16">
        <f ca="1">-E16</f>
        <v>-19.092805301220324</v>
      </c>
      <c r="O14" s="16"/>
      <c r="P14" s="11"/>
      <c r="Q14" s="13"/>
      <c r="R14" s="14">
        <f t="shared" ca="1" si="6"/>
        <v>-1320.250431474763</v>
      </c>
      <c r="S14" s="16">
        <f t="shared" ca="1" si="4"/>
        <v>-1320.250431474763</v>
      </c>
    </row>
    <row r="15" spans="1:20">
      <c r="A15" s="18" t="s">
        <v>79</v>
      </c>
      <c r="B15" s="11"/>
      <c r="C15" s="14"/>
      <c r="D15" s="14"/>
      <c r="E15" s="14">
        <f ca="1">-(J14+K14)-L14</f>
        <v>1301.1576261735427</v>
      </c>
      <c r="F15" s="14"/>
      <c r="G15" s="14"/>
      <c r="H15" s="14"/>
      <c r="I15" s="14"/>
      <c r="J15" s="14"/>
      <c r="K15" s="14"/>
      <c r="L15" s="13"/>
      <c r="M15" s="14">
        <f t="shared" ca="1" si="5"/>
        <v>1301.1576261735427</v>
      </c>
      <c r="N15" s="16"/>
      <c r="O15" s="16"/>
      <c r="P15" s="11"/>
      <c r="Q15" s="13"/>
      <c r="R15" s="14">
        <f t="shared" ca="1" si="6"/>
        <v>1301.1576261735427</v>
      </c>
      <c r="S15" s="16">
        <f t="shared" ca="1" si="4"/>
        <v>1301.1576261735427</v>
      </c>
    </row>
    <row r="16" spans="1:20">
      <c r="A16" s="18" t="s">
        <v>80</v>
      </c>
      <c r="B16" s="11"/>
      <c r="C16" s="14"/>
      <c r="D16" s="14"/>
      <c r="E16" s="14">
        <f ca="1">E18-E15</f>
        <v>19.092805301220324</v>
      </c>
      <c r="F16" s="14"/>
      <c r="G16" s="14"/>
      <c r="H16" s="14"/>
      <c r="I16" s="14"/>
      <c r="J16" s="14"/>
      <c r="K16" s="14"/>
      <c r="L16" s="13"/>
      <c r="M16" s="14">
        <f t="shared" ca="1" si="5"/>
        <v>19.092805301220324</v>
      </c>
      <c r="N16" s="16"/>
      <c r="O16" s="16"/>
      <c r="P16" s="11"/>
      <c r="Q16" s="13"/>
      <c r="R16" s="14">
        <f t="shared" ca="1" si="6"/>
        <v>19.092805301220324</v>
      </c>
      <c r="S16" s="16">
        <f t="shared" ca="1" si="4"/>
        <v>19.092805301220324</v>
      </c>
    </row>
    <row r="17" spans="1:19">
      <c r="A17" s="30" t="s">
        <v>90</v>
      </c>
      <c r="B17" s="21">
        <f ca="1">R2</f>
        <v>18.399999999999999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18.399999999999999</v>
      </c>
      <c r="N17" s="19"/>
      <c r="O17" s="19"/>
      <c r="P17" s="21"/>
      <c r="Q17" s="27"/>
      <c r="R17" s="22">
        <f t="shared" ca="1" si="6"/>
        <v>18.399999999999999</v>
      </c>
      <c r="S17" s="19">
        <f t="shared" ca="1" si="4"/>
        <v>18.399999999999999</v>
      </c>
    </row>
    <row r="18" spans="1:19">
      <c r="A18" s="29" t="s">
        <v>89</v>
      </c>
      <c r="B18" s="9">
        <f ca="1">B17</f>
        <v>18.399999999999999</v>
      </c>
      <c r="C18" s="9">
        <f ca="1">SUM(C$2:C$12)</f>
        <v>0</v>
      </c>
      <c r="D18" s="9">
        <f ca="1">SUM(D$2:D$12)</f>
        <v>1173.9559223105564</v>
      </c>
      <c r="E18" s="9">
        <f ca="1">$R$5/parameters!$B$4</f>
        <v>1320.250431474763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3763.3228840125394</v>
      </c>
      <c r="I18" s="9">
        <f t="shared" ca="1" si="7"/>
        <v>3601.5</v>
      </c>
      <c r="J18" s="9">
        <f t="shared" ca="1" si="7"/>
        <v>3002.2746842011175</v>
      </c>
      <c r="K18" s="9">
        <f t="shared" ca="1" si="7"/>
        <v>2301.4853157988828</v>
      </c>
      <c r="L18" s="9">
        <f t="shared" ca="1" si="7"/>
        <v>6806.1320625889048</v>
      </c>
      <c r="M18" s="17">
        <f ca="1">SUM(B18:L18)</f>
        <v>21987.321300386768</v>
      </c>
      <c r="N18" s="17"/>
      <c r="O18" s="17"/>
      <c r="P18" s="9"/>
      <c r="Q18" s="14"/>
      <c r="R18" s="11">
        <f t="shared" ca="1" si="6"/>
        <v>21987.321300386768</v>
      </c>
      <c r="S18" s="17">
        <f t="shared" ca="1" si="4"/>
        <v>21987.321300386768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0.88655445619502093</v>
      </c>
      <c r="K19" s="39">
        <f ca="1">J19</f>
        <v>0.88655445619502093</v>
      </c>
      <c r="L19" s="40">
        <f ca="1">1-(-L14)/L18</f>
        <v>0.89722948624414678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4257.5878031599068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4257.5878031599068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-4257.5878031599068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4089.6716417910452</v>
      </c>
      <c r="G3" s="14">
        <f ca="1">R7/parameters!$B$6</f>
        <v>0</v>
      </c>
      <c r="H3" s="14">
        <f ca="1">R3-P3-Q3-F3-G3</f>
        <v>362.22335820895341</v>
      </c>
      <c r="I3" s="14"/>
      <c r="J3" s="14"/>
      <c r="K3" s="14"/>
      <c r="L3" s="13"/>
      <c r="M3" s="16">
        <f t="shared" ref="M3:M11" ca="1" si="0">SUM(B3:L3)</f>
        <v>4451.8949999999986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-225.85499999999999</v>
      </c>
      <c r="R3" s="16" cm="1">
        <f t="array" aca="1" ref="R3" ca="1">INDIRECT("'data'!$G$" &amp; $A$1)*parameters!$B$13</f>
        <v>4230.7649999999994</v>
      </c>
      <c r="S3" s="16">
        <f t="shared" ref="S3:S11" ca="1" si="2">SUM(M3:Q3)</f>
        <v>4230.7649999999994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1022.4179104477613</v>
      </c>
      <c r="G5" s="14"/>
      <c r="H5" s="14">
        <f ca="1">R8/parameters!$B$7-(H3+H4)</f>
        <v>3163.523768227828</v>
      </c>
      <c r="I5" s="14"/>
      <c r="J5" s="14"/>
      <c r="K5" s="14"/>
      <c r="L5" s="13"/>
      <c r="M5" s="16">
        <f t="shared" ca="1" si="0"/>
        <v>4185.9416786755892</v>
      </c>
      <c r="N5" s="16"/>
      <c r="O5" s="16"/>
      <c r="P5" s="11" cm="1">
        <f t="array" aca="1" ref="P5" ca="1">INDIRECT("'data'!$M$" &amp; $A$1)*parameters!$B$15</f>
        <v>1398.46</v>
      </c>
      <c r="Q5" s="13" cm="1">
        <f t="array" aca="1" ref="Q5" ca="1">-INDIRECT("'data'!$N$" &amp; $A$1)*parameters!$B$15</f>
        <v>-233.24</v>
      </c>
      <c r="R5" s="16">
        <f ca="1">SUM(M5:Q5)</f>
        <v>5351.1616786755894</v>
      </c>
      <c r="S5" s="16">
        <f t="shared" ca="1" si="2"/>
        <v>5351.1616786755894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4795.1400000000003</v>
      </c>
      <c r="J6" s="14"/>
      <c r="K6" s="14"/>
      <c r="L6" s="13"/>
      <c r="M6" s="16">
        <f t="shared" ca="1" si="0"/>
        <v>4795.1400000000003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4795.1400000000003</v>
      </c>
      <c r="S6" s="16">
        <f t="shared" ca="1" si="2"/>
        <v>4795.1400000000003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3374.14</v>
      </c>
      <c r="J8" s="14"/>
      <c r="K8" s="14"/>
      <c r="L8" s="13"/>
      <c r="M8" s="16">
        <f t="shared" ca="1" si="0"/>
        <v>3374.14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3374.14</v>
      </c>
      <c r="S8" s="16">
        <f t="shared" ca="1" si="2"/>
        <v>3374.14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4694.0973630449043</v>
      </c>
      <c r="K9" s="14">
        <f ca="1">R11/K19</f>
        <v>2542.2226369550958</v>
      </c>
      <c r="L9" s="13"/>
      <c r="M9" s="16">
        <f t="shared" ca="1" si="0"/>
        <v>7236.32</v>
      </c>
      <c r="N9" s="16"/>
      <c r="O9" s="16">
        <f t="shared" ca="1" si="3"/>
        <v>0</v>
      </c>
      <c r="P9" s="11" cm="1">
        <f t="array" aca="1" ref="P9" ca="1">INDIRECT("'data'!$R$" &amp; $A$1)*parameters!$B$15</f>
        <v>1225</v>
      </c>
      <c r="Q9" s="13" cm="1">
        <f t="array" aca="1" ref="Q9" ca="1">-INDIRECT("'data'!$S$" &amp; $A$1)*parameters!$B$15</f>
        <v>-292.04000000000002</v>
      </c>
      <c r="R9" s="16">
        <f ca="1">SUM(R6:R8)</f>
        <v>8169.2800000000007</v>
      </c>
      <c r="S9" s="16">
        <f t="shared" ca="1" si="2"/>
        <v>8169.28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3149.7200000000003</v>
      </c>
      <c r="M10" s="16">
        <f t="shared" ca="1" si="0"/>
        <v>3149.7200000000003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1894.34</v>
      </c>
      <c r="Q10" s="13" cm="1">
        <f t="array" aca="1" ref="Q10" ca="1">-INDIRECT("'data'!$V$" &amp; $A$1)*parameters!$B$15</f>
        <v>-1051.54</v>
      </c>
      <c r="R10" s="16" cm="1">
        <f t="array" aca="1" ref="R10" ca="1">INDIRECT("'data'!$T$" &amp; $A$1)*parameters!$B$15</f>
        <v>3992.52</v>
      </c>
      <c r="S10" s="16">
        <f t="shared" ca="1" si="2"/>
        <v>3992.5200000000004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4669.103357041251</v>
      </c>
      <c r="M11" s="16">
        <f t="shared" ca="1" si="0"/>
        <v>4669.103357041251</v>
      </c>
      <c r="N11" s="16"/>
      <c r="O11" s="16">
        <f t="shared" ca="1" si="3"/>
        <v>0</v>
      </c>
      <c r="P11" s="11" cm="1">
        <f t="array" aca="1" ref="P11" ca="1">INDIRECT("'data'!$X$" &amp; $A$1)*parameters!$B$15</f>
        <v>514.5</v>
      </c>
      <c r="Q11" s="13" cm="1">
        <f t="array" aca="1" ref="Q11" ca="1">-INDIRECT("'data'!$Y$" &amp; $A$1)*parameters!$B$15</f>
        <v>-3021.34</v>
      </c>
      <c r="R11" s="16" cm="1">
        <f t="array" aca="1" ref="R11" ca="1">INDIRECT("'data'!$W$" &amp; $A$1)*parameters!$B$15</f>
        <v>2162.2633570412513</v>
      </c>
      <c r="S11" s="16">
        <f t="shared" ca="1" si="2"/>
        <v>2162.2633570412509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5716.865687055476</v>
      </c>
      <c r="O12" s="19"/>
      <c r="P12" s="21" cm="1">
        <f t="array" aca="1" ref="P12" ca="1">INDIRECT("'data'!$Z$" &amp; $A$1)*parameters!$B$15</f>
        <v>5420.38</v>
      </c>
      <c r="Q12" s="27" cm="1">
        <f t="array" aca="1" ref="Q12" ca="1">-INDIRECT("'data'!$AA$" &amp; $A$1)*parameters!$B$15</f>
        <v>-4161.08</v>
      </c>
      <c r="R12" s="16">
        <f ca="1">L10*parameters!$B$10+L11*parameters!$B$11</f>
        <v>6976.1656870554762</v>
      </c>
      <c r="S12" s="16">
        <f t="shared" ref="S12:S18" ca="1" si="4">SUM(M12:Q12)</f>
        <v>6976.1656870554762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-26.82280315990738</v>
      </c>
      <c r="D13" s="9">
        <f ca="1">-(D18-R4)</f>
        <v>0</v>
      </c>
      <c r="E13" s="9">
        <f ca="1">-(E18-R5)</f>
        <v>-661.37953331945482</v>
      </c>
      <c r="F13" s="9">
        <f ca="1">-(F18-R6)</f>
        <v>-316.94955223880606</v>
      </c>
      <c r="G13" s="9">
        <f ca="1">-(G18-R7)</f>
        <v>0</v>
      </c>
      <c r="H13" s="9">
        <f ca="1">-(H18-R8)</f>
        <v>-151.60712643678153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-1156.7590151549498</v>
      </c>
      <c r="N13" s="17"/>
      <c r="O13" s="17"/>
      <c r="P13" s="10"/>
      <c r="Q13" s="12"/>
      <c r="R13" s="9">
        <f t="shared" ref="R13:R18" ca="1" si="6">SUM(M13:Q13)</f>
        <v>-1156.7590151549498</v>
      </c>
      <c r="S13" s="17">
        <f t="shared" ca="1" si="4"/>
        <v>-1156.7590151549498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-701.57736304490436</v>
      </c>
      <c r="K14" s="14">
        <f ca="1">-(K18-R11)</f>
        <v>-379.95927991384451</v>
      </c>
      <c r="L14" s="13">
        <f ca="1">-(L18-R12)</f>
        <v>-842.6576699857751</v>
      </c>
      <c r="M14" s="14">
        <f t="shared" ca="1" si="5"/>
        <v>-1924.194312944524</v>
      </c>
      <c r="N14" s="16">
        <f ca="1">-E16</f>
        <v>-4088.3468990505203</v>
      </c>
      <c r="O14" s="16"/>
      <c r="P14" s="11"/>
      <c r="Q14" s="13"/>
      <c r="R14" s="14">
        <f t="shared" ca="1" si="6"/>
        <v>-6012.5412119950443</v>
      </c>
      <c r="S14" s="16">
        <f t="shared" ca="1" si="4"/>
        <v>-6012.5412119950443</v>
      </c>
    </row>
    <row r="15" spans="1:21">
      <c r="A15" s="18" t="s">
        <v>79</v>
      </c>
      <c r="B15" s="11"/>
      <c r="C15" s="14"/>
      <c r="D15" s="14"/>
      <c r="E15" s="14">
        <f ca="1">-(J14+K14)-L14</f>
        <v>1924.194312944524</v>
      </c>
      <c r="F15" s="14"/>
      <c r="G15" s="14"/>
      <c r="H15" s="14"/>
      <c r="I15" s="14"/>
      <c r="J15" s="14"/>
      <c r="K15" s="14"/>
      <c r="L15" s="13"/>
      <c r="M15" s="14">
        <f t="shared" ca="1" si="5"/>
        <v>1924.194312944524</v>
      </c>
      <c r="N15" s="16"/>
      <c r="O15" s="16"/>
      <c r="P15" s="11"/>
      <c r="Q15" s="13"/>
      <c r="R15" s="14">
        <f t="shared" ca="1" si="6"/>
        <v>1924.194312944524</v>
      </c>
      <c r="S15" s="16">
        <f t="shared" ca="1" si="4"/>
        <v>1924.194312944524</v>
      </c>
    </row>
    <row r="16" spans="1:21">
      <c r="A16" s="18" t="s">
        <v>80</v>
      </c>
      <c r="B16" s="11"/>
      <c r="C16" s="14"/>
      <c r="D16" s="14"/>
      <c r="E16" s="14">
        <f ca="1">E18-E15</f>
        <v>4088.3468990505203</v>
      </c>
      <c r="F16" s="14"/>
      <c r="G16" s="14"/>
      <c r="H16" s="14"/>
      <c r="I16" s="14"/>
      <c r="J16" s="14"/>
      <c r="K16" s="14"/>
      <c r="L16" s="13"/>
      <c r="M16" s="14">
        <f t="shared" ca="1" si="5"/>
        <v>4088.3468990505203</v>
      </c>
      <c r="N16" s="16"/>
      <c r="O16" s="16"/>
      <c r="P16" s="11"/>
      <c r="Q16" s="13"/>
      <c r="R16" s="14">
        <f t="shared" ca="1" si="6"/>
        <v>4088.3468990505203</v>
      </c>
      <c r="S16" s="16">
        <f t="shared" ca="1" si="4"/>
        <v>4088.3468990505203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4257.5878031599068</v>
      </c>
      <c r="D18" s="9">
        <f ca="1">SUM(D$2:D$12)</f>
        <v>0</v>
      </c>
      <c r="E18" s="9">
        <f ca="1">$R$5/parameters!$B$4</f>
        <v>6012.5412119950443</v>
      </c>
      <c r="F18" s="9">
        <f t="shared" ref="F18:L18" ca="1" si="7">SUM(F$2:F$12)</f>
        <v>5112.0895522388064</v>
      </c>
      <c r="G18" s="9">
        <f t="shared" ca="1" si="7"/>
        <v>0</v>
      </c>
      <c r="H18" s="9">
        <f t="shared" ca="1" si="7"/>
        <v>3525.7471264367814</v>
      </c>
      <c r="I18" s="9">
        <f t="shared" ca="1" si="7"/>
        <v>8169.2800000000007</v>
      </c>
      <c r="J18" s="9">
        <f t="shared" ca="1" si="7"/>
        <v>4694.0973630449043</v>
      </c>
      <c r="K18" s="9">
        <f t="shared" ca="1" si="7"/>
        <v>2542.2226369550958</v>
      </c>
      <c r="L18" s="9">
        <f t="shared" ca="1" si="7"/>
        <v>7818.8233570412513</v>
      </c>
      <c r="M18" s="17">
        <f ca="1">SUM(B18:L18)</f>
        <v>42132.389050871789</v>
      </c>
      <c r="N18" s="17"/>
      <c r="O18" s="17"/>
      <c r="P18" s="9"/>
      <c r="Q18" s="14"/>
      <c r="R18" s="11">
        <f t="shared" ca="1" si="6"/>
        <v>42132.389050871789</v>
      </c>
      <c r="S18" s="17">
        <f t="shared" ca="1" si="4"/>
        <v>42132.389050871789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0.85054051742339354</v>
      </c>
      <c r="K19" s="39">
        <f ca="1">J19</f>
        <v>0.85054051742339354</v>
      </c>
      <c r="L19" s="40">
        <f ca="1">1-(-L14)/L18</f>
        <v>0.89222704855879387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926.09591392199377</v>
      </c>
      <c r="D2" s="9">
        <f ca="1">R4/parameters!$B$3</f>
        <v>2376.9349671417795</v>
      </c>
      <c r="E2" s="9"/>
      <c r="F2" s="9"/>
      <c r="G2" s="9"/>
      <c r="H2" s="9"/>
      <c r="I2" s="9"/>
      <c r="J2" s="9"/>
      <c r="K2" s="9"/>
      <c r="L2" s="12"/>
      <c r="M2" s="17">
        <f ca="1">SUM(B2:L2)</f>
        <v>3303.0308810637734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-2594.7969149921737</v>
      </c>
      <c r="R2" s="17" cm="1">
        <f t="array" aca="1" ref="R2" ca="1">INDIRECT("'data'!$D$" &amp; $A$1)</f>
        <v>708.23396607159998</v>
      </c>
      <c r="S2" s="17">
        <f ca="1">SUM(M2:Q2)</f>
        <v>708.23396607159975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919.40298507462683</v>
      </c>
      <c r="G3" s="14">
        <f ca="1">R7/parameters!$B$6</f>
        <v>0</v>
      </c>
      <c r="H3" s="14">
        <f ca="1">R3-P3-Q3-F3-G3</f>
        <v>0.85852458965837286</v>
      </c>
      <c r="I3" s="14"/>
      <c r="J3" s="14"/>
      <c r="K3" s="14"/>
      <c r="L3" s="13"/>
      <c r="M3" s="16">
        <f t="shared" ref="M3:M11" ca="1" si="0">SUM(B3:L3)</f>
        <v>920.2615096642852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920.2615096642852</v>
      </c>
      <c r="S3" s="16">
        <f t="shared" ref="S3:S11" ca="1" si="2">SUM(M3:Q3)</f>
        <v>920.2615096642852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1718.1717021517934</v>
      </c>
      <c r="I4" s="14"/>
      <c r="J4" s="14"/>
      <c r="K4" s="14"/>
      <c r="L4" s="13"/>
      <c r="M4" s="16">
        <f t="shared" ca="1" si="0"/>
        <v>1718.1717021517934</v>
      </c>
      <c r="N4" s="16"/>
      <c r="O4" s="16">
        <f t="shared" ca="1" si="1"/>
        <v>672.30857469699276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-28.52</v>
      </c>
      <c r="R4" s="16" cm="1">
        <f t="array" aca="1" ref="R4" ca="1">INDIRECT("'data'!$J$" &amp; $A$1)*parameters!$B$14</f>
        <v>2361.9602768487862</v>
      </c>
      <c r="S4" s="16">
        <f t="shared" ca="1" si="2"/>
        <v>2361.9602768487862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229.85074626865674</v>
      </c>
      <c r="G5" s="14"/>
      <c r="H5" s="38">
        <f ca="1">E15*parameters!$B$4-P5-Q5-F5</f>
        <v>2889.1202434779843</v>
      </c>
      <c r="I5" s="14"/>
      <c r="J5" s="14"/>
      <c r="K5" s="14"/>
      <c r="L5" s="13"/>
      <c r="M5" s="16">
        <f t="shared" ca="1" si="0"/>
        <v>3118.970989746641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-1226.96</v>
      </c>
      <c r="R5" s="16">
        <f ca="1">SUM(M5:Q5)</f>
        <v>1892.0109897466409</v>
      </c>
      <c r="S5" s="16">
        <f t="shared" ca="1" si="2"/>
        <v>1892.0109897466409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1078</v>
      </c>
      <c r="J6" s="14"/>
      <c r="K6" s="14"/>
      <c r="L6" s="13"/>
      <c r="M6" s="16">
        <f t="shared" ca="1" si="0"/>
        <v>1078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1078</v>
      </c>
      <c r="S6" s="16">
        <f t="shared" ca="1" si="2"/>
        <v>1078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4410</v>
      </c>
      <c r="J8" s="14"/>
      <c r="K8" s="14"/>
      <c r="L8" s="13"/>
      <c r="M8" s="16">
        <f t="shared" ca="1" si="0"/>
        <v>4410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4410</v>
      </c>
      <c r="S8" s="16">
        <f t="shared" ca="1" si="2"/>
        <v>4410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5817.5699825555203</v>
      </c>
      <c r="K9" s="14">
        <f ca="1">R11/K19</f>
        <v>2176.2900174444812</v>
      </c>
      <c r="L9" s="13"/>
      <c r="M9" s="16">
        <f t="shared" ca="1" si="0"/>
        <v>7993.8600000000015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-2505.86</v>
      </c>
      <c r="R9" s="16">
        <f ca="1">SUM(R6:R8)</f>
        <v>5488</v>
      </c>
      <c r="S9" s="16">
        <f t="shared" ca="1" si="2"/>
        <v>5488.0000000000018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4859.82</v>
      </c>
      <c r="M10" s="16">
        <f t="shared" ca="1" si="0"/>
        <v>4859.82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-155.82</v>
      </c>
      <c r="R10" s="16" cm="1">
        <f t="array" aca="1" ref="R10" ca="1">INDIRECT("'data'!$T$" &amp; $A$1)*parameters!$B$15</f>
        <v>4704</v>
      </c>
      <c r="S10" s="16">
        <f t="shared" ca="1" si="2"/>
        <v>4704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2172.295529466111</v>
      </c>
      <c r="M11" s="16">
        <f t="shared" ca="1" si="0"/>
        <v>2172.295529466111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-412.58</v>
      </c>
      <c r="R11" s="16" cm="1">
        <f t="array" aca="1" ref="R11" ca="1">INDIRECT("'data'!$W$" &amp; $A$1)*parameters!$B$15</f>
        <v>1759.7155294661109</v>
      </c>
      <c r="S11" s="16">
        <f t="shared" ca="1" si="2"/>
        <v>1759.7155294661111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6731.3849553408545</v>
      </c>
      <c r="O12" s="19"/>
      <c r="P12" s="21" cm="1">
        <f t="array" aca="1" ref="P12" ca="1">INDIRECT("'data'!$Z$" &amp; $A$1)*parameters!$B$15</f>
        <v>130.34</v>
      </c>
      <c r="Q12" s="27" cm="1">
        <f t="array" aca="1" ref="Q12" ca="1">-INDIRECT("'data'!$AA$" &amp; $A$1)*parameters!$B$15</f>
        <v>-425.32</v>
      </c>
      <c r="R12" s="16">
        <f ca="1">L10*parameters!$B$10+L11*parameters!$B$11</f>
        <v>6436.4049553408549</v>
      </c>
      <c r="S12" s="16">
        <f t="shared" ref="S12:S18" ca="1" si="4">SUM(M12:Q12)</f>
        <v>6436.4049553408549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-5.8344042577085702</v>
      </c>
      <c r="D13" s="9">
        <f ca="1">-(D18-R4)</f>
        <v>-14.974690292993273</v>
      </c>
      <c r="E13" s="9">
        <f ca="1">-(E18-R5)</f>
        <v>-233.84405491250618</v>
      </c>
      <c r="F13" s="9">
        <f ca="1">-(F18-R6)</f>
        <v>-71.253731343283562</v>
      </c>
      <c r="G13" s="9">
        <f ca="1">-(G18-R7)</f>
        <v>0</v>
      </c>
      <c r="H13" s="9">
        <f ca="1">-(H18-R8)</f>
        <v>-198.1504702194361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-524.05735102592769</v>
      </c>
      <c r="N13" s="17"/>
      <c r="O13" s="17"/>
      <c r="P13" s="10"/>
      <c r="Q13" s="12"/>
      <c r="R13" s="9">
        <f t="shared" ref="R13:R18" ca="1" si="6">SUM(M13:Q13)</f>
        <v>-524.05735102592769</v>
      </c>
      <c r="S13" s="17">
        <f t="shared" ca="1" si="4"/>
        <v>-524.05735102592769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-1113.5699825555203</v>
      </c>
      <c r="K14" s="14">
        <f ca="1">-(K18-R11)</f>
        <v>-416.57448797837037</v>
      </c>
      <c r="L14" s="13">
        <f ca="1">-(L18-R12)</f>
        <v>-595.71057412525624</v>
      </c>
      <c r="M14" s="14">
        <f t="shared" ca="1" si="5"/>
        <v>-2125.8550446591471</v>
      </c>
      <c r="N14" s="16">
        <f ca="1">-E16</f>
        <v>0</v>
      </c>
      <c r="O14" s="16"/>
      <c r="P14" s="11"/>
      <c r="Q14" s="13"/>
      <c r="R14" s="14">
        <f t="shared" ca="1" si="6"/>
        <v>-2125.8550446591471</v>
      </c>
      <c r="S14" s="16">
        <f t="shared" ca="1" si="4"/>
        <v>-2125.8550446591471</v>
      </c>
    </row>
    <row r="15" spans="1:20">
      <c r="A15" s="18" t="s">
        <v>79</v>
      </c>
      <c r="B15" s="11"/>
      <c r="C15" s="14"/>
      <c r="D15" s="14"/>
      <c r="E15" s="14">
        <f ca="1">-(J14+K14)-L14</f>
        <v>2125.8550446591471</v>
      </c>
      <c r="F15" s="14"/>
      <c r="G15" s="14"/>
      <c r="H15" s="14"/>
      <c r="I15" s="14"/>
      <c r="J15" s="14"/>
      <c r="K15" s="14"/>
      <c r="L15" s="13"/>
      <c r="M15" s="14">
        <f t="shared" ca="1" si="5"/>
        <v>2125.8550446591471</v>
      </c>
      <c r="N15" s="16"/>
      <c r="O15" s="16"/>
      <c r="P15" s="11"/>
      <c r="Q15" s="13"/>
      <c r="R15" s="14">
        <f t="shared" ca="1" si="6"/>
        <v>2125.8550446591471</v>
      </c>
      <c r="S15" s="16">
        <f t="shared" ca="1" si="4"/>
        <v>2125.8550446591471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708.23396607159998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708.23396607159998</v>
      </c>
      <c r="N17" s="19"/>
      <c r="O17" s="19"/>
      <c r="P17" s="21"/>
      <c r="Q17" s="27"/>
      <c r="R17" s="22">
        <f t="shared" ca="1" si="6"/>
        <v>708.23396607159998</v>
      </c>
      <c r="S17" s="19">
        <f t="shared" ca="1" si="4"/>
        <v>708.23396607159998</v>
      </c>
    </row>
    <row r="18" spans="1:19">
      <c r="A18" s="29" t="s">
        <v>89</v>
      </c>
      <c r="B18" s="9">
        <f ca="1">B17</f>
        <v>708.23396607159998</v>
      </c>
      <c r="C18" s="9">
        <f ca="1">SUM(C$2:C$12)</f>
        <v>926.09591392199377</v>
      </c>
      <c r="D18" s="9">
        <f ca="1">SUM(D$2:D$12)</f>
        <v>2376.9349671417795</v>
      </c>
      <c r="E18" s="9">
        <f ca="1">$R$5/parameters!$B$4</f>
        <v>2125.8550446591471</v>
      </c>
      <c r="F18" s="9">
        <f t="shared" ref="F18:L18" ca="1" si="7">SUM(F$2:F$12)</f>
        <v>1149.2537313432836</v>
      </c>
      <c r="G18" s="9">
        <f t="shared" ca="1" si="7"/>
        <v>0</v>
      </c>
      <c r="H18" s="9">
        <f t="shared" ca="1" si="7"/>
        <v>4608.1504702194361</v>
      </c>
      <c r="I18" s="9">
        <f t="shared" ca="1" si="7"/>
        <v>5488</v>
      </c>
      <c r="J18" s="9">
        <f t="shared" ca="1" si="7"/>
        <v>5817.5699825555203</v>
      </c>
      <c r="K18" s="9">
        <f t="shared" ca="1" si="7"/>
        <v>2176.2900174444812</v>
      </c>
      <c r="L18" s="9">
        <f t="shared" ca="1" si="7"/>
        <v>7032.1155294661112</v>
      </c>
      <c r="M18" s="17">
        <f ca="1">SUM(B18:L18)</f>
        <v>32408.499622823354</v>
      </c>
      <c r="N18" s="17"/>
      <c r="O18" s="17"/>
      <c r="P18" s="9"/>
      <c r="Q18" s="14"/>
      <c r="R18" s="11">
        <f t="shared" ca="1" si="6"/>
        <v>32408.499622823354</v>
      </c>
      <c r="S18" s="17">
        <f t="shared" ca="1" si="4"/>
        <v>32408.499622823354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0.80858503019393757</v>
      </c>
      <c r="K19" s="39">
        <f ca="1">J19</f>
        <v>0.80858503019393757</v>
      </c>
      <c r="L19" s="40">
        <f ca="1">1-(-L14)/L18</f>
        <v>0.91528714628917884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2804.7217577531246</v>
      </c>
      <c r="E2" s="9"/>
      <c r="F2" s="9"/>
      <c r="G2" s="9"/>
      <c r="H2" s="9"/>
      <c r="I2" s="9"/>
      <c r="J2" s="9"/>
      <c r="K2" s="9"/>
      <c r="L2" s="12"/>
      <c r="M2" s="17">
        <f ca="1">SUM(B2:L2)</f>
        <v>2804.7217577531246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-2804.7217577531246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93.554999999999993</v>
      </c>
      <c r="I3" s="14"/>
      <c r="J3" s="14"/>
      <c r="K3" s="14"/>
      <c r="L3" s="13"/>
      <c r="M3" s="16">
        <f t="shared" ref="M3:M11" ca="1" si="0">SUM(B3:L3)</f>
        <v>93.554999999999993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-93.554999999999993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2730.1721021853868</v>
      </c>
      <c r="I4" s="14"/>
      <c r="J4" s="14"/>
      <c r="K4" s="14"/>
      <c r="L4" s="13"/>
      <c r="M4" s="16">
        <f t="shared" ca="1" si="0"/>
        <v>2730.1721021853868</v>
      </c>
      <c r="N4" s="16"/>
      <c r="O4" s="16">
        <f t="shared" ca="1" si="1"/>
        <v>56.879908493893254</v>
      </c>
      <c r="P4" s="11" cm="1">
        <f t="array" aca="1" ref="P4" ca="1">INDIRECT("'data'!$K$" &amp; $A$1)*parameters!$B$14</f>
        <v>79.12</v>
      </c>
      <c r="Q4" s="13" cm="1">
        <f t="array" aca="1" ref="Q4" ca="1">-INDIRECT("'data'!$L$" &amp; $A$1)*parameters!$B$14</f>
        <v>-79.12</v>
      </c>
      <c r="R4" s="16" cm="1">
        <f t="array" aca="1" ref="R4" ca="1">INDIRECT("'data'!$J$" &amp; $A$1)*parameters!$B$14</f>
        <v>2787.0520106792801</v>
      </c>
      <c r="S4" s="16">
        <f t="shared" ca="1" si="2"/>
        <v>2787.0520106792801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1462.8768685565142</v>
      </c>
      <c r="I5" s="14"/>
      <c r="J5" s="14"/>
      <c r="K5" s="14"/>
      <c r="L5" s="13"/>
      <c r="M5" s="16">
        <f t="shared" ca="1" si="0"/>
        <v>1462.8768685565142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1462.8768685565142</v>
      </c>
      <c r="S5" s="16">
        <f t="shared" ca="1" si="2"/>
        <v>1462.8768685565142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4102.28</v>
      </c>
      <c r="J8" s="14"/>
      <c r="K8" s="14"/>
      <c r="L8" s="13"/>
      <c r="M8" s="16">
        <f t="shared" ca="1" si="0"/>
        <v>4102.28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4102.28</v>
      </c>
      <c r="S8" s="16">
        <f t="shared" ca="1" si="2"/>
        <v>4102.28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3188.8743785133188</v>
      </c>
      <c r="K9" s="14">
        <f ca="1">R11/K19</f>
        <v>1700.3456214866803</v>
      </c>
      <c r="L9" s="13"/>
      <c r="M9" s="16">
        <f t="shared" ca="1" si="0"/>
        <v>4889.2199999999993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-786.93999999999994</v>
      </c>
      <c r="R9" s="16">
        <f ca="1">SUM(R6:R8)</f>
        <v>4102.28</v>
      </c>
      <c r="S9" s="16">
        <f t="shared" ca="1" si="2"/>
        <v>4102.28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3016.44</v>
      </c>
      <c r="M10" s="16">
        <f t="shared" ca="1" si="0"/>
        <v>3016.44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-517.43999999999994</v>
      </c>
      <c r="R10" s="16" cm="1">
        <f t="array" aca="1" ref="R10" ca="1">INDIRECT("'data'!$T$" &amp; $A$1)*parameters!$B$15</f>
        <v>2499</v>
      </c>
      <c r="S10" s="16">
        <f t="shared" ca="1" si="2"/>
        <v>2499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2892.6564246713951</v>
      </c>
      <c r="M11" s="16">
        <f t="shared" ca="1" si="0"/>
        <v>2892.6564246713951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-1560.16</v>
      </c>
      <c r="R11" s="16" cm="1">
        <f t="array" aca="1" ref="R11" ca="1">INDIRECT("'data'!$W$" &amp; $A$1)*parameters!$B$15</f>
        <v>1332.4964246713951</v>
      </c>
      <c r="S11" s="16">
        <f t="shared" ca="1" si="2"/>
        <v>1332.4964246713951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7092.0381252173993</v>
      </c>
      <c r="O12" s="19"/>
      <c r="P12" s="21" cm="1">
        <f t="array" aca="1" ref="P12" ca="1">INDIRECT("'data'!$Z$" &amp; $A$1)*parameters!$B$15</f>
        <v>126.42</v>
      </c>
      <c r="Q12" s="27" cm="1">
        <f t="array" aca="1" ref="Q12" ca="1">-INDIRECT("'data'!$AA$" &amp; $A$1)*parameters!$B$15</f>
        <v>-1895.32</v>
      </c>
      <c r="R12" s="16">
        <f ca="1">L10*parameters!$B$10+L11*parameters!$B$11</f>
        <v>5323.1381252173996</v>
      </c>
      <c r="S12" s="16">
        <f t="shared" ref="S12:S18" ca="1" si="4">SUM(M12:Q12)</f>
        <v>5323.1381252173996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-17.669747073844519</v>
      </c>
      <c r="E13" s="9">
        <f ca="1">-(E18-R5)</f>
        <v>-180.80500622608611</v>
      </c>
      <c r="F13" s="9">
        <f ca="1">-(F18-R6)</f>
        <v>0</v>
      </c>
      <c r="G13" s="9">
        <f ca="1">-(G18-R7)</f>
        <v>0</v>
      </c>
      <c r="H13" s="9">
        <f ca="1">-(H18-R8)</f>
        <v>-184.32397074190067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-382.79872404183129</v>
      </c>
      <c r="N13" s="17"/>
      <c r="O13" s="17"/>
      <c r="P13" s="10"/>
      <c r="Q13" s="12"/>
      <c r="R13" s="9">
        <f t="shared" ref="R13:R18" ca="1" si="6">SUM(M13:Q13)</f>
        <v>-382.79872404183129</v>
      </c>
      <c r="S13" s="17">
        <f t="shared" ca="1" si="4"/>
        <v>-382.79872404183129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-689.87437851331879</v>
      </c>
      <c r="K14" s="14">
        <f ca="1">-(K18-R11)</f>
        <v>-367.84919681528527</v>
      </c>
      <c r="L14" s="13">
        <f ca="1">-(L18-R12)</f>
        <v>-585.95829945399601</v>
      </c>
      <c r="M14" s="14">
        <f t="shared" ca="1" si="5"/>
        <v>-1643.6818747826001</v>
      </c>
      <c r="N14" s="16">
        <f ca="1">-E16</f>
        <v>0</v>
      </c>
      <c r="O14" s="16"/>
      <c r="P14" s="11"/>
      <c r="Q14" s="13"/>
      <c r="R14" s="14">
        <f t="shared" ca="1" si="6"/>
        <v>-1643.6818747826001</v>
      </c>
      <c r="S14" s="16">
        <f t="shared" ca="1" si="4"/>
        <v>-1643.6818747826001</v>
      </c>
    </row>
    <row r="15" spans="1:23">
      <c r="A15" s="18" t="s">
        <v>79</v>
      </c>
      <c r="B15" s="11"/>
      <c r="C15" s="14"/>
      <c r="D15" s="14"/>
      <c r="E15" s="14">
        <f ca="1">-(J14+K14)-L14</f>
        <v>1643.6818747826001</v>
      </c>
      <c r="F15" s="14"/>
      <c r="G15" s="14"/>
      <c r="H15" s="14"/>
      <c r="I15" s="14"/>
      <c r="J15" s="14"/>
      <c r="K15" s="14"/>
      <c r="L15" s="13"/>
      <c r="M15" s="14">
        <f t="shared" ca="1" si="5"/>
        <v>1643.6818747826001</v>
      </c>
      <c r="N15" s="16"/>
      <c r="O15" s="16"/>
      <c r="P15" s="11"/>
      <c r="Q15" s="13"/>
      <c r="R15" s="14">
        <f t="shared" ca="1" si="6"/>
        <v>1643.6818747826001</v>
      </c>
      <c r="S15" s="16">
        <f t="shared" ca="1" si="4"/>
        <v>1643.6818747826001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2804.7217577531246</v>
      </c>
      <c r="E18" s="9">
        <f ca="1">$R$5/parameters!$B$4</f>
        <v>1643.6818747826003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4286.6039707419004</v>
      </c>
      <c r="I18" s="9">
        <f t="shared" ca="1" si="7"/>
        <v>4102.28</v>
      </c>
      <c r="J18" s="9">
        <f t="shared" ca="1" si="7"/>
        <v>3188.8743785133188</v>
      </c>
      <c r="K18" s="9">
        <f t="shared" ca="1" si="7"/>
        <v>1700.3456214866803</v>
      </c>
      <c r="L18" s="9">
        <f t="shared" ca="1" si="7"/>
        <v>5909.0964246713957</v>
      </c>
      <c r="M18" s="17">
        <f ca="1">SUM(B18:L18)</f>
        <v>23635.604027949023</v>
      </c>
      <c r="N18" s="17"/>
      <c r="O18" s="17"/>
      <c r="P18" s="9"/>
      <c r="Q18" s="14"/>
      <c r="R18" s="11">
        <f t="shared" ca="1" si="6"/>
        <v>23635.604027949023</v>
      </c>
      <c r="S18" s="17">
        <f t="shared" ca="1" si="4"/>
        <v>23635.604027949023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0.95700000000000029</v>
      </c>
      <c r="I19" s="39">
        <f t="shared" ref="I19" ca="1" si="9">1-(-I13)/I18</f>
        <v>1</v>
      </c>
      <c r="J19" s="39">
        <f ca="1">(R10+R11)/(R9-P9-Q9)</f>
        <v>0.78366210247675416</v>
      </c>
      <c r="K19" s="39">
        <f ca="1">J19</f>
        <v>0.78366210247675416</v>
      </c>
      <c r="L19" s="40">
        <f ca="1">1-(-L14)/L18</f>
        <v>0.9008379188047213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5177.1963369226123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5177.1963369226123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-4511.8523369226123</v>
      </c>
      <c r="R2" s="17" cm="1">
        <f t="array" aca="1" ref="R2" ca="1">INDIRECT("'data'!$D$" &amp; $A$1)</f>
        <v>665.34400000000005</v>
      </c>
      <c r="S2" s="17">
        <f ca="1">SUM(M2:Q2)</f>
        <v>665.34400000000005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5155.8970149253728</v>
      </c>
      <c r="G3" s="14">
        <f ca="1">R7/parameters!$B$6</f>
        <v>0</v>
      </c>
      <c r="H3" s="14">
        <f ca="1">R3-P3-Q3-F3-G3</f>
        <v>30.262985074627068</v>
      </c>
      <c r="I3" s="14"/>
      <c r="J3" s="14"/>
      <c r="K3" s="14"/>
      <c r="L3" s="13"/>
      <c r="M3" s="16">
        <f t="shared" ref="M3:M11" ca="1" si="0">SUM(B3:L3)</f>
        <v>5186.16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7.56</v>
      </c>
      <c r="Q3" s="13" cm="1">
        <f t="array" aca="1" ref="Q3" ca="1">-INDIRECT("'data'!$I$" &amp; $A$1)*parameters!$B$13</f>
        <v>-49.14</v>
      </c>
      <c r="R3" s="16" cm="1">
        <f t="array" aca="1" ref="R3" ca="1">INDIRECT("'data'!$G$" &amp; $A$1)*parameters!$B$13</f>
        <v>5144.58</v>
      </c>
      <c r="S3" s="16">
        <f t="shared" ref="S3:S11" ca="1" si="2">SUM(M3:Q3)</f>
        <v>5144.58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5.5200000000000005</v>
      </c>
      <c r="I4" s="14"/>
      <c r="J4" s="14"/>
      <c r="K4" s="14"/>
      <c r="L4" s="13"/>
      <c r="M4" s="16">
        <f t="shared" ca="1" si="0"/>
        <v>5.5200000000000005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-5.5200000000000005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1540.0731343283583</v>
      </c>
      <c r="G5" s="14"/>
      <c r="H5" s="14">
        <f ca="1">R8/parameters!$B$7-(H3+H4)</f>
        <v>585.80531168608354</v>
      </c>
      <c r="I5" s="14"/>
      <c r="J5" s="14"/>
      <c r="K5" s="14"/>
      <c r="L5" s="13"/>
      <c r="M5" s="16">
        <f t="shared" ca="1" si="0"/>
        <v>2125.8784460144416</v>
      </c>
      <c r="N5" s="16"/>
      <c r="O5" s="16"/>
      <c r="P5" s="11" cm="1">
        <f t="array" aca="1" ref="P5" ca="1">INDIRECT("'data'!$M$" &amp; $A$1)*parameters!$B$15</f>
        <v>1076.04</v>
      </c>
      <c r="Q5" s="13" cm="1">
        <f t="array" aca="1" ref="Q5" ca="1">-INDIRECT("'data'!$N$" &amp; $A$1)*parameters!$B$15</f>
        <v>-1109.3599999999999</v>
      </c>
      <c r="R5" s="16">
        <f ca="1">SUM(M5:Q5)</f>
        <v>2092.5584460144419</v>
      </c>
      <c r="S5" s="16">
        <f t="shared" ca="1" si="2"/>
        <v>2092.5584460144419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6280.82</v>
      </c>
      <c r="J6" s="14"/>
      <c r="K6" s="14"/>
      <c r="L6" s="13"/>
      <c r="M6" s="16">
        <f t="shared" ca="1" si="0"/>
        <v>6280.82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6280.82</v>
      </c>
      <c r="S6" s="16">
        <f t="shared" ca="1" si="2"/>
        <v>6280.82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594.86</v>
      </c>
      <c r="J8" s="14"/>
      <c r="K8" s="14"/>
      <c r="L8" s="13"/>
      <c r="M8" s="16">
        <f t="shared" ca="1" si="0"/>
        <v>594.86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594.86</v>
      </c>
      <c r="S8" s="16">
        <f t="shared" ca="1" si="2"/>
        <v>594.86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1761.2640941750583</v>
      </c>
      <c r="K9" s="14">
        <f ca="1">R11/K19</f>
        <v>4751.8159058249421</v>
      </c>
      <c r="L9" s="13"/>
      <c r="M9" s="16">
        <f t="shared" ca="1" si="0"/>
        <v>6513.08</v>
      </c>
      <c r="N9" s="16"/>
      <c r="O9" s="16">
        <f t="shared" ca="1" si="3"/>
        <v>0</v>
      </c>
      <c r="P9" s="11" cm="1">
        <f t="array" aca="1" ref="P9" ca="1">INDIRECT("'data'!$R$" &amp; $A$1)*parameters!$B$15</f>
        <v>472.36</v>
      </c>
      <c r="Q9" s="13" cm="1">
        <f t="array" aca="1" ref="Q9" ca="1">-INDIRECT("'data'!$S$" &amp; $A$1)*parameters!$B$15</f>
        <v>-109.75999999999999</v>
      </c>
      <c r="R9" s="16">
        <f ca="1">SUM(R6:R8)</f>
        <v>6875.6799999999994</v>
      </c>
      <c r="S9" s="16">
        <f t="shared" ca="1" si="2"/>
        <v>6875.6799999999994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1542.5199999999998</v>
      </c>
      <c r="M10" s="16">
        <f t="shared" ca="1" si="0"/>
        <v>1542.5199999999998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1128.96</v>
      </c>
      <c r="Q10" s="13" cm="1">
        <f t="array" aca="1" ref="Q10" ca="1">-INDIRECT("'data'!$V$" &amp; $A$1)*parameters!$B$15</f>
        <v>-1072.1199999999999</v>
      </c>
      <c r="R10" s="16" cm="1">
        <f t="array" aca="1" ref="R10" ca="1">INDIRECT("'data'!$T$" &amp; $A$1)*parameters!$B$15</f>
        <v>1599.36</v>
      </c>
      <c r="S10" s="16">
        <f t="shared" ca="1" si="2"/>
        <v>1599.3599999999997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2105.1055192034146</v>
      </c>
      <c r="M11" s="16">
        <f t="shared" ca="1" si="0"/>
        <v>2105.1055192034146</v>
      </c>
      <c r="N11" s="16"/>
      <c r="O11" s="16">
        <f t="shared" ca="1" si="3"/>
        <v>0</v>
      </c>
      <c r="P11" s="11" cm="1">
        <f t="array" aca="1" ref="P11" ca="1">INDIRECT("'data'!$X$" &amp; $A$1)*parameters!$B$15</f>
        <v>3621.1</v>
      </c>
      <c r="Q11" s="13" cm="1">
        <f t="array" aca="1" ref="Q11" ca="1">-INDIRECT("'data'!$Y$" &amp; $A$1)*parameters!$B$15</f>
        <v>-1411.2</v>
      </c>
      <c r="R11" s="16" cm="1">
        <f t="array" aca="1" ref="R11" ca="1">INDIRECT("'data'!$W$" &amp; $A$1)*parameters!$B$15</f>
        <v>4315.0055192034142</v>
      </c>
      <c r="S11" s="16">
        <f t="shared" ca="1" si="2"/>
        <v>4315.0055192034151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3378.9395465149364</v>
      </c>
      <c r="O12" s="19"/>
      <c r="P12" s="21" cm="1">
        <f t="array" aca="1" ref="P12" ca="1">INDIRECT("'data'!$Z$" &amp; $A$1)*parameters!$B$15</f>
        <v>3013.5</v>
      </c>
      <c r="Q12" s="27" cm="1">
        <f t="array" aca="1" ref="Q12" ca="1">-INDIRECT("'data'!$AA$" &amp; $A$1)*parameters!$B$15</f>
        <v>-3132.08</v>
      </c>
      <c r="R12" s="16">
        <f ca="1">L10*parameters!$B$10+L11*parameters!$B$11</f>
        <v>3260.3595465149365</v>
      </c>
      <c r="S12" s="16">
        <f t="shared" ref="S12:S18" ca="1" si="4">SUM(M12:Q12)</f>
        <v>3260.3595465149365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-32.61633692261239</v>
      </c>
      <c r="D13" s="9">
        <f ca="1">-(D18-R4)</f>
        <v>0</v>
      </c>
      <c r="E13" s="9">
        <f ca="1">-(E18-R5)</f>
        <v>-258.63081917032423</v>
      </c>
      <c r="F13" s="9">
        <f ca="1">-(F18-R6)</f>
        <v>-415.1501492537318</v>
      </c>
      <c r="G13" s="9">
        <f ca="1">-(G18-R7)</f>
        <v>0</v>
      </c>
      <c r="H13" s="9">
        <f ca="1">-(H18-R8)</f>
        <v>-26.728296760710577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-733.125602107379</v>
      </c>
      <c r="N13" s="17"/>
      <c r="O13" s="17"/>
      <c r="P13" s="10"/>
      <c r="Q13" s="12"/>
      <c r="R13" s="9">
        <f t="shared" ref="R13:R18" ca="1" si="6">SUM(M13:Q13)</f>
        <v>-733.125602107379</v>
      </c>
      <c r="S13" s="17">
        <f t="shared" ca="1" si="4"/>
        <v>-733.125602107379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-161.90409417505839</v>
      </c>
      <c r="K14" s="14">
        <f ca="1">-(K18-R11)</f>
        <v>-436.81038662152787</v>
      </c>
      <c r="L14" s="13">
        <f ca="1">-(L18-R12)</f>
        <v>-387.26597268847763</v>
      </c>
      <c r="M14" s="14">
        <f t="shared" ca="1" si="5"/>
        <v>-985.98045348506389</v>
      </c>
      <c r="N14" s="16">
        <f ca="1">-E16</f>
        <v>-1365.2088116997022</v>
      </c>
      <c r="O14" s="16"/>
      <c r="P14" s="11"/>
      <c r="Q14" s="13"/>
      <c r="R14" s="14">
        <f t="shared" ca="1" si="6"/>
        <v>-2351.1892651847661</v>
      </c>
      <c r="S14" s="16">
        <f t="shared" ca="1" si="4"/>
        <v>-2351.1892651847661</v>
      </c>
    </row>
    <row r="15" spans="1:21">
      <c r="A15" s="18" t="s">
        <v>79</v>
      </c>
      <c r="B15" s="11"/>
      <c r="C15" s="14"/>
      <c r="D15" s="14"/>
      <c r="E15" s="14">
        <f ca="1">-(J14+K14)-L14</f>
        <v>985.98045348506389</v>
      </c>
      <c r="F15" s="14"/>
      <c r="G15" s="14"/>
      <c r="H15" s="14"/>
      <c r="I15" s="14"/>
      <c r="J15" s="14"/>
      <c r="K15" s="14"/>
      <c r="L15" s="13"/>
      <c r="M15" s="14">
        <f t="shared" ca="1" si="5"/>
        <v>985.98045348506389</v>
      </c>
      <c r="N15" s="16"/>
      <c r="O15" s="16"/>
      <c r="P15" s="11"/>
      <c r="Q15" s="13"/>
      <c r="R15" s="14">
        <f t="shared" ca="1" si="6"/>
        <v>985.98045348506389</v>
      </c>
      <c r="S15" s="16">
        <f t="shared" ca="1" si="4"/>
        <v>985.98045348506389</v>
      </c>
    </row>
    <row r="16" spans="1:21">
      <c r="A16" s="18" t="s">
        <v>80</v>
      </c>
      <c r="B16" s="11"/>
      <c r="C16" s="14"/>
      <c r="D16" s="14"/>
      <c r="E16" s="14">
        <f ca="1">E18-E15</f>
        <v>1365.2088116997022</v>
      </c>
      <c r="F16" s="14"/>
      <c r="G16" s="14"/>
      <c r="H16" s="14"/>
      <c r="I16" s="14"/>
      <c r="J16" s="14"/>
      <c r="K16" s="14"/>
      <c r="L16" s="13"/>
      <c r="M16" s="14">
        <f t="shared" ca="1" si="5"/>
        <v>1365.2088116997022</v>
      </c>
      <c r="N16" s="16"/>
      <c r="O16" s="16"/>
      <c r="P16" s="11"/>
      <c r="Q16" s="13"/>
      <c r="R16" s="14">
        <f t="shared" ca="1" si="6"/>
        <v>1365.2088116997022</v>
      </c>
      <c r="S16" s="16">
        <f t="shared" ca="1" si="4"/>
        <v>1365.2088116997022</v>
      </c>
    </row>
    <row r="17" spans="1:19">
      <c r="A17" s="30" t="s">
        <v>90</v>
      </c>
      <c r="B17" s="21">
        <f ca="1">R2</f>
        <v>665.34400000000005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665.34400000000005</v>
      </c>
      <c r="N17" s="19"/>
      <c r="O17" s="19"/>
      <c r="P17" s="21"/>
      <c r="Q17" s="27"/>
      <c r="R17" s="22">
        <f t="shared" ca="1" si="6"/>
        <v>665.34400000000005</v>
      </c>
      <c r="S17" s="19">
        <f t="shared" ca="1" si="4"/>
        <v>665.34400000000005</v>
      </c>
    </row>
    <row r="18" spans="1:19">
      <c r="A18" s="29" t="s">
        <v>89</v>
      </c>
      <c r="B18" s="9">
        <f ca="1">B17</f>
        <v>665.34400000000005</v>
      </c>
      <c r="C18" s="9">
        <f ca="1">SUM(C$2:C$12)</f>
        <v>5177.1963369226123</v>
      </c>
      <c r="D18" s="9">
        <f ca="1">SUM(D$2:D$12)</f>
        <v>0</v>
      </c>
      <c r="E18" s="9">
        <f ca="1">$R$5/parameters!$B$4</f>
        <v>2351.1892651847661</v>
      </c>
      <c r="F18" s="9">
        <f t="shared" ref="F18:L18" ca="1" si="7">SUM(F$2:F$12)</f>
        <v>6695.9701492537315</v>
      </c>
      <c r="G18" s="9">
        <f t="shared" ca="1" si="7"/>
        <v>0</v>
      </c>
      <c r="H18" s="9">
        <f t="shared" ca="1" si="7"/>
        <v>621.58829676071059</v>
      </c>
      <c r="I18" s="9">
        <f t="shared" ca="1" si="7"/>
        <v>6875.6799999999994</v>
      </c>
      <c r="J18" s="9">
        <f t="shared" ca="1" si="7"/>
        <v>1761.2640941750583</v>
      </c>
      <c r="K18" s="9">
        <f t="shared" ca="1" si="7"/>
        <v>4751.8159058249421</v>
      </c>
      <c r="L18" s="9">
        <f t="shared" ca="1" si="7"/>
        <v>3647.6255192034141</v>
      </c>
      <c r="M18" s="17">
        <f ca="1">SUM(B18:L18)</f>
        <v>32547.673567325233</v>
      </c>
      <c r="N18" s="17"/>
      <c r="O18" s="17"/>
      <c r="P18" s="9"/>
      <c r="Q18" s="14"/>
      <c r="R18" s="11">
        <f t="shared" ca="1" si="6"/>
        <v>32547.673567325233</v>
      </c>
      <c r="S18" s="17">
        <f t="shared" ca="1" si="4"/>
        <v>32547.673567325233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0.90807506113903314</v>
      </c>
      <c r="K19" s="39">
        <f ca="1">J19</f>
        <v>0.90807506113903314</v>
      </c>
      <c r="L19" s="40">
        <f ca="1">1-(-L14)/L18</f>
        <v>0.89383066582639481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6898.4904900875508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6898.4904900875508</v>
      </c>
      <c r="N2" s="17"/>
      <c r="O2" s="17">
        <f ca="1">R2-(M2+P2+Q2)</f>
        <v>0</v>
      </c>
      <c r="P2" s="11" cm="1">
        <f t="array" aca="1" ref="P2" ca="1">INDIRECT("'data'!$F$" &amp; $A$1)</f>
        <v>53.300000000000004</v>
      </c>
      <c r="Q2" s="13">
        <f ca="1">IF(-(M2-R2+P2)&lt;0, -(M2-R2+P2), 0)</f>
        <v>-6951.790490087551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6499.3432835820895</v>
      </c>
      <c r="G3" s="14">
        <f ca="1">R7/parameters!$B$6</f>
        <v>0</v>
      </c>
      <c r="H3" s="14">
        <f ca="1">R3-P3-Q3-F3-G3</f>
        <v>477.59171641790999</v>
      </c>
      <c r="I3" s="14"/>
      <c r="J3" s="14"/>
      <c r="K3" s="14"/>
      <c r="L3" s="13"/>
      <c r="M3" s="16">
        <f t="shared" ref="M3:M11" ca="1" si="0">SUM(B3:L3)</f>
        <v>6976.9349999999995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191.83499999999998</v>
      </c>
      <c r="Q3" s="13" cm="1">
        <f t="array" aca="1" ref="Q3" ca="1">-INDIRECT("'data'!$I$" &amp; $A$1)*parameters!$B$13</f>
        <v>-313.74</v>
      </c>
      <c r="R3" s="16" cm="1">
        <f t="array" aca="1" ref="R3" ca="1">INDIRECT("'data'!$G$" &amp; $A$1)*parameters!$B$13</f>
        <v>6855.03</v>
      </c>
      <c r="S3" s="16">
        <f t="shared" ref="S3:S11" ca="1" si="2">SUM(M3:Q3)</f>
        <v>6855.03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28.52</v>
      </c>
      <c r="I4" s="14"/>
      <c r="J4" s="14"/>
      <c r="K4" s="14"/>
      <c r="L4" s="13"/>
      <c r="M4" s="16">
        <f t="shared" ca="1" si="0"/>
        <v>28.52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-29.44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1624.8358208955224</v>
      </c>
      <c r="G5" s="14"/>
      <c r="H5" s="14">
        <f ca="1">R8/parameters!$B$7-(H3+H4)</f>
        <v>2201.4326931954652</v>
      </c>
      <c r="I5" s="14"/>
      <c r="J5" s="14"/>
      <c r="K5" s="14"/>
      <c r="L5" s="13"/>
      <c r="M5" s="16">
        <f t="shared" ca="1" si="0"/>
        <v>3826.2685140909875</v>
      </c>
      <c r="N5" s="16"/>
      <c r="O5" s="16"/>
      <c r="P5" s="11" cm="1">
        <f t="array" aca="1" ref="P5" ca="1">INDIRECT("'data'!$M$" &amp; $A$1)*parameters!$B$15</f>
        <v>2666.58</v>
      </c>
      <c r="Q5" s="13" cm="1">
        <f t="array" aca="1" ref="Q5" ca="1">-INDIRECT("'data'!$N$" &amp; $A$1)*parameters!$B$15</f>
        <v>-4417.84</v>
      </c>
      <c r="R5" s="16">
        <f ca="1">SUM(M5:Q5)</f>
        <v>2075.0085140909869</v>
      </c>
      <c r="S5" s="16">
        <f t="shared" ca="1" si="2"/>
        <v>2075.0085140909869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7620.48</v>
      </c>
      <c r="J6" s="14"/>
      <c r="K6" s="14"/>
      <c r="L6" s="13"/>
      <c r="M6" s="16">
        <f t="shared" ca="1" si="0"/>
        <v>7620.48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7620.48</v>
      </c>
      <c r="S6" s="16">
        <f t="shared" ca="1" si="2"/>
        <v>7620.48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2591.12</v>
      </c>
      <c r="J8" s="14"/>
      <c r="K8" s="14"/>
      <c r="L8" s="13"/>
      <c r="M8" s="16">
        <f t="shared" ca="1" si="0"/>
        <v>2591.12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2591.12</v>
      </c>
      <c r="S8" s="16">
        <f t="shared" ca="1" si="2"/>
        <v>2591.12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1034.713582974259</v>
      </c>
      <c r="K9" s="14">
        <f ca="1">R11/K19</f>
        <v>11935.586417025741</v>
      </c>
      <c r="L9" s="13"/>
      <c r="M9" s="16">
        <f t="shared" ca="1" si="0"/>
        <v>12970.3</v>
      </c>
      <c r="N9" s="16"/>
      <c r="O9" s="16">
        <f t="shared" ca="1" si="3"/>
        <v>0</v>
      </c>
      <c r="P9" s="11" cm="1">
        <f t="array" aca="1" ref="P9" ca="1">INDIRECT("'data'!$R$" &amp; $A$1)*parameters!$B$15</f>
        <v>630.14</v>
      </c>
      <c r="Q9" s="13" cm="1">
        <f t="array" aca="1" ref="Q9" ca="1">-INDIRECT("'data'!$S$" &amp; $A$1)*parameters!$B$15</f>
        <v>-3388.84</v>
      </c>
      <c r="R9" s="16">
        <f ca="1">SUM(R6:R8)</f>
        <v>10211.599999999999</v>
      </c>
      <c r="S9" s="16">
        <f t="shared" ca="1" si="2"/>
        <v>10211.599999999999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1462.1599999999999</v>
      </c>
      <c r="M10" s="16">
        <f t="shared" ca="1" si="0"/>
        <v>1462.1599999999999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1776.74</v>
      </c>
      <c r="Q10" s="13" cm="1">
        <f t="array" aca="1" ref="Q10" ca="1">-INDIRECT("'data'!$V$" &amp; $A$1)*parameters!$B$15</f>
        <v>-2228.52</v>
      </c>
      <c r="R10" s="16" cm="1">
        <f t="array" aca="1" ref="R10" ca="1">INDIRECT("'data'!$T$" &amp; $A$1)*parameters!$B$15</f>
        <v>1010.38</v>
      </c>
      <c r="S10" s="16">
        <f t="shared" ca="1" si="2"/>
        <v>1010.3799999999997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2943.6746514935985</v>
      </c>
      <c r="M11" s="16">
        <f t="shared" ca="1" si="0"/>
        <v>2943.6746514935985</v>
      </c>
      <c r="N11" s="16"/>
      <c r="O11" s="16">
        <f t="shared" ca="1" si="3"/>
        <v>0</v>
      </c>
      <c r="P11" s="11" cm="1">
        <f t="array" aca="1" ref="P11" ca="1">INDIRECT("'data'!$X$" &amp; $A$1)*parameters!$B$15</f>
        <v>13965.98</v>
      </c>
      <c r="Q11" s="13" cm="1">
        <f t="array" aca="1" ref="Q11" ca="1">-INDIRECT("'data'!$Y$" &amp; $A$1)*parameters!$B$15</f>
        <v>-5254.76</v>
      </c>
      <c r="R11" s="16" cm="1">
        <f t="array" aca="1" ref="R11" ca="1">INDIRECT("'data'!$W$" &amp; $A$1)*parameters!$B$15</f>
        <v>11654.894651493598</v>
      </c>
      <c r="S11" s="16">
        <f t="shared" ca="1" si="2"/>
        <v>11654.894651493598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4516.5306002844945</v>
      </c>
      <c r="O12" s="19"/>
      <c r="P12" s="21" cm="1">
        <f t="array" aca="1" ref="P12" ca="1">INDIRECT("'data'!$Z$" &amp; $A$1)*parameters!$B$15</f>
        <v>6517.98</v>
      </c>
      <c r="Q12" s="27" cm="1">
        <f t="array" aca="1" ref="Q12" ca="1">-INDIRECT("'data'!$AA$" &amp; $A$1)*parameters!$B$15</f>
        <v>-7128.5199999999995</v>
      </c>
      <c r="R12" s="16">
        <f ca="1">L10*parameters!$B$10+L11*parameters!$B$11</f>
        <v>3905.9906002844946</v>
      </c>
      <c r="S12" s="16">
        <f t="shared" ref="S12:S18" ca="1" si="4">SUM(M12:Q12)</f>
        <v>3905.9906002844955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-43.460490087551079</v>
      </c>
      <c r="D13" s="9">
        <f ca="1">-(D18-R4)</f>
        <v>0</v>
      </c>
      <c r="E13" s="9">
        <f ca="1">-(E18-R5)</f>
        <v>-256.46172646068362</v>
      </c>
      <c r="F13" s="9">
        <f ca="1">-(F18-R6)</f>
        <v>-503.69910447761231</v>
      </c>
      <c r="G13" s="9">
        <f ca="1">-(G18-R7)</f>
        <v>0</v>
      </c>
      <c r="H13" s="9">
        <f ca="1">-(H18-R8)</f>
        <v>-116.42440961337525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-920.04573063922226</v>
      </c>
      <c r="N13" s="17"/>
      <c r="O13" s="17"/>
      <c r="P13" s="10"/>
      <c r="Q13" s="12"/>
      <c r="R13" s="9">
        <f t="shared" ref="R13:R18" ca="1" si="6">SUM(M13:Q13)</f>
        <v>-920.04573063922226</v>
      </c>
      <c r="S13" s="17">
        <f t="shared" ca="1" si="4"/>
        <v>-920.04573063922226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-24.333582974259002</v>
      </c>
      <c r="K14" s="14">
        <f ca="1">-(K18-R11)</f>
        <v>-280.69176553214311</v>
      </c>
      <c r="L14" s="13">
        <f ca="1">-(L18-R12)</f>
        <v>-499.84405120910378</v>
      </c>
      <c r="M14" s="14">
        <f t="shared" ca="1" si="5"/>
        <v>-804.86939971550589</v>
      </c>
      <c r="N14" s="16">
        <f ca="1">-E16</f>
        <v>-1526.6008408361645</v>
      </c>
      <c r="O14" s="16"/>
      <c r="P14" s="11"/>
      <c r="Q14" s="13"/>
      <c r="R14" s="14">
        <f t="shared" ca="1" si="6"/>
        <v>-2331.4702405516705</v>
      </c>
      <c r="S14" s="16">
        <f t="shared" ca="1" si="4"/>
        <v>-2331.4702405516705</v>
      </c>
    </row>
    <row r="15" spans="1:21">
      <c r="A15" s="18" t="s">
        <v>79</v>
      </c>
      <c r="B15" s="11"/>
      <c r="C15" s="14"/>
      <c r="D15" s="14"/>
      <c r="E15" s="14">
        <f ca="1">-(J14+K14)-L14</f>
        <v>804.86939971550589</v>
      </c>
      <c r="F15" s="14"/>
      <c r="G15" s="14"/>
      <c r="H15" s="14"/>
      <c r="I15" s="14"/>
      <c r="J15" s="14"/>
      <c r="K15" s="14"/>
      <c r="L15" s="13"/>
      <c r="M15" s="14">
        <f t="shared" ca="1" si="5"/>
        <v>804.86939971550589</v>
      </c>
      <c r="N15" s="16"/>
      <c r="O15" s="16"/>
      <c r="P15" s="11"/>
      <c r="Q15" s="13"/>
      <c r="R15" s="14">
        <f t="shared" ca="1" si="6"/>
        <v>804.86939971550589</v>
      </c>
      <c r="S15" s="16">
        <f t="shared" ca="1" si="4"/>
        <v>804.86939971550589</v>
      </c>
    </row>
    <row r="16" spans="1:21">
      <c r="A16" s="18" t="s">
        <v>80</v>
      </c>
      <c r="B16" s="11"/>
      <c r="C16" s="14"/>
      <c r="D16" s="14"/>
      <c r="E16" s="14">
        <f ca="1">E18-E15</f>
        <v>1526.6008408361645</v>
      </c>
      <c r="F16" s="14"/>
      <c r="G16" s="14"/>
      <c r="H16" s="14"/>
      <c r="I16" s="14"/>
      <c r="J16" s="14"/>
      <c r="K16" s="14"/>
      <c r="L16" s="13"/>
      <c r="M16" s="14">
        <f t="shared" ca="1" si="5"/>
        <v>1526.6008408361645</v>
      </c>
      <c r="N16" s="16"/>
      <c r="O16" s="16"/>
      <c r="P16" s="11"/>
      <c r="Q16" s="13"/>
      <c r="R16" s="14">
        <f t="shared" ca="1" si="6"/>
        <v>1526.6008408361645</v>
      </c>
      <c r="S16" s="16">
        <f t="shared" ca="1" si="4"/>
        <v>1526.6008408361645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6898.4904900875508</v>
      </c>
      <c r="D18" s="9">
        <f ca="1">SUM(D$2:D$12)</f>
        <v>0</v>
      </c>
      <c r="E18" s="9">
        <f ca="1">$R$5/parameters!$B$4</f>
        <v>2331.4702405516705</v>
      </c>
      <c r="F18" s="9">
        <f t="shared" ref="F18:L18" ca="1" si="7">SUM(F$2:F$12)</f>
        <v>8124.1791044776119</v>
      </c>
      <c r="G18" s="9">
        <f t="shared" ca="1" si="7"/>
        <v>0</v>
      </c>
      <c r="H18" s="9">
        <f t="shared" ca="1" si="7"/>
        <v>2707.5444096133751</v>
      </c>
      <c r="I18" s="9">
        <f t="shared" ca="1" si="7"/>
        <v>10211.599999999999</v>
      </c>
      <c r="J18" s="9">
        <f t="shared" ca="1" si="7"/>
        <v>1034.713582974259</v>
      </c>
      <c r="K18" s="9">
        <f t="shared" ca="1" si="7"/>
        <v>11935.586417025741</v>
      </c>
      <c r="L18" s="9">
        <f t="shared" ca="1" si="7"/>
        <v>4405.8346514935984</v>
      </c>
      <c r="M18" s="17">
        <f ca="1">SUM(B18:L18)</f>
        <v>47649.418896223804</v>
      </c>
      <c r="N18" s="17"/>
      <c r="O18" s="17"/>
      <c r="P18" s="9"/>
      <c r="Q18" s="14"/>
      <c r="R18" s="11">
        <f t="shared" ca="1" si="6"/>
        <v>47649.418896223804</v>
      </c>
      <c r="S18" s="17">
        <f t="shared" ca="1" si="4"/>
        <v>47649.418896223804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0.97648278385955589</v>
      </c>
      <c r="K19" s="39">
        <f ca="1">J19</f>
        <v>0.97648278385955589</v>
      </c>
      <c r="L19" s="40">
        <f ca="1">1-(-L14)/L18</f>
        <v>0.88654952109025376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9689.6497937003114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9689.6497937003114</v>
      </c>
      <c r="N2" s="17"/>
      <c r="O2" s="17">
        <f ca="1">R2-(M2+P2+Q2)</f>
        <v>0</v>
      </c>
      <c r="P2" s="11" cm="1">
        <f t="array" aca="1" ref="P2" ca="1">INDIRECT("'data'!$F$" &amp; $A$1)</f>
        <v>1.3</v>
      </c>
      <c r="Q2" s="13">
        <f ca="1">IF(-(M2-R2+P2)&lt;0, -(M2-R2+P2), 0)</f>
        <v>-9690.9497937003107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9258.8059701492548</v>
      </c>
      <c r="G3" s="14">
        <f ca="1">R7/parameters!$B$6</f>
        <v>0</v>
      </c>
      <c r="H3" s="14">
        <f ca="1">R3-P3-Q3-F3-G3</f>
        <v>465.24402985074448</v>
      </c>
      <c r="I3" s="14"/>
      <c r="J3" s="14"/>
      <c r="K3" s="14"/>
      <c r="L3" s="13"/>
      <c r="M3" s="16">
        <f t="shared" ref="M3:M11" ca="1" si="0">SUM(B3:L3)</f>
        <v>9724.0499999999993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-96.39</v>
      </c>
      <c r="R3" s="16" cm="1">
        <f t="array" aca="1" ref="R3" ca="1">INDIRECT("'data'!$G$" &amp; $A$1)*parameters!$B$13</f>
        <v>9628.6049999999996</v>
      </c>
      <c r="S3" s="16">
        <f t="shared" ref="S3:S11" ca="1" si="2">SUM(M3:Q3)</f>
        <v>9628.6049999999996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1.84</v>
      </c>
      <c r="I4" s="14"/>
      <c r="J4" s="14"/>
      <c r="K4" s="14"/>
      <c r="L4" s="13"/>
      <c r="M4" s="16">
        <f t="shared" ca="1" si="0"/>
        <v>1.84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-1.84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1763.582089552239</v>
      </c>
      <c r="G5" s="14"/>
      <c r="H5" s="14">
        <f ca="1">R8/parameters!$B$7-(H3+H4)</f>
        <v>2274.2534832109063</v>
      </c>
      <c r="I5" s="14"/>
      <c r="J5" s="14"/>
      <c r="K5" s="14"/>
      <c r="L5" s="13"/>
      <c r="M5" s="16">
        <f t="shared" ca="1" si="0"/>
        <v>4037.8355727631451</v>
      </c>
      <c r="N5" s="16"/>
      <c r="O5" s="16"/>
      <c r="P5" s="11" cm="1">
        <f t="array" aca="1" ref="P5" ca="1">INDIRECT("'data'!$M$" &amp; $A$1)*parameters!$B$15</f>
        <v>5985.84</v>
      </c>
      <c r="Q5" s="13" cm="1">
        <f t="array" aca="1" ref="Q5" ca="1">-INDIRECT("'data'!$N$" &amp; $A$1)*parameters!$B$15</f>
        <v>-181.29999999999998</v>
      </c>
      <c r="R5" s="16">
        <f ca="1">SUM(M5:Q5)</f>
        <v>9842.3755727631469</v>
      </c>
      <c r="S5" s="16">
        <f t="shared" ca="1" si="2"/>
        <v>9842.3755727631469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10339</v>
      </c>
      <c r="J6" s="14"/>
      <c r="K6" s="14"/>
      <c r="L6" s="13"/>
      <c r="M6" s="16">
        <f t="shared" ca="1" si="0"/>
        <v>10339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10339</v>
      </c>
      <c r="S6" s="16">
        <f t="shared" ca="1" si="2"/>
        <v>10339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2623.46</v>
      </c>
      <c r="J8" s="14"/>
      <c r="K8" s="14"/>
      <c r="L8" s="13"/>
      <c r="M8" s="16">
        <f t="shared" ca="1" si="0"/>
        <v>2623.46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2623.46</v>
      </c>
      <c r="S8" s="16">
        <f t="shared" ca="1" si="2"/>
        <v>2623.46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4967.0757270954482</v>
      </c>
      <c r="K9" s="14">
        <f ca="1">R11/K19</f>
        <v>6501.8642729045505</v>
      </c>
      <c r="L9" s="13"/>
      <c r="M9" s="16">
        <f t="shared" ca="1" si="0"/>
        <v>11468.939999999999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2219.6999999999998</v>
      </c>
      <c r="Q9" s="13" cm="1">
        <f t="array" aca="1" ref="Q9" ca="1">-INDIRECT("'data'!$S$" &amp; $A$1)*parameters!$B$15</f>
        <v>-726.18</v>
      </c>
      <c r="R9" s="16">
        <f ca="1">SUM(R6:R8)</f>
        <v>12962.46</v>
      </c>
      <c r="S9" s="16">
        <f t="shared" ca="1" si="2"/>
        <v>12962.46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3791.62</v>
      </c>
      <c r="M10" s="16">
        <f t="shared" ca="1" si="0"/>
        <v>3791.62</v>
      </c>
      <c r="N10" s="16"/>
      <c r="O10" s="16">
        <f t="shared" ca="1" si="3"/>
        <v>0</v>
      </c>
      <c r="P10" s="11" cm="1">
        <f t="array" aca="1" ref="P10" ca="1">INDIRECT("'data'!$U$" &amp; $A$1)*parameters!$B$15</f>
        <v>2566.62</v>
      </c>
      <c r="Q10" s="13" cm="1">
        <f t="array" aca="1" ref="Q10" ca="1">-INDIRECT("'data'!$V$" &amp; $A$1)*parameters!$B$15</f>
        <v>-2038.3999999999999</v>
      </c>
      <c r="R10" s="16" cm="1">
        <f t="array" aca="1" ref="R10" ca="1">INDIRECT("'data'!$T$" &amp; $A$1)*parameters!$B$15</f>
        <v>4319.84</v>
      </c>
      <c r="S10" s="16">
        <f t="shared" ca="1" si="2"/>
        <v>4319.84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6698.3376386913233</v>
      </c>
      <c r="M11" s="16">
        <f t="shared" ca="1" si="0"/>
        <v>6698.3376386913233</v>
      </c>
      <c r="N11" s="16"/>
      <c r="O11" s="16">
        <f t="shared" ca="1" si="3"/>
        <v>0</v>
      </c>
      <c r="P11" s="11" cm="1">
        <f t="array" aca="1" ref="P11" ca="1">INDIRECT("'data'!$X$" &amp; $A$1)*parameters!$B$15</f>
        <v>2773.4</v>
      </c>
      <c r="Q11" s="13" cm="1">
        <f t="array" aca="1" ref="Q11" ca="1">-INDIRECT("'data'!$Y$" &amp; $A$1)*parameters!$B$15</f>
        <v>-3817.1</v>
      </c>
      <c r="R11" s="16" cm="1">
        <f t="array" aca="1" ref="R11" ca="1">INDIRECT("'data'!$W$" &amp; $A$1)*parameters!$B$15</f>
        <v>5654.6376386913234</v>
      </c>
      <c r="S11" s="16">
        <f t="shared" ca="1" si="2"/>
        <v>5654.6376386913234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13784.673169274538</v>
      </c>
      <c r="O12" s="19"/>
      <c r="P12" s="21" cm="1">
        <f t="array" aca="1" ref="P12" ca="1">INDIRECT("'data'!$Z$" &amp; $A$1)*parameters!$B$15</f>
        <v>6658.12</v>
      </c>
      <c r="Q12" s="27" cm="1">
        <f t="array" aca="1" ref="Q12" ca="1">-INDIRECT("'data'!$AA$" &amp; $A$1)*parameters!$B$15</f>
        <v>-11118.1</v>
      </c>
      <c r="R12" s="16">
        <f ca="1">L10*parameters!$B$10+L11*parameters!$B$11</f>
        <v>9324.6931692745384</v>
      </c>
      <c r="S12" s="16">
        <f t="shared" ref="S12:S18" ca="1" si="4">SUM(M12:Q12)</f>
        <v>9324.6931692745366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-61.044793700311857</v>
      </c>
      <c r="D13" s="9">
        <f ca="1">-(D18-R4)</f>
        <v>0</v>
      </c>
      <c r="E13" s="9">
        <f ca="1">-(E18-R5)</f>
        <v>-1216.4733853976923</v>
      </c>
      <c r="F13" s="9">
        <f ca="1">-(F18-R6)</f>
        <v>-683.38805970149406</v>
      </c>
      <c r="G13" s="9">
        <f ca="1">-(G18-R7)</f>
        <v>0</v>
      </c>
      <c r="H13" s="9">
        <f ca="1">-(H18-R8)</f>
        <v>-117.87751306165092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-2078.7837518611491</v>
      </c>
      <c r="N13" s="17"/>
      <c r="O13" s="17"/>
      <c r="P13" s="10"/>
      <c r="Q13" s="12"/>
      <c r="R13" s="9">
        <f t="shared" ref="R13:R18" ca="1" si="6">SUM(M13:Q13)</f>
        <v>-2078.7837518611491</v>
      </c>
      <c r="S13" s="17">
        <f t="shared" ca="1" si="4"/>
        <v>-2078.7837518611491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-647.23572709544806</v>
      </c>
      <c r="K14" s="14">
        <f ca="1">-(K18-R11)</f>
        <v>-847.22663421322704</v>
      </c>
      <c r="L14" s="13">
        <f ca="1">-(L18-R12)</f>
        <v>-1165.2644694167848</v>
      </c>
      <c r="M14" s="14">
        <f t="shared" ca="1" si="5"/>
        <v>-2659.7268307254599</v>
      </c>
      <c r="N14" s="16">
        <f ca="1">-E16</f>
        <v>-8399.1221274353793</v>
      </c>
      <c r="O14" s="16"/>
      <c r="P14" s="11"/>
      <c r="Q14" s="13"/>
      <c r="R14" s="14">
        <f t="shared" ca="1" si="6"/>
        <v>-11058.848958160839</v>
      </c>
      <c r="S14" s="16">
        <f t="shared" ca="1" si="4"/>
        <v>-11058.848958160839</v>
      </c>
    </row>
    <row r="15" spans="1:21">
      <c r="A15" s="18" t="s">
        <v>79</v>
      </c>
      <c r="B15" s="11"/>
      <c r="C15" s="14"/>
      <c r="D15" s="14"/>
      <c r="E15" s="14">
        <f ca="1">-(J14+K14)-L14</f>
        <v>2659.7268307254599</v>
      </c>
      <c r="F15" s="14"/>
      <c r="G15" s="14"/>
      <c r="H15" s="14"/>
      <c r="I15" s="14"/>
      <c r="J15" s="14"/>
      <c r="K15" s="14"/>
      <c r="L15" s="13"/>
      <c r="M15" s="14">
        <f t="shared" ca="1" si="5"/>
        <v>2659.7268307254599</v>
      </c>
      <c r="N15" s="16"/>
      <c r="O15" s="16"/>
      <c r="P15" s="11"/>
      <c r="Q15" s="13"/>
      <c r="R15" s="14">
        <f t="shared" ca="1" si="6"/>
        <v>2659.7268307254599</v>
      </c>
      <c r="S15" s="16">
        <f t="shared" ca="1" si="4"/>
        <v>2659.7268307254599</v>
      </c>
    </row>
    <row r="16" spans="1:21">
      <c r="A16" s="18" t="s">
        <v>80</v>
      </c>
      <c r="B16" s="11"/>
      <c r="C16" s="14"/>
      <c r="D16" s="14"/>
      <c r="E16" s="14">
        <f ca="1">E18-E15</f>
        <v>8399.1221274353793</v>
      </c>
      <c r="F16" s="14"/>
      <c r="G16" s="14"/>
      <c r="H16" s="14"/>
      <c r="I16" s="14"/>
      <c r="J16" s="14"/>
      <c r="K16" s="14"/>
      <c r="L16" s="13"/>
      <c r="M16" s="14">
        <f t="shared" ca="1" si="5"/>
        <v>8399.1221274353793</v>
      </c>
      <c r="N16" s="16"/>
      <c r="O16" s="16"/>
      <c r="P16" s="11"/>
      <c r="Q16" s="13"/>
      <c r="R16" s="14">
        <f t="shared" ca="1" si="6"/>
        <v>8399.1221274353793</v>
      </c>
      <c r="S16" s="16">
        <f t="shared" ca="1" si="4"/>
        <v>8399.1221274353793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9689.6497937003114</v>
      </c>
      <c r="D18" s="9">
        <f ca="1">SUM(D$2:D$12)</f>
        <v>0</v>
      </c>
      <c r="E18" s="9">
        <f ca="1">$R$5/parameters!$B$4</f>
        <v>11058.848958160839</v>
      </c>
      <c r="F18" s="9">
        <f t="shared" ref="F18:L18" ca="1" si="7">SUM(F$2:F$12)</f>
        <v>11022.388059701494</v>
      </c>
      <c r="G18" s="9">
        <f t="shared" ca="1" si="7"/>
        <v>0</v>
      </c>
      <c r="H18" s="9">
        <f t="shared" ca="1" si="7"/>
        <v>2741.337513061651</v>
      </c>
      <c r="I18" s="9">
        <f t="shared" ca="1" si="7"/>
        <v>12962.46</v>
      </c>
      <c r="J18" s="9">
        <f t="shared" ca="1" si="7"/>
        <v>4967.0757270954482</v>
      </c>
      <c r="K18" s="9">
        <f t="shared" ca="1" si="7"/>
        <v>6501.8642729045505</v>
      </c>
      <c r="L18" s="9">
        <f t="shared" ca="1" si="7"/>
        <v>10489.957638691323</v>
      </c>
      <c r="M18" s="17">
        <f ca="1">SUM(B18:L18)</f>
        <v>69433.581963315621</v>
      </c>
      <c r="N18" s="17"/>
      <c r="O18" s="17"/>
      <c r="P18" s="9"/>
      <c r="Q18" s="14"/>
      <c r="R18" s="11">
        <f t="shared" ca="1" si="6"/>
        <v>69433.581963315621</v>
      </c>
      <c r="S18" s="17">
        <f t="shared" ca="1" si="4"/>
        <v>69433.581963315621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0.86969481387916625</v>
      </c>
      <c r="K19" s="39">
        <f ca="1">J19</f>
        <v>0.86969481387916625</v>
      </c>
      <c r="L19" s="40">
        <f ca="1">1-(-L14)/L18</f>
        <v>0.88891618922093596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5324.675475137682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5324.675475137682</v>
      </c>
      <c r="N2" s="17"/>
      <c r="O2" s="17">
        <f ca="1">R2-(M2+P2+Q2)</f>
        <v>0</v>
      </c>
      <c r="P2" s="11" cm="1">
        <f t="array" aca="1" ref="P2" ca="1">INDIRECT("'data'!$F$" &amp; $A$1)</f>
        <v>13564.85</v>
      </c>
      <c r="Q2" s="13">
        <f ca="1">IF(-(M2-R2+P2)&lt;0, -(M2-R2+P2), 0)</f>
        <v>-18889.525475137681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5594.3791044776117</v>
      </c>
      <c r="G3" s="14">
        <f ca="1">R7/parameters!$B$6</f>
        <v>0</v>
      </c>
      <c r="H3" s="14">
        <f ca="1">R3-P3-Q3-F3-G3</f>
        <v>11.435915166703126</v>
      </c>
      <c r="I3" s="14"/>
      <c r="J3" s="14"/>
      <c r="K3" s="14"/>
      <c r="L3" s="13"/>
      <c r="M3" s="16">
        <f t="shared" ref="M3:M11" ca="1" si="0">SUM(B3:L3)</f>
        <v>5605.8150196443148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151.19999999999999</v>
      </c>
      <c r="Q3" s="13" cm="1">
        <f t="array" aca="1" ref="Q3" ca="1">-INDIRECT("'data'!$I$" &amp; $A$1)*parameters!$B$13</f>
        <v>-465.88499999999999</v>
      </c>
      <c r="R3" s="16" cm="1">
        <f t="array" aca="1" ref="R3" ca="1">INDIRECT("'data'!$G$" &amp; $A$1)*parameters!$B$13</f>
        <v>5291.1300196443144</v>
      </c>
      <c r="S3" s="16">
        <f t="shared" ref="S3:S11" ca="1" si="2">SUM(M3:Q3)</f>
        <v>5291.1300196443144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70.84</v>
      </c>
      <c r="I4" s="14"/>
      <c r="J4" s="14"/>
      <c r="K4" s="14"/>
      <c r="L4" s="13"/>
      <c r="M4" s="16">
        <f t="shared" ca="1" si="0"/>
        <v>70.84</v>
      </c>
      <c r="N4" s="16"/>
      <c r="O4" s="16">
        <f t="shared" ca="1" si="1"/>
        <v>0</v>
      </c>
      <c r="P4" s="11" cm="1">
        <f t="array" aca="1" ref="P4" ca="1">INDIRECT("'data'!$K$" &amp; $A$1)*parameters!$B$14</f>
        <v>56.120000000000005</v>
      </c>
      <c r="Q4" s="13" cm="1">
        <f t="array" aca="1" ref="Q4" ca="1">-INDIRECT("'data'!$L$" &amp; $A$1)*parameters!$B$14</f>
        <v>-126.96000000000001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14">
        <f ca="1">R6/parameters!$B$5*21%</f>
        <v>1487.113432835821</v>
      </c>
      <c r="G5" s="14"/>
      <c r="H5" s="14">
        <f ca="1">R8/parameters!$B$7-(H3+H4)</f>
        <v>62.112799566839215</v>
      </c>
      <c r="I5" s="14"/>
      <c r="J5" s="14"/>
      <c r="K5" s="14"/>
      <c r="L5" s="13"/>
      <c r="M5" s="16">
        <f t="shared" ca="1" si="0"/>
        <v>1549.2262324026601</v>
      </c>
      <c r="N5" s="16"/>
      <c r="O5" s="16"/>
      <c r="P5" s="11" cm="1">
        <f t="array" aca="1" ref="P5" ca="1">INDIRECT("'data'!$M$" &amp; $A$1)*parameters!$B$15</f>
        <v>4115.0199999999995</v>
      </c>
      <c r="Q5" s="13" cm="1">
        <f t="array" aca="1" ref="Q5" ca="1">-INDIRECT("'data'!$N$" &amp; $A$1)*parameters!$B$15</f>
        <v>-2118.7599999999998</v>
      </c>
      <c r="R5" s="16">
        <f ca="1">SUM(M5:Q5)</f>
        <v>3545.4862324026603</v>
      </c>
      <c r="S5" s="16">
        <f t="shared" ca="1" si="2"/>
        <v>3545.4862324026603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6642.44</v>
      </c>
      <c r="J6" s="14"/>
      <c r="K6" s="14"/>
      <c r="L6" s="13"/>
      <c r="M6" s="16">
        <f t="shared" ca="1" si="0"/>
        <v>6642.44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6642.44</v>
      </c>
      <c r="S6" s="16">
        <f t="shared" ca="1" si="2"/>
        <v>6642.44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138.18</v>
      </c>
      <c r="J8" s="14"/>
      <c r="K8" s="14"/>
      <c r="L8" s="13"/>
      <c r="M8" s="16">
        <f t="shared" ca="1" si="0"/>
        <v>138.18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138.18</v>
      </c>
      <c r="S8" s="16">
        <f t="shared" ca="1" si="2"/>
        <v>138.18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251.68404491177736</v>
      </c>
      <c r="K9" s="14">
        <f ca="1">R11/K19</f>
        <v>6731.7959550882233</v>
      </c>
      <c r="L9" s="13"/>
      <c r="M9" s="16">
        <f t="shared" ca="1" si="0"/>
        <v>6983.4800000000005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112.7</v>
      </c>
      <c r="Q9" s="13" cm="1">
        <f t="array" aca="1" ref="Q9" ca="1">-INDIRECT("'data'!$S$" &amp; $A$1)*parameters!$B$15</f>
        <v>-315.56</v>
      </c>
      <c r="R9" s="16">
        <f ca="1">SUM(R6:R8)</f>
        <v>6780.62</v>
      </c>
      <c r="S9" s="16">
        <f t="shared" ca="1" si="2"/>
        <v>6780.62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1783.6000000000001</v>
      </c>
      <c r="M10" s="16">
        <f t="shared" ca="1" si="0"/>
        <v>1783.6000000000001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928.06</v>
      </c>
      <c r="Q10" s="13" cm="1">
        <f t="array" aca="1" ref="Q10" ca="1">-INDIRECT("'data'!$V$" &amp; $A$1)*parameters!$B$15</f>
        <v>-2500.96</v>
      </c>
      <c r="R10" s="16" cm="1">
        <f t="array" aca="1" ref="R10" ca="1">INDIRECT("'data'!$T$" &amp; $A$1)*parameters!$B$15</f>
        <v>210.7</v>
      </c>
      <c r="S10" s="16">
        <f t="shared" ca="1" si="2"/>
        <v>210.69999999999982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2088.9752489331436</v>
      </c>
      <c r="M11" s="16">
        <f t="shared" ca="1" si="0"/>
        <v>2088.9752489331436</v>
      </c>
      <c r="N11" s="16"/>
      <c r="O11" s="16">
        <f t="shared" ca="1" si="3"/>
        <v>0</v>
      </c>
      <c r="P11" s="11" cm="1">
        <f t="array" aca="1" ref="P11" ca="1">INDIRECT("'data'!$X$" &amp; $A$1)*parameters!$B$15</f>
        <v>6545.42</v>
      </c>
      <c r="Q11" s="13" cm="1">
        <f t="array" aca="1" ref="Q11" ca="1">-INDIRECT("'data'!$Y$" &amp; $A$1)*parameters!$B$15</f>
        <v>-2998.7999999999997</v>
      </c>
      <c r="R11" s="16" cm="1">
        <f t="array" aca="1" ref="R11" ca="1">INDIRECT("'data'!$W$" &amp; $A$1)*parameters!$B$15</f>
        <v>5635.5952489331439</v>
      </c>
      <c r="S11" s="16">
        <f t="shared" ca="1" si="2"/>
        <v>5635.5952489331448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3417.2427140825039</v>
      </c>
      <c r="O12" s="19"/>
      <c r="P12" s="21" cm="1">
        <f t="array" aca="1" ref="P12" ca="1">INDIRECT("'data'!$Z$" &amp; $A$1)*parameters!$B$15</f>
        <v>4694.2</v>
      </c>
      <c r="Q12" s="27" cm="1">
        <f t="array" aca="1" ref="Q12" ca="1">-INDIRECT("'data'!$AA$" &amp; $A$1)*parameters!$B$15</f>
        <v>-4638.34</v>
      </c>
      <c r="R12" s="16">
        <f ca="1">L10*parameters!$B$10+L11*parameters!$B$11</f>
        <v>3473.1027140825036</v>
      </c>
      <c r="S12" s="16">
        <f t="shared" ref="S12:S18" ca="1" si="4">SUM(M12:Q12)</f>
        <v>3473.1027140825036</v>
      </c>
    </row>
    <row r="13" spans="1:20">
      <c r="A13" s="29" t="s">
        <v>87</v>
      </c>
      <c r="B13" s="10">
        <f ca="1">-(B18-R2)</f>
        <v>0</v>
      </c>
      <c r="C13" s="9">
        <f ca="1">-(C18-R3)</f>
        <v>-33.545455493367626</v>
      </c>
      <c r="D13" s="9">
        <f ca="1">-(D18-R4)</f>
        <v>0</v>
      </c>
      <c r="E13" s="9">
        <f ca="1">-(E18-R5)</f>
        <v>-438.20616355538505</v>
      </c>
      <c r="F13" s="9">
        <f ca="1">-(F18-R6)</f>
        <v>-439.05253731343328</v>
      </c>
      <c r="G13" s="9">
        <f ca="1">-(G18-R7)</f>
        <v>0</v>
      </c>
      <c r="H13" s="9">
        <f ca="1">-(H18-R8)</f>
        <v>-6.2087147335423367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-917.01287109572831</v>
      </c>
      <c r="N13" s="17"/>
      <c r="O13" s="17"/>
      <c r="P13" s="10"/>
      <c r="Q13" s="12"/>
      <c r="R13" s="9">
        <f t="shared" ref="R13:R18" ca="1" si="6">SUM(M13:Q13)</f>
        <v>-917.01287109572831</v>
      </c>
      <c r="S13" s="17">
        <f t="shared" ca="1" si="4"/>
        <v>-917.01287109572831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-40.984044911777374</v>
      </c>
      <c r="K14" s="14">
        <f ca="1">-(K18-R11)</f>
        <v>-1096.2007061550794</v>
      </c>
      <c r="L14" s="13">
        <f ca="1">-(L18-R12)</f>
        <v>-399.47253485063993</v>
      </c>
      <c r="M14" s="14">
        <f t="shared" ca="1" si="5"/>
        <v>-1536.6572859174967</v>
      </c>
      <c r="N14" s="16">
        <f ca="1">-E16</f>
        <v>-2447.0351100405487</v>
      </c>
      <c r="O14" s="16"/>
      <c r="P14" s="11"/>
      <c r="Q14" s="13"/>
      <c r="R14" s="14">
        <f t="shared" ca="1" si="6"/>
        <v>-3983.6923959580454</v>
      </c>
      <c r="S14" s="16">
        <f t="shared" ca="1" si="4"/>
        <v>-3983.6923959580454</v>
      </c>
    </row>
    <row r="15" spans="1:20">
      <c r="A15" s="18" t="s">
        <v>79</v>
      </c>
      <c r="B15" s="11"/>
      <c r="C15" s="14"/>
      <c r="D15" s="14"/>
      <c r="E15" s="14">
        <f ca="1">-(J14+K14)-L14</f>
        <v>1536.6572859174967</v>
      </c>
      <c r="F15" s="14"/>
      <c r="G15" s="14"/>
      <c r="H15" s="14"/>
      <c r="I15" s="14"/>
      <c r="J15" s="14"/>
      <c r="K15" s="14"/>
      <c r="L15" s="13"/>
      <c r="M15" s="14">
        <f t="shared" ca="1" si="5"/>
        <v>1536.6572859174967</v>
      </c>
      <c r="N15" s="16"/>
      <c r="O15" s="16"/>
      <c r="P15" s="11"/>
      <c r="Q15" s="13"/>
      <c r="R15" s="14">
        <f t="shared" ca="1" si="6"/>
        <v>1536.6572859174967</v>
      </c>
      <c r="S15" s="16">
        <f t="shared" ca="1" si="4"/>
        <v>1536.6572859174967</v>
      </c>
    </row>
    <row r="16" spans="1:20">
      <c r="A16" s="18" t="s">
        <v>80</v>
      </c>
      <c r="B16" s="11"/>
      <c r="C16" s="14"/>
      <c r="D16" s="14"/>
      <c r="E16" s="14">
        <f ca="1">E18-E15</f>
        <v>2447.0351100405487</v>
      </c>
      <c r="F16" s="14"/>
      <c r="G16" s="14"/>
      <c r="H16" s="14"/>
      <c r="I16" s="14"/>
      <c r="J16" s="14"/>
      <c r="K16" s="14"/>
      <c r="L16" s="13"/>
      <c r="M16" s="14">
        <f t="shared" ca="1" si="5"/>
        <v>2447.0351100405487</v>
      </c>
      <c r="N16" s="16"/>
      <c r="O16" s="16"/>
      <c r="P16" s="11"/>
      <c r="Q16" s="13"/>
      <c r="R16" s="14">
        <f t="shared" ca="1" si="6"/>
        <v>2447.0351100405487</v>
      </c>
      <c r="S16" s="16">
        <f t="shared" ca="1" si="4"/>
        <v>2447.0351100405487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5324.675475137682</v>
      </c>
      <c r="D18" s="9">
        <f ca="1">SUM(D$2:D$12)</f>
        <v>0</v>
      </c>
      <c r="E18" s="9">
        <f ca="1">$R$5/parameters!$B$4</f>
        <v>3983.6923959580454</v>
      </c>
      <c r="F18" s="9">
        <f t="shared" ref="F18:L18" ca="1" si="7">SUM(F$2:F$12)</f>
        <v>7081.4925373134329</v>
      </c>
      <c r="G18" s="9">
        <f t="shared" ca="1" si="7"/>
        <v>0</v>
      </c>
      <c r="H18" s="9">
        <f t="shared" ca="1" si="7"/>
        <v>144.38871473354234</v>
      </c>
      <c r="I18" s="9">
        <f t="shared" ca="1" si="7"/>
        <v>6780.62</v>
      </c>
      <c r="J18" s="9">
        <f t="shared" ca="1" si="7"/>
        <v>251.68404491177736</v>
      </c>
      <c r="K18" s="9">
        <f t="shared" ca="1" si="7"/>
        <v>6731.7959550882233</v>
      </c>
      <c r="L18" s="9">
        <f t="shared" ca="1" si="7"/>
        <v>3872.5752489331435</v>
      </c>
      <c r="M18" s="17">
        <f ca="1">SUM(B18:L18)</f>
        <v>34170.924372075846</v>
      </c>
      <c r="N18" s="17"/>
      <c r="O18" s="17"/>
      <c r="P18" s="9"/>
      <c r="Q18" s="14"/>
      <c r="R18" s="11">
        <f t="shared" ca="1" si="6"/>
        <v>34170.924372075846</v>
      </c>
      <c r="S18" s="17">
        <f t="shared" ca="1" si="4"/>
        <v>34170.924372075846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0.83716073489623277</v>
      </c>
      <c r="K19" s="39">
        <f ca="1">J19</f>
        <v>0.83716073489623277</v>
      </c>
      <c r="L19" s="40">
        <f ca="1">1-(-L14)/L18</f>
        <v>0.89684576562826235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5898.9986917580754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5898.9986917580754</v>
      </c>
      <c r="N2" s="17"/>
      <c r="O2" s="17">
        <f ca="1">R2-(M2+P2+Q2)</f>
        <v>1905.0513082419056</v>
      </c>
      <c r="P2" s="11" cm="1">
        <f t="array" aca="1" ref="P2" ca="1">INDIRECT("'data'!$F$" &amp; $A$1)</f>
        <v>155195.95000000001</v>
      </c>
      <c r="Q2" s="13">
        <f ca="1">IF(-(M2-R2+P2)&lt;0, -(M2-R2+P2), 0)</f>
        <v>0</v>
      </c>
      <c r="R2" s="17" cm="1">
        <f t="array" aca="1" ref="R2" ca="1">INDIRECT("'data'!$D$" &amp; $A$1)</f>
        <v>163000</v>
      </c>
      <c r="S2" s="17">
        <f ca="1">SUM(M2:Q2)</f>
        <v>163000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5994.4029850746274</v>
      </c>
      <c r="G3" s="14">
        <f ca="1">R7/parameters!$B$6</f>
        <v>0</v>
      </c>
      <c r="H3" s="14">
        <f ca="1">R3-P3-Q3-F3-G3</f>
        <v>159.43701492537275</v>
      </c>
      <c r="I3" s="14"/>
      <c r="J3" s="14"/>
      <c r="K3" s="14"/>
      <c r="L3" s="13"/>
      <c r="M3" s="16">
        <f t="shared" ref="M3:M11" ca="1" si="0">SUM(B3:L3)</f>
        <v>6153.84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-292.005</v>
      </c>
      <c r="R3" s="16" cm="1">
        <f t="array" aca="1" ref="R3" ca="1">INDIRECT("'data'!$G$" &amp; $A$1)*parameters!$B$13</f>
        <v>5861.835</v>
      </c>
      <c r="S3" s="16">
        <f t="shared" ref="S3:S11" ca="1" si="2">SUM(M3:Q3)</f>
        <v>5861.835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-19.32</v>
      </c>
      <c r="P4" s="11" cm="1">
        <f t="array" aca="1" ref="P4" ca="1">INDIRECT("'data'!$K$" &amp; $A$1)*parameters!$B$14</f>
        <v>19.32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R6/parameters!$B$5*10%</f>
        <v>666.04477611940308</v>
      </c>
      <c r="G5" s="14"/>
      <c r="H5" s="14">
        <f ca="1">R8/parameters!$B$7-(H3+H4)</f>
        <v>1253.7291292752541</v>
      </c>
      <c r="I5" s="14"/>
      <c r="J5" s="14"/>
      <c r="K5" s="14"/>
      <c r="L5" s="13"/>
      <c r="M5" s="16">
        <f t="shared" ca="1" si="0"/>
        <v>1919.773905394657</v>
      </c>
      <c r="N5" s="16"/>
      <c r="O5" s="16"/>
      <c r="P5" s="11" cm="1">
        <f t="array" aca="1" ref="P5" ca="1">INDIRECT("'data'!$M$" &amp; $A$1)*parameters!$B$15</f>
        <v>1239.7</v>
      </c>
      <c r="Q5" s="13" cm="1">
        <f t="array" aca="1" ref="Q5" ca="1">-INDIRECT("'data'!$N$" &amp; $A$1)*parameters!$B$15</f>
        <v>-18.62</v>
      </c>
      <c r="R5" s="16">
        <f ca="1">SUM(M5:Q5)</f>
        <v>3140.853905394657</v>
      </c>
      <c r="S5" s="16">
        <f t="shared" ca="1" si="2"/>
        <v>3140.853905394657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6247.5</v>
      </c>
      <c r="J6" s="14"/>
      <c r="K6" s="14"/>
      <c r="L6" s="13"/>
      <c r="M6" s="16">
        <f t="shared" ca="1" si="0"/>
        <v>6247.5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6247.5</v>
      </c>
      <c r="S6" s="16">
        <f t="shared" ca="1" si="2"/>
        <v>6247.5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1352.3999999999999</v>
      </c>
      <c r="J8" s="14"/>
      <c r="K8" s="14"/>
      <c r="L8" s="13"/>
      <c r="M8" s="16">
        <f t="shared" ca="1" si="0"/>
        <v>1352.3999999999999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1352.3999999999999</v>
      </c>
      <c r="S8" s="16">
        <f t="shared" ca="1" si="2"/>
        <v>1352.3999999999999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3314.7782526603364</v>
      </c>
      <c r="K9" s="14">
        <f ca="1">R11/K19</f>
        <v>4292.9617473396647</v>
      </c>
      <c r="L9" s="13"/>
      <c r="M9" s="16">
        <f t="shared" ca="1" si="0"/>
        <v>7607.7400000000016</v>
      </c>
      <c r="N9" s="16"/>
      <c r="O9" s="16">
        <f t="shared" ca="1" si="3"/>
        <v>0</v>
      </c>
      <c r="P9" s="11" cm="1">
        <f t="array" aca="1" ref="P9" ca="1">INDIRECT("'data'!$R$" &amp; $A$1)*parameters!$B$15</f>
        <v>27.439999999999998</v>
      </c>
      <c r="Q9" s="13" cm="1">
        <f t="array" aca="1" ref="Q9" ca="1">-INDIRECT("'data'!$S$" &amp; $A$1)*parameters!$B$15</f>
        <v>-35.28</v>
      </c>
      <c r="R9" s="16">
        <f ca="1">SUM(R6:R8)</f>
        <v>7599.9</v>
      </c>
      <c r="S9" s="16">
        <f t="shared" ca="1" si="2"/>
        <v>7599.9000000000015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2683.24</v>
      </c>
      <c r="M10" s="16">
        <f t="shared" ca="1" si="0"/>
        <v>2683.24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144.06</v>
      </c>
      <c r="Q10" s="13" cm="1">
        <f t="array" aca="1" ref="Q10" ca="1">-INDIRECT("'data'!$V$" &amp; $A$1)*parameters!$B$15</f>
        <v>-732.06</v>
      </c>
      <c r="R10" s="16" cm="1">
        <f t="array" aca="1" ref="R10" ca="1">INDIRECT("'data'!$T$" &amp; $A$1)*parameters!$B$15</f>
        <v>2095.2399999999998</v>
      </c>
      <c r="S10" s="16">
        <f t="shared" ca="1" si="2"/>
        <v>2095.2399999999998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3434.8205405405406</v>
      </c>
      <c r="M11" s="16">
        <f t="shared" ca="1" si="0"/>
        <v>3434.8205405405406</v>
      </c>
      <c r="N11" s="16"/>
      <c r="O11" s="16">
        <f t="shared" ca="1" si="3"/>
        <v>0</v>
      </c>
      <c r="P11" s="11" cm="1">
        <f t="array" aca="1" ref="P11" ca="1">INDIRECT("'data'!$X$" &amp; $A$1)*parameters!$B$15</f>
        <v>454.71999999999997</v>
      </c>
      <c r="Q11" s="13" cm="1">
        <f t="array" aca="1" ref="Q11" ca="1">-INDIRECT("'data'!$Y$" &amp; $A$1)*parameters!$B$15</f>
        <v>-1176</v>
      </c>
      <c r="R11" s="16" cm="1">
        <f t="array" aca="1" ref="R11" ca="1">INDIRECT("'data'!$W$" &amp; $A$1)*parameters!$B$15</f>
        <v>2713.5405405405404</v>
      </c>
      <c r="S11" s="16">
        <f t="shared" ca="1" si="2"/>
        <v>2713.5405405405404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8846.4112648648661</v>
      </c>
      <c r="O12" s="19"/>
      <c r="P12" s="21" cm="1">
        <f t="array" aca="1" ref="P12" ca="1">INDIRECT("'data'!$Z$" &amp; $A$1)*parameters!$B$15</f>
        <v>937.86</v>
      </c>
      <c r="Q12" s="27" cm="1">
        <f t="array" aca="1" ref="Q12" ca="1">-INDIRECT("'data'!$AA$" &amp; $A$1)*parameters!$B$15</f>
        <v>-4308.08</v>
      </c>
      <c r="R12" s="16">
        <f ca="1">L10*parameters!$B$10+L11*parameters!$B$11</f>
        <v>5476.1912648648649</v>
      </c>
      <c r="S12" s="16">
        <f t="shared" ref="S12:S18" ca="1" si="4">SUM(M12:Q12)</f>
        <v>5476.1912648648668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-37.163691758075402</v>
      </c>
      <c r="D13" s="9">
        <f ca="1">-(D18-R4)</f>
        <v>0</v>
      </c>
      <c r="E13" s="9">
        <f ca="1">-(E18-R5)</f>
        <v>-388.19542650945186</v>
      </c>
      <c r="F13" s="9">
        <f ca="1">-(F18-R6)</f>
        <v>-412.94776119403014</v>
      </c>
      <c r="G13" s="9">
        <f ca="1">-(G18-R7)</f>
        <v>0</v>
      </c>
      <c r="H13" s="9">
        <f ca="1">-(H18-R8)</f>
        <v>-60.766144200626968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-899.07302366218437</v>
      </c>
      <c r="N13" s="17"/>
      <c r="O13" s="17"/>
      <c r="P13" s="10"/>
      <c r="Q13" s="12"/>
      <c r="R13" s="9">
        <f t="shared" ref="R13:R18" ca="1" si="6">SUM(M13:Q13)</f>
        <v>-899.07302366218437</v>
      </c>
      <c r="S13" s="17">
        <f t="shared" ca="1" si="4"/>
        <v>-899.07302366218437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-1219.5382526603366</v>
      </c>
      <c r="K14" s="14">
        <f ca="1">-(K18-R11)</f>
        <v>-1579.4212067991243</v>
      </c>
      <c r="L14" s="13">
        <f ca="1">-(L18-R12)</f>
        <v>-641.86927567567545</v>
      </c>
      <c r="M14" s="14">
        <f t="shared" ca="1" si="5"/>
        <v>-3440.8287351351364</v>
      </c>
      <c r="N14" s="16">
        <f ca="1">-E16</f>
        <v>-88.220596768972428</v>
      </c>
      <c r="O14" s="16"/>
      <c r="P14" s="11"/>
      <c r="Q14" s="13"/>
      <c r="R14" s="14">
        <f t="shared" ca="1" si="6"/>
        <v>-3529.0493319041088</v>
      </c>
      <c r="S14" s="16">
        <f t="shared" ca="1" si="4"/>
        <v>-3529.0493319041088</v>
      </c>
    </row>
    <row r="15" spans="1:20">
      <c r="A15" s="18" t="s">
        <v>79</v>
      </c>
      <c r="B15" s="11"/>
      <c r="C15" s="14"/>
      <c r="D15" s="14"/>
      <c r="E15" s="14">
        <f ca="1">-(J14+K14)-L14</f>
        <v>3440.8287351351364</v>
      </c>
      <c r="F15" s="14"/>
      <c r="G15" s="14"/>
      <c r="H15" s="14"/>
      <c r="I15" s="14"/>
      <c r="J15" s="14"/>
      <c r="K15" s="14"/>
      <c r="L15" s="13"/>
      <c r="M15" s="14">
        <f t="shared" ca="1" si="5"/>
        <v>3440.8287351351364</v>
      </c>
      <c r="N15" s="16"/>
      <c r="O15" s="16"/>
      <c r="P15" s="11"/>
      <c r="Q15" s="13"/>
      <c r="R15" s="14">
        <f t="shared" ca="1" si="6"/>
        <v>3440.8287351351364</v>
      </c>
      <c r="S15" s="16">
        <f t="shared" ca="1" si="4"/>
        <v>3440.8287351351364</v>
      </c>
    </row>
    <row r="16" spans="1:20">
      <c r="A16" s="18" t="s">
        <v>80</v>
      </c>
      <c r="B16" s="11"/>
      <c r="C16" s="14"/>
      <c r="D16" s="14"/>
      <c r="E16" s="14">
        <f ca="1">E18-E15</f>
        <v>88.220596768972428</v>
      </c>
      <c r="F16" s="14"/>
      <c r="G16" s="14"/>
      <c r="H16" s="14"/>
      <c r="I16" s="14"/>
      <c r="J16" s="14"/>
      <c r="K16" s="14"/>
      <c r="L16" s="13"/>
      <c r="M16" s="14">
        <f t="shared" ca="1" si="5"/>
        <v>88.220596768972428</v>
      </c>
      <c r="N16" s="16"/>
      <c r="O16" s="16"/>
      <c r="P16" s="11"/>
      <c r="Q16" s="13"/>
      <c r="R16" s="14">
        <f t="shared" ca="1" si="6"/>
        <v>88.220596768972428</v>
      </c>
      <c r="S16" s="16">
        <f t="shared" ca="1" si="4"/>
        <v>88.220596768972428</v>
      </c>
    </row>
    <row r="17" spans="1:19">
      <c r="A17" s="30" t="s">
        <v>90</v>
      </c>
      <c r="B17" s="21">
        <f ca="1">R2</f>
        <v>163000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163000</v>
      </c>
      <c r="N17" s="19"/>
      <c r="O17" s="19"/>
      <c r="P17" s="21"/>
      <c r="Q17" s="27"/>
      <c r="R17" s="22">
        <f t="shared" ca="1" si="6"/>
        <v>163000</v>
      </c>
      <c r="S17" s="19">
        <f t="shared" ca="1" si="4"/>
        <v>163000</v>
      </c>
    </row>
    <row r="18" spans="1:19">
      <c r="A18" s="29" t="s">
        <v>89</v>
      </c>
      <c r="B18" s="9">
        <f ca="1">B17</f>
        <v>163000</v>
      </c>
      <c r="C18" s="9">
        <f ca="1">SUM(C$2:C$12)</f>
        <v>5898.9986917580754</v>
      </c>
      <c r="D18" s="9">
        <f ca="1">SUM(D$2:D$12)</f>
        <v>0</v>
      </c>
      <c r="E18" s="9">
        <f ca="1">$R$5/parameters!$B$4</f>
        <v>3529.0493319041088</v>
      </c>
      <c r="F18" s="9">
        <f t="shared" ref="F18:L18" ca="1" si="7">SUM(F$2:F$12)</f>
        <v>6660.4477611940301</v>
      </c>
      <c r="G18" s="9">
        <f t="shared" ca="1" si="7"/>
        <v>0</v>
      </c>
      <c r="H18" s="9">
        <f t="shared" ca="1" si="7"/>
        <v>1413.1661442006268</v>
      </c>
      <c r="I18" s="9">
        <f t="shared" ca="1" si="7"/>
        <v>7599.9</v>
      </c>
      <c r="J18" s="9">
        <f t="shared" ca="1" si="7"/>
        <v>3314.7782526603364</v>
      </c>
      <c r="K18" s="9">
        <f t="shared" ca="1" si="7"/>
        <v>4292.9617473396647</v>
      </c>
      <c r="L18" s="9">
        <f t="shared" ca="1" si="7"/>
        <v>6118.0605405405404</v>
      </c>
      <c r="M18" s="17">
        <f ca="1">SUM(B18:L18)</f>
        <v>201827.36246959737</v>
      </c>
      <c r="N18" s="17"/>
      <c r="O18" s="17"/>
      <c r="P18" s="9"/>
      <c r="Q18" s="14"/>
      <c r="R18" s="11">
        <f t="shared" ca="1" si="6"/>
        <v>201827.36246959737</v>
      </c>
      <c r="S18" s="17">
        <f t="shared" ca="1" si="4"/>
        <v>201827.36246959737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0.63209054732950121</v>
      </c>
      <c r="K19" s="39">
        <f ca="1">J19</f>
        <v>0.63209054732950121</v>
      </c>
      <c r="L19" s="40">
        <f ca="1">1-(-L14)/L18</f>
        <v>0.89508615166155825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5829.5763308845717</v>
      </c>
      <c r="D2" s="9">
        <f ca="1">R4/parameters!$B$3</f>
        <v>1648.9081211633288</v>
      </c>
      <c r="E2" s="9"/>
      <c r="F2" s="9"/>
      <c r="G2" s="9"/>
      <c r="H2" s="9"/>
      <c r="I2" s="9"/>
      <c r="J2" s="9"/>
      <c r="K2" s="9"/>
      <c r="L2" s="12"/>
      <c r="M2" s="17">
        <f ca="1">SUM(B2:L2)</f>
        <v>7478.4844520479</v>
      </c>
      <c r="N2" s="17"/>
      <c r="O2" s="17">
        <f ca="1">R2-(M2+P2+Q2)</f>
        <v>0</v>
      </c>
      <c r="P2" s="11" cm="1">
        <f t="array" aca="1" ref="P2" ca="1">INDIRECT("'data'!$F$" &amp; $A$1)</f>
        <v>17818.45</v>
      </c>
      <c r="Q2" s="13">
        <f ca="1">IF(-(M2-R2+P2)&lt;0, -(M2-R2+P2), 0)</f>
        <v>-296.9344520479026</v>
      </c>
      <c r="R2" s="17" cm="1">
        <f t="array" aca="1" ref="R2" ca="1">INDIRECT("'data'!$D$" &amp; $A$1)</f>
        <v>25000</v>
      </c>
      <c r="S2" s="17">
        <f ca="1">SUM(M2:Q2)</f>
        <v>24999.999999999996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4393.0746268656721</v>
      </c>
      <c r="G3" s="14">
        <f ca="1">R7/parameters!$B$6</f>
        <v>0</v>
      </c>
      <c r="H3" s="14">
        <f ca="1">R3-P3-Q3-F3-G3</f>
        <v>752.45037313432749</v>
      </c>
      <c r="I3" s="14"/>
      <c r="J3" s="14"/>
      <c r="K3" s="14"/>
      <c r="L3" s="13"/>
      <c r="M3" s="16">
        <f t="shared" ref="M3:M11" ca="1" si="0">SUM(B3:L3)</f>
        <v>5145.5249999999996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648.27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5792.8499999999995</v>
      </c>
      <c r="S3" s="16">
        <f t="shared" ref="S3:S11" ca="1" si="2">SUM(M3:Q3)</f>
        <v>5792.85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2116</v>
      </c>
      <c r="I4" s="14"/>
      <c r="J4" s="14"/>
      <c r="K4" s="14"/>
      <c r="L4" s="13"/>
      <c r="M4" s="16">
        <f t="shared" ca="1" si="0"/>
        <v>2116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-479.32</v>
      </c>
      <c r="R4" s="16" cm="1">
        <f t="array" aca="1" ref="R4" ca="1">INDIRECT("'data'!$J$" &amp; $A$1)*parameters!$B$14</f>
        <v>1638.52</v>
      </c>
      <c r="S4" s="16">
        <f t="shared" ca="1" si="2"/>
        <v>1638.5200000000002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1098.268656716418</v>
      </c>
      <c r="G5" s="14"/>
      <c r="H5" s="14">
        <f ca="1">R8/parameters!$B$7-(H3+H4)</f>
        <v>1471.4033363745548</v>
      </c>
      <c r="I5" s="14"/>
      <c r="J5" s="14"/>
      <c r="K5" s="14"/>
      <c r="L5" s="13"/>
      <c r="M5" s="16">
        <f t="shared" ca="1" si="0"/>
        <v>2569.671993090973</v>
      </c>
      <c r="N5" s="16"/>
      <c r="O5" s="16"/>
      <c r="P5" s="11" cm="1">
        <f t="array" aca="1" ref="P5" ca="1">INDIRECT("'data'!$M$" &amp; $A$1)*parameters!$B$15</f>
        <v>378.28</v>
      </c>
      <c r="Q5" s="13" cm="1">
        <f t="array" aca="1" ref="Q5" ca="1">-INDIRECT("'data'!$N$" &amp; $A$1)*parameters!$B$15</f>
        <v>-85.26</v>
      </c>
      <c r="R5" s="16">
        <f ca="1">SUM(M5:Q5)</f>
        <v>2862.6919930909726</v>
      </c>
      <c r="S5" s="16">
        <f t="shared" ca="1" si="2"/>
        <v>2862.6919930909726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5150.88</v>
      </c>
      <c r="J6" s="14"/>
      <c r="K6" s="14"/>
      <c r="L6" s="13"/>
      <c r="M6" s="16">
        <f t="shared" ca="1" si="0"/>
        <v>5150.88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5150.88</v>
      </c>
      <c r="S6" s="16">
        <f t="shared" ca="1" si="2"/>
        <v>5150.88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4153.24</v>
      </c>
      <c r="J8" s="14"/>
      <c r="K8" s="14"/>
      <c r="L8" s="13"/>
      <c r="M8" s="16">
        <f t="shared" ca="1" si="0"/>
        <v>4153.24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4153.24</v>
      </c>
      <c r="S8" s="16">
        <f t="shared" ca="1" si="2"/>
        <v>4153.24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3384.2744549755298</v>
      </c>
      <c r="K9" s="14">
        <f ca="1">R11/K19</f>
        <v>5247.5655450244694</v>
      </c>
      <c r="L9" s="13"/>
      <c r="M9" s="16">
        <f t="shared" ca="1" si="0"/>
        <v>8631.84</v>
      </c>
      <c r="N9" s="16"/>
      <c r="O9" s="16">
        <f t="shared" ca="1" si="3"/>
        <v>0</v>
      </c>
      <c r="P9" s="11" cm="1">
        <f t="array" aca="1" ref="P9" ca="1">INDIRECT("'data'!$R$" &amp; $A$1)*parameters!$B$15</f>
        <v>688.93999999999994</v>
      </c>
      <c r="Q9" s="13" cm="1">
        <f t="array" aca="1" ref="Q9" ca="1">-INDIRECT("'data'!$S$" &amp; $A$1)*parameters!$B$15</f>
        <v>-16.66</v>
      </c>
      <c r="R9" s="16">
        <f ca="1">SUM(R6:R8)</f>
        <v>9304.119999999999</v>
      </c>
      <c r="S9" s="16">
        <f t="shared" ca="1" si="2"/>
        <v>9304.1200000000008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1750.2799999999997</v>
      </c>
      <c r="M10" s="16">
        <f t="shared" ca="1" si="0"/>
        <v>1750.2799999999997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1036.8399999999999</v>
      </c>
      <c r="Q10" s="13" cm="1">
        <f t="array" aca="1" ref="Q10" ca="1">-INDIRECT("'data'!$V$" &amp; $A$1)*parameters!$B$15</f>
        <v>-106.82</v>
      </c>
      <c r="R10" s="16" cm="1">
        <f t="array" aca="1" ref="R10" ca="1">INDIRECT("'data'!$T$" &amp; $A$1)*parameters!$B$15</f>
        <v>2680.2999999999997</v>
      </c>
      <c r="S10" s="16">
        <f t="shared" ca="1" si="2"/>
        <v>2680.2999999999997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1889.2615647226175</v>
      </c>
      <c r="M11" s="16">
        <f t="shared" ca="1" si="0"/>
        <v>1889.2615647226175</v>
      </c>
      <c r="N11" s="16"/>
      <c r="O11" s="16">
        <f t="shared" ca="1" si="3"/>
        <v>0</v>
      </c>
      <c r="P11" s="11" cm="1">
        <f t="array" aca="1" ref="P11" ca="1">INDIRECT("'data'!$X$" &amp; $A$1)*parameters!$B$15</f>
        <v>2533.2999999999997</v>
      </c>
      <c r="Q11" s="13" cm="1">
        <f t="array" aca="1" ref="Q11" ca="1">-INDIRECT("'data'!$Y$" &amp; $A$1)*parameters!$B$15</f>
        <v>-266.56</v>
      </c>
      <c r="R11" s="16" cm="1">
        <f t="array" aca="1" ref="R11" ca="1">INDIRECT("'data'!$W$" &amp; $A$1)*parameters!$B$15</f>
        <v>4156.0015647226173</v>
      </c>
      <c r="S11" s="16">
        <f t="shared" ca="1" si="2"/>
        <v>4156.0015647226164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3614.0081456614507</v>
      </c>
      <c r="O12" s="19"/>
      <c r="P12" s="21" cm="1">
        <f t="array" aca="1" ref="P12" ca="1">INDIRECT("'data'!$Z$" &amp; $A$1)*parameters!$B$15</f>
        <v>1008.42</v>
      </c>
      <c r="Q12" s="27" cm="1">
        <f t="array" aca="1" ref="Q12" ca="1">-INDIRECT("'data'!$AA$" &amp; $A$1)*parameters!$B$15</f>
        <v>-1352.3999999999999</v>
      </c>
      <c r="R12" s="16">
        <f ca="1">L10*parameters!$B$10+L11*parameters!$B$11</f>
        <v>3270.0281456614507</v>
      </c>
      <c r="S12" s="16">
        <f t="shared" ref="S12:S18" ca="1" si="4">SUM(M12:Q12)</f>
        <v>3270.0281456614512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-36.726330884572235</v>
      </c>
      <c r="D13" s="9">
        <f ca="1">-(D18-R4)</f>
        <v>-10.388121163328833</v>
      </c>
      <c r="E13" s="9">
        <f ca="1">-(E18-R5)</f>
        <v>-353.81586431461437</v>
      </c>
      <c r="F13" s="9">
        <f ca="1">-(F18-R6)</f>
        <v>-340.4632835820903</v>
      </c>
      <c r="G13" s="9">
        <f ca="1">-(G18-R7)</f>
        <v>0</v>
      </c>
      <c r="H13" s="9">
        <f ca="1">-(H18-R8)</f>
        <v>-186.61370950888249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-928.00730945348823</v>
      </c>
      <c r="N13" s="17"/>
      <c r="O13" s="17"/>
      <c r="P13" s="10"/>
      <c r="Q13" s="12"/>
      <c r="R13" s="9">
        <f t="shared" ref="R13:R18" ca="1" si="6">SUM(M13:Q13)</f>
        <v>-928.00730945348823</v>
      </c>
      <c r="S13" s="17">
        <f t="shared" ca="1" si="4"/>
        <v>-928.00730945348823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-703.97445497553008</v>
      </c>
      <c r="K14" s="14">
        <f ca="1">-(K18-R11)</f>
        <v>-1091.5639803018521</v>
      </c>
      <c r="L14" s="13">
        <f ca="1">-(L18-R12)</f>
        <v>-369.51341906116659</v>
      </c>
      <c r="M14" s="14">
        <f t="shared" ca="1" si="5"/>
        <v>-2165.0518543385488</v>
      </c>
      <c r="N14" s="16">
        <f ca="1">-E16</f>
        <v>-1051.4560030670382</v>
      </c>
      <c r="O14" s="16"/>
      <c r="P14" s="11"/>
      <c r="Q14" s="13"/>
      <c r="R14" s="14">
        <f t="shared" ca="1" si="6"/>
        <v>-3216.5078574055869</v>
      </c>
      <c r="S14" s="16">
        <f t="shared" ca="1" si="4"/>
        <v>-3216.5078574055869</v>
      </c>
    </row>
    <row r="15" spans="1:21">
      <c r="A15" s="18" t="s">
        <v>79</v>
      </c>
      <c r="B15" s="11"/>
      <c r="C15" s="14"/>
      <c r="D15" s="14"/>
      <c r="E15" s="14">
        <f ca="1">-(J14+K14)-L14</f>
        <v>2165.0518543385488</v>
      </c>
      <c r="F15" s="14"/>
      <c r="G15" s="14"/>
      <c r="H15" s="14"/>
      <c r="I15" s="14"/>
      <c r="J15" s="14"/>
      <c r="K15" s="14"/>
      <c r="L15" s="13"/>
      <c r="M15" s="14">
        <f t="shared" ca="1" si="5"/>
        <v>2165.0518543385488</v>
      </c>
      <c r="N15" s="16"/>
      <c r="O15" s="16"/>
      <c r="P15" s="11"/>
      <c r="Q15" s="13"/>
      <c r="R15" s="14">
        <f t="shared" ca="1" si="6"/>
        <v>2165.0518543385488</v>
      </c>
      <c r="S15" s="16">
        <f t="shared" ca="1" si="4"/>
        <v>2165.0518543385488</v>
      </c>
    </row>
    <row r="16" spans="1:21">
      <c r="A16" s="18" t="s">
        <v>80</v>
      </c>
      <c r="B16" s="11"/>
      <c r="C16" s="14"/>
      <c r="D16" s="14"/>
      <c r="E16" s="14">
        <f ca="1">E18-E15</f>
        <v>1051.4560030670382</v>
      </c>
      <c r="F16" s="14"/>
      <c r="G16" s="14"/>
      <c r="H16" s="14"/>
      <c r="I16" s="14"/>
      <c r="J16" s="14"/>
      <c r="K16" s="14"/>
      <c r="L16" s="13"/>
      <c r="M16" s="14">
        <f t="shared" ca="1" si="5"/>
        <v>1051.4560030670382</v>
      </c>
      <c r="N16" s="16"/>
      <c r="O16" s="16"/>
      <c r="P16" s="11"/>
      <c r="Q16" s="13"/>
      <c r="R16" s="14">
        <f t="shared" ca="1" si="6"/>
        <v>1051.4560030670382</v>
      </c>
      <c r="S16" s="16">
        <f t="shared" ca="1" si="4"/>
        <v>1051.4560030670382</v>
      </c>
    </row>
    <row r="17" spans="1:19">
      <c r="A17" s="30" t="s">
        <v>90</v>
      </c>
      <c r="B17" s="21">
        <f ca="1">R2</f>
        <v>25000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25000</v>
      </c>
      <c r="N17" s="19"/>
      <c r="O17" s="19"/>
      <c r="P17" s="21"/>
      <c r="Q17" s="27"/>
      <c r="R17" s="22">
        <f t="shared" ca="1" si="6"/>
        <v>25000</v>
      </c>
      <c r="S17" s="19">
        <f t="shared" ca="1" si="4"/>
        <v>25000</v>
      </c>
    </row>
    <row r="18" spans="1:19">
      <c r="A18" s="29" t="s">
        <v>89</v>
      </c>
      <c r="B18" s="9">
        <f ca="1">B17</f>
        <v>25000</v>
      </c>
      <c r="C18" s="9">
        <f ca="1">SUM(C$2:C$12)</f>
        <v>5829.5763308845717</v>
      </c>
      <c r="D18" s="9">
        <f ca="1">SUM(D$2:D$12)</f>
        <v>1648.9081211633288</v>
      </c>
      <c r="E18" s="9">
        <f ca="1">$R$5/parameters!$B$4</f>
        <v>3216.5078574055869</v>
      </c>
      <c r="F18" s="9">
        <f t="shared" ref="F18:L18" ca="1" si="7">SUM(F$2:F$12)</f>
        <v>5491.3432835820904</v>
      </c>
      <c r="G18" s="9">
        <f t="shared" ca="1" si="7"/>
        <v>0</v>
      </c>
      <c r="H18" s="9">
        <f t="shared" ca="1" si="7"/>
        <v>4339.8537095088823</v>
      </c>
      <c r="I18" s="9">
        <f t="shared" ca="1" si="7"/>
        <v>9304.119999999999</v>
      </c>
      <c r="J18" s="9">
        <f t="shared" ca="1" si="7"/>
        <v>3384.2744549755298</v>
      </c>
      <c r="K18" s="9">
        <f t="shared" ca="1" si="7"/>
        <v>5247.5655450244694</v>
      </c>
      <c r="L18" s="9">
        <f t="shared" ca="1" si="7"/>
        <v>3639.5415647226173</v>
      </c>
      <c r="M18" s="17">
        <f ca="1">SUM(B18:L18)</f>
        <v>67101.690867267069</v>
      </c>
      <c r="N18" s="17"/>
      <c r="O18" s="17"/>
      <c r="P18" s="9"/>
      <c r="Q18" s="14"/>
      <c r="R18" s="11">
        <f t="shared" ca="1" si="6"/>
        <v>67101.690867267069</v>
      </c>
      <c r="S18" s="17">
        <f t="shared" ca="1" si="4"/>
        <v>67101.690867267069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0.79198659436720531</v>
      </c>
      <c r="K19" s="39">
        <f ca="1">J19</f>
        <v>0.79198659436720531</v>
      </c>
      <c r="L19" s="40">
        <f ca="1">1-(-L14)/L18</f>
        <v>0.89847253768364954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1249.874207507296</v>
      </c>
      <c r="E2" s="9"/>
      <c r="F2" s="9"/>
      <c r="G2" s="9"/>
      <c r="H2" s="9"/>
      <c r="I2" s="9"/>
      <c r="J2" s="9"/>
      <c r="K2" s="9"/>
      <c r="L2" s="12"/>
      <c r="M2" s="17">
        <f ca="1">SUM(B2:L2)</f>
        <v>1249.874207507296</v>
      </c>
      <c r="N2" s="17"/>
      <c r="O2" s="17">
        <f ca="1">R2-(M2+P2+Q2)</f>
        <v>0</v>
      </c>
      <c r="P2" s="11" cm="1">
        <f t="array" aca="1" ref="P2" ca="1">INDIRECT("'data'!$F$" &amp; $A$1)</f>
        <v>259.35000000000002</v>
      </c>
      <c r="Q2" s="13">
        <f ca="1">IF(-(M2-R2+P2)&lt;0, -(M2-R2+P2), 0)</f>
        <v>-968.224207507296</v>
      </c>
      <c r="R2" s="17" cm="1">
        <f t="array" aca="1" ref="R2" ca="1">INDIRECT("'data'!$D$" &amp; $A$1)</f>
        <v>541</v>
      </c>
      <c r="S2" s="17">
        <f ca="1">SUM(M2:Q2)</f>
        <v>540.99999999999989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556.60500000000002</v>
      </c>
      <c r="I3" s="14"/>
      <c r="J3" s="14"/>
      <c r="K3" s="14"/>
      <c r="L3" s="13"/>
      <c r="M3" s="16">
        <f t="shared" ref="M3:M11" ca="1" si="0">SUM(B3:L3)</f>
        <v>556.60500000000002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5.67</v>
      </c>
      <c r="Q3" s="13" cm="1">
        <f t="array" aca="1" ref="Q3" ca="1">-INDIRECT("'data'!$I$" &amp; $A$1)*parameters!$B$13</f>
        <v>-562.27499999999998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1242</v>
      </c>
      <c r="I4" s="14"/>
      <c r="J4" s="14"/>
      <c r="K4" s="14"/>
      <c r="L4" s="13"/>
      <c r="M4" s="16">
        <f t="shared" ca="1" si="0"/>
        <v>1242</v>
      </c>
      <c r="N4" s="16"/>
      <c r="O4" s="16">
        <f t="shared" ca="1" si="1"/>
        <v>0</v>
      </c>
      <c r="P4" s="11" cm="1">
        <f t="array" aca="1" ref="P4" ca="1">INDIRECT("'data'!$K$" &amp; $A$1)*parameters!$B$14</f>
        <v>65.320000000000007</v>
      </c>
      <c r="Q4" s="13" cm="1">
        <f t="array" aca="1" ref="Q4" ca="1">-INDIRECT("'data'!$L$" &amp; $A$1)*parameters!$B$14</f>
        <v>-65.320000000000007</v>
      </c>
      <c r="R4" s="16" cm="1">
        <f t="array" aca="1" ref="R4" ca="1">INDIRECT("'data'!$J$" &amp; $A$1)*parameters!$B$14</f>
        <v>1242</v>
      </c>
      <c r="S4" s="16">
        <f t="shared" ca="1" si="2"/>
        <v>1242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3624.6760867293629</v>
      </c>
      <c r="I5" s="14"/>
      <c r="J5" s="14"/>
      <c r="K5" s="14"/>
      <c r="L5" s="13"/>
      <c r="M5" s="16">
        <f t="shared" ca="1" si="0"/>
        <v>3624.6760867293629</v>
      </c>
      <c r="N5" s="16"/>
      <c r="O5" s="16"/>
      <c r="P5" s="11" cm="1">
        <f t="array" aca="1" ref="P5" ca="1">INDIRECT("'data'!$M$" &amp; $A$1)*parameters!$B$15</f>
        <v>52.92</v>
      </c>
      <c r="Q5" s="13" cm="1">
        <f t="array" aca="1" ref="Q5" ca="1">-INDIRECT("'data'!$N$" &amp; $A$1)*parameters!$B$15</f>
        <v>-2106.02</v>
      </c>
      <c r="R5" s="16">
        <f ca="1">SUM(M5:Q5)</f>
        <v>1571.5760867293629</v>
      </c>
      <c r="S5" s="16">
        <f t="shared" ca="1" si="2"/>
        <v>1571.5760867293629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5190.08</v>
      </c>
      <c r="J8" s="14"/>
      <c r="K8" s="14"/>
      <c r="L8" s="13"/>
      <c r="M8" s="16">
        <f t="shared" ca="1" si="0"/>
        <v>5190.08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5190.08</v>
      </c>
      <c r="S8" s="16">
        <f t="shared" ca="1" si="2"/>
        <v>5190.08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3420.233912468671</v>
      </c>
      <c r="K9" s="14">
        <f ca="1">R11/K19</f>
        <v>1728.6860875313291</v>
      </c>
      <c r="L9" s="13"/>
      <c r="M9" s="16">
        <f t="shared" ca="1" si="0"/>
        <v>5148.92</v>
      </c>
      <c r="N9" s="16"/>
      <c r="O9" s="16">
        <f t="shared" ca="1" si="3"/>
        <v>0</v>
      </c>
      <c r="P9" s="11" cm="1">
        <f t="array" aca="1" ref="P9" ca="1">INDIRECT("'data'!$R$" &amp; $A$1)*parameters!$B$15</f>
        <v>482.15999999999997</v>
      </c>
      <c r="Q9" s="13" cm="1">
        <f t="array" aca="1" ref="Q9" ca="1">-INDIRECT("'data'!$S$" &amp; $A$1)*parameters!$B$15</f>
        <v>-441</v>
      </c>
      <c r="R9" s="16">
        <f ca="1">SUM(R6:R8)</f>
        <v>5190.08</v>
      </c>
      <c r="S9" s="16">
        <f t="shared" ca="1" si="2"/>
        <v>5190.08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3391.7799999999997</v>
      </c>
      <c r="M10" s="16">
        <f t="shared" ca="1" si="0"/>
        <v>3391.7799999999997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519.4</v>
      </c>
      <c r="Q10" s="13" cm="1">
        <f t="array" aca="1" ref="Q10" ca="1">-INDIRECT("'data'!$V$" &amp; $A$1)*parameters!$B$15</f>
        <v>-665.42</v>
      </c>
      <c r="R10" s="16" cm="1">
        <f t="array" aca="1" ref="R10" ca="1">INDIRECT("'data'!$T$" &amp; $A$1)*parameters!$B$15</f>
        <v>3245.7599999999998</v>
      </c>
      <c r="S10" s="16">
        <f t="shared" ca="1" si="2"/>
        <v>3245.7599999999998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2981.1418776671408</v>
      </c>
      <c r="M11" s="16">
        <f t="shared" ca="1" si="0"/>
        <v>2981.1418776671408</v>
      </c>
      <c r="N11" s="16"/>
      <c r="O11" s="16">
        <f t="shared" ca="1" si="3"/>
        <v>0</v>
      </c>
      <c r="P11" s="11" cm="1">
        <f t="array" aca="1" ref="P11" ca="1">INDIRECT("'data'!$X$" &amp; $A$1)*parameters!$B$15</f>
        <v>887.88</v>
      </c>
      <c r="Q11" s="13" cm="1">
        <f t="array" aca="1" ref="Q11" ca="1">-INDIRECT("'data'!$Y$" &amp; $A$1)*parameters!$B$15</f>
        <v>-2228.52</v>
      </c>
      <c r="R11" s="16" cm="1">
        <f t="array" aca="1" ref="R11" ca="1">INDIRECT("'data'!$W$" &amp; $A$1)*parameters!$B$15</f>
        <v>1640.5018776671409</v>
      </c>
      <c r="S11" s="16">
        <f t="shared" ca="1" si="2"/>
        <v>1640.5018776671409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5928.4552147937411</v>
      </c>
      <c r="O12" s="19"/>
      <c r="P12" s="21" cm="1">
        <f t="array" aca="1" ref="P12" ca="1">INDIRECT("'data'!$Z$" &amp; $A$1)*parameters!$B$15</f>
        <v>1284.78</v>
      </c>
      <c r="Q12" s="27" cm="1">
        <f t="array" aca="1" ref="Q12" ca="1">-INDIRECT("'data'!$AA$" &amp; $A$1)*parameters!$B$15</f>
        <v>-1461.18</v>
      </c>
      <c r="R12" s="16">
        <f ca="1">L10*parameters!$B$10+L11*parameters!$B$11</f>
        <v>5752.0552147937406</v>
      </c>
      <c r="S12" s="16">
        <f t="shared" ref="S12:S18" ca="1" si="4">SUM(M12:Q12)</f>
        <v>5752.0552147937406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-7.8742075072959778</v>
      </c>
      <c r="E13" s="9">
        <f ca="1">-(E18-R5)</f>
        <v>-194.23974105643811</v>
      </c>
      <c r="F13" s="9">
        <f ca="1">-(F18-R6)</f>
        <v>0</v>
      </c>
      <c r="G13" s="9">
        <f ca="1">-(G18-R7)</f>
        <v>0</v>
      </c>
      <c r="H13" s="9">
        <f ca="1">-(H18-R8)</f>
        <v>-233.20108672936294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-435.31503529309703</v>
      </c>
      <c r="N13" s="17"/>
      <c r="O13" s="17"/>
      <c r="P13" s="10"/>
      <c r="Q13" s="12"/>
      <c r="R13" s="9">
        <f t="shared" ref="R13:R18" ca="1" si="6">SUM(M13:Q13)</f>
        <v>-435.31503529309703</v>
      </c>
      <c r="S13" s="17">
        <f t="shared" ca="1" si="4"/>
        <v>-435.31503529309703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-174.47391246867119</v>
      </c>
      <c r="K14" s="14">
        <f ca="1">-(K18-R11)</f>
        <v>-88.184209864188233</v>
      </c>
      <c r="L14" s="13">
        <f ca="1">-(L18-R12)</f>
        <v>-620.86666287339995</v>
      </c>
      <c r="M14" s="14">
        <f t="shared" ca="1" si="5"/>
        <v>-883.52478520625937</v>
      </c>
      <c r="N14" s="16">
        <f ca="1">-E16</f>
        <v>-882.29104257954168</v>
      </c>
      <c r="O14" s="16"/>
      <c r="P14" s="11"/>
      <c r="Q14" s="13"/>
      <c r="R14" s="14">
        <f t="shared" ca="1" si="6"/>
        <v>-1765.815827785801</v>
      </c>
      <c r="S14" s="16">
        <f t="shared" ca="1" si="4"/>
        <v>-1765.815827785801</v>
      </c>
    </row>
    <row r="15" spans="1:20">
      <c r="A15" s="18" t="s">
        <v>79</v>
      </c>
      <c r="B15" s="11"/>
      <c r="C15" s="14"/>
      <c r="D15" s="14"/>
      <c r="E15" s="14">
        <f ca="1">-(J14+K14)-L14</f>
        <v>883.52478520625937</v>
      </c>
      <c r="F15" s="14"/>
      <c r="G15" s="14"/>
      <c r="H15" s="14"/>
      <c r="I15" s="14"/>
      <c r="J15" s="14"/>
      <c r="K15" s="14"/>
      <c r="L15" s="13"/>
      <c r="M15" s="14">
        <f t="shared" ca="1" si="5"/>
        <v>883.52478520625937</v>
      </c>
      <c r="N15" s="16"/>
      <c r="O15" s="16"/>
      <c r="P15" s="11"/>
      <c r="Q15" s="13"/>
      <c r="R15" s="14">
        <f t="shared" ca="1" si="6"/>
        <v>883.52478520625937</v>
      </c>
      <c r="S15" s="16">
        <f t="shared" ca="1" si="4"/>
        <v>883.52478520625937</v>
      </c>
    </row>
    <row r="16" spans="1:20">
      <c r="A16" s="18" t="s">
        <v>80</v>
      </c>
      <c r="B16" s="11"/>
      <c r="C16" s="14"/>
      <c r="D16" s="14"/>
      <c r="E16" s="14">
        <f ca="1">E18-E15</f>
        <v>882.29104257954168</v>
      </c>
      <c r="F16" s="14"/>
      <c r="G16" s="14"/>
      <c r="H16" s="14"/>
      <c r="I16" s="14"/>
      <c r="J16" s="14"/>
      <c r="K16" s="14"/>
      <c r="L16" s="13"/>
      <c r="M16" s="14">
        <f t="shared" ca="1" si="5"/>
        <v>882.29104257954168</v>
      </c>
      <c r="N16" s="16"/>
      <c r="O16" s="16"/>
      <c r="P16" s="11"/>
      <c r="Q16" s="13"/>
      <c r="R16" s="14">
        <f t="shared" ca="1" si="6"/>
        <v>882.29104257954168</v>
      </c>
      <c r="S16" s="16">
        <f t="shared" ca="1" si="4"/>
        <v>882.29104257954168</v>
      </c>
    </row>
    <row r="17" spans="1:19">
      <c r="A17" s="30" t="s">
        <v>90</v>
      </c>
      <c r="B17" s="21">
        <f ca="1">R2</f>
        <v>541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541</v>
      </c>
      <c r="N17" s="19"/>
      <c r="O17" s="19"/>
      <c r="P17" s="21"/>
      <c r="Q17" s="27"/>
      <c r="R17" s="22">
        <f t="shared" ca="1" si="6"/>
        <v>541</v>
      </c>
      <c r="S17" s="19">
        <f t="shared" ca="1" si="4"/>
        <v>541</v>
      </c>
    </row>
    <row r="18" spans="1:19">
      <c r="A18" s="29" t="s">
        <v>89</v>
      </c>
      <c r="B18" s="9">
        <f ca="1">B17</f>
        <v>541</v>
      </c>
      <c r="C18" s="9">
        <f ca="1">SUM(C$2:C$12)</f>
        <v>0</v>
      </c>
      <c r="D18" s="9">
        <f ca="1">SUM(D$2:D$12)</f>
        <v>1249.874207507296</v>
      </c>
      <c r="E18" s="9">
        <f ca="1">$R$5/parameters!$B$4</f>
        <v>1765.815827785801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5423.2810867293629</v>
      </c>
      <c r="I18" s="9">
        <f t="shared" ca="1" si="7"/>
        <v>5190.08</v>
      </c>
      <c r="J18" s="9">
        <f t="shared" ca="1" si="7"/>
        <v>3420.233912468671</v>
      </c>
      <c r="K18" s="9">
        <f t="shared" ca="1" si="7"/>
        <v>1728.6860875313291</v>
      </c>
      <c r="L18" s="9">
        <f t="shared" ca="1" si="7"/>
        <v>6372.9218776671405</v>
      </c>
      <c r="M18" s="17">
        <f ca="1">SUM(B18:L18)</f>
        <v>25691.8929996896</v>
      </c>
      <c r="N18" s="17"/>
      <c r="O18" s="17"/>
      <c r="P18" s="9"/>
      <c r="Q18" s="14"/>
      <c r="R18" s="11">
        <f t="shared" ca="1" si="6"/>
        <v>25691.8929996896</v>
      </c>
      <c r="S18" s="17">
        <f t="shared" ca="1" si="4"/>
        <v>25691.8929996896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0.9489877251282095</v>
      </c>
      <c r="K19" s="39">
        <f ca="1">J19</f>
        <v>0.9489877251282095</v>
      </c>
      <c r="L19" s="40">
        <f ca="1">1-(-L14)/L18</f>
        <v>0.90257739310297758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116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116</v>
      </c>
      <c r="S2" s="17">
        <f ca="1">SUM(M2:Q2)</f>
        <v>116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892.07999999999993</v>
      </c>
      <c r="I3" s="14"/>
      <c r="J3" s="14"/>
      <c r="K3" s="14"/>
      <c r="L3" s="13"/>
      <c r="M3" s="16">
        <f t="shared" ref="M3:M11" ca="1" si="0">SUM(B3:L3)</f>
        <v>892.07999999999993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23.625</v>
      </c>
      <c r="Q3" s="13" cm="1">
        <f t="array" aca="1" ref="Q3" ca="1">-INDIRECT("'data'!$I$" &amp; $A$1)*parameters!$B$13</f>
        <v>-915.70499999999993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4392.9565726227793</v>
      </c>
      <c r="I5" s="14"/>
      <c r="J5" s="14"/>
      <c r="K5" s="14"/>
      <c r="L5" s="13"/>
      <c r="M5" s="16">
        <f t="shared" ca="1" si="0"/>
        <v>4392.9565726227793</v>
      </c>
      <c r="N5" s="16"/>
      <c r="O5" s="16"/>
      <c r="P5" s="11" cm="1">
        <f t="array" aca="1" ref="P5" ca="1">INDIRECT("'data'!$M$" &amp; $A$1)*parameters!$B$15</f>
        <v>169.54</v>
      </c>
      <c r="Q5" s="13" cm="1">
        <f t="array" aca="1" ref="Q5" ca="1">-INDIRECT("'data'!$N$" &amp; $A$1)*parameters!$B$15</f>
        <v>-1649.34</v>
      </c>
      <c r="R5" s="16">
        <f ca="1">SUM(M5:Q5)</f>
        <v>2913.1565726227791</v>
      </c>
      <c r="S5" s="16">
        <f t="shared" ca="1" si="2"/>
        <v>2913.1565726227791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5057.78</v>
      </c>
      <c r="J8" s="14"/>
      <c r="K8" s="14"/>
      <c r="L8" s="13"/>
      <c r="M8" s="16">
        <f t="shared" ca="1" si="0"/>
        <v>5057.78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5057.78</v>
      </c>
      <c r="S8" s="16">
        <f t="shared" ca="1" si="2"/>
        <v>5057.78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5707.1519955404146</v>
      </c>
      <c r="K9" s="14">
        <f ca="1">R11/K19</f>
        <v>4908.2080044595859</v>
      </c>
      <c r="L9" s="13"/>
      <c r="M9" s="16">
        <f t="shared" ca="1" si="0"/>
        <v>10615.36</v>
      </c>
      <c r="N9" s="16"/>
      <c r="O9" s="16">
        <f t="shared" ca="1" si="3"/>
        <v>0</v>
      </c>
      <c r="P9" s="11" cm="1">
        <f t="array" aca="1" ref="P9" ca="1">INDIRECT("'data'!$R$" &amp; $A$1)*parameters!$B$15</f>
        <v>38.22</v>
      </c>
      <c r="Q9" s="13" cm="1">
        <f t="array" aca="1" ref="Q9" ca="1">-INDIRECT("'data'!$S$" &amp; $A$1)*parameters!$B$15</f>
        <v>-5595.8</v>
      </c>
      <c r="R9" s="16">
        <f ca="1">SUM(R6:R8)</f>
        <v>5057.78</v>
      </c>
      <c r="S9" s="16">
        <f t="shared" ca="1" si="2"/>
        <v>5057.78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5524.26</v>
      </c>
      <c r="M10" s="16">
        <f t="shared" ca="1" si="0"/>
        <v>5524.26</v>
      </c>
      <c r="N10" s="16"/>
      <c r="O10" s="16">
        <f t="shared" ca="1" si="3"/>
        <v>0</v>
      </c>
      <c r="P10" s="11" cm="1">
        <f t="array" aca="1" ref="P10" ca="1">INDIRECT("'data'!$U$" &amp; $A$1)*parameters!$B$15</f>
        <v>448.84</v>
      </c>
      <c r="Q10" s="13" cm="1">
        <f t="array" aca="1" ref="Q10" ca="1">-INDIRECT("'data'!$V$" &amp; $A$1)*parameters!$B$15</f>
        <v>-1081.92</v>
      </c>
      <c r="R10" s="16" cm="1">
        <f t="array" aca="1" ref="R10" ca="1">INDIRECT("'data'!$T$" &amp; $A$1)*parameters!$B$15</f>
        <v>4891.18</v>
      </c>
      <c r="S10" s="16">
        <f t="shared" ca="1" si="2"/>
        <v>4891.18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7941.2438975817922</v>
      </c>
      <c r="M11" s="16">
        <f t="shared" ca="1" si="0"/>
        <v>7941.2438975817922</v>
      </c>
      <c r="N11" s="16"/>
      <c r="O11" s="16">
        <f t="shared" ca="1" si="3"/>
        <v>0</v>
      </c>
      <c r="P11" s="11" cm="1">
        <f t="array" aca="1" ref="P11" ca="1">INDIRECT("'data'!$X$" &amp; $A$1)*parameters!$B$15</f>
        <v>1380.82</v>
      </c>
      <c r="Q11" s="13" cm="1">
        <f t="array" aca="1" ref="Q11" ca="1">-INDIRECT("'data'!$Y$" &amp; $A$1)*parameters!$B$15</f>
        <v>-5115.5999999999995</v>
      </c>
      <c r="R11" s="16" cm="1">
        <f t="array" aca="1" ref="R11" ca="1">INDIRECT("'data'!$W$" &amp; $A$1)*parameters!$B$15</f>
        <v>4206.4638975817925</v>
      </c>
      <c r="S11" s="16">
        <f t="shared" ca="1" si="2"/>
        <v>4206.4638975817934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11514.634151920342</v>
      </c>
      <c r="O12" s="19"/>
      <c r="P12" s="21" cm="1">
        <f t="array" aca="1" ref="P12" ca="1">INDIRECT("'data'!$Z$" &amp; $A$1)*parameters!$B$15</f>
        <v>2689.12</v>
      </c>
      <c r="Q12" s="27" cm="1">
        <f t="array" aca="1" ref="Q12" ca="1">-INDIRECT("'data'!$AA$" &amp; $A$1)*parameters!$B$15</f>
        <v>-2181.48</v>
      </c>
      <c r="R12" s="16">
        <f ca="1">L10*parameters!$B$10+L11*parameters!$B$11</f>
        <v>12022.274151920341</v>
      </c>
      <c r="S12" s="16">
        <f t="shared" ref="S12:S18" ca="1" si="4">SUM(M12:Q12)</f>
        <v>12022.274151920341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-360.05305953764673</v>
      </c>
      <c r="F13" s="9">
        <f ca="1">-(F18-R6)</f>
        <v>0</v>
      </c>
      <c r="G13" s="9">
        <f ca="1">-(G18-R7)</f>
        <v>0</v>
      </c>
      <c r="H13" s="9">
        <f ca="1">-(H18-R8)</f>
        <v>-227.25657262277946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-587.30963216042619</v>
      </c>
      <c r="N13" s="17"/>
      <c r="O13" s="17"/>
      <c r="P13" s="10"/>
      <c r="Q13" s="12"/>
      <c r="R13" s="9">
        <f t="shared" ref="R13:R18" ca="1" si="6">SUM(M13:Q13)</f>
        <v>-587.30963216042619</v>
      </c>
      <c r="S13" s="17">
        <f t="shared" ca="1" si="4"/>
        <v>-587.30963216042619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-815.97199554041435</v>
      </c>
      <c r="K14" s="14">
        <f ca="1">-(K18-R11)</f>
        <v>-701.74410687779346</v>
      </c>
      <c r="L14" s="13">
        <f ca="1">-(L18-R12)</f>
        <v>-1443.2297456614506</v>
      </c>
      <c r="M14" s="14">
        <f t="shared" ca="1" si="5"/>
        <v>-2960.9458480796584</v>
      </c>
      <c r="N14" s="16">
        <f ca="1">-E16</f>
        <v>-312.26378408076744</v>
      </c>
      <c r="O14" s="16"/>
      <c r="P14" s="11"/>
      <c r="Q14" s="13"/>
      <c r="R14" s="14">
        <f t="shared" ca="1" si="6"/>
        <v>-3273.2096321604258</v>
      </c>
      <c r="S14" s="16">
        <f t="shared" ca="1" si="4"/>
        <v>-3273.2096321604258</v>
      </c>
    </row>
    <row r="15" spans="1:21">
      <c r="A15" s="18" t="s">
        <v>79</v>
      </c>
      <c r="B15" s="11"/>
      <c r="C15" s="14"/>
      <c r="D15" s="14"/>
      <c r="E15" s="14">
        <f ca="1">-(J14+K14)-L14</f>
        <v>2960.9458480796584</v>
      </c>
      <c r="F15" s="14"/>
      <c r="G15" s="14"/>
      <c r="H15" s="14"/>
      <c r="I15" s="14"/>
      <c r="J15" s="14"/>
      <c r="K15" s="14"/>
      <c r="L15" s="13"/>
      <c r="M15" s="14">
        <f t="shared" ca="1" si="5"/>
        <v>2960.9458480796584</v>
      </c>
      <c r="N15" s="16"/>
      <c r="O15" s="16"/>
      <c r="P15" s="11"/>
      <c r="Q15" s="13"/>
      <c r="R15" s="14">
        <f t="shared" ca="1" si="6"/>
        <v>2960.9458480796584</v>
      </c>
      <c r="S15" s="16">
        <f t="shared" ca="1" si="4"/>
        <v>2960.9458480796584</v>
      </c>
    </row>
    <row r="16" spans="1:21">
      <c r="A16" s="18" t="s">
        <v>80</v>
      </c>
      <c r="B16" s="11"/>
      <c r="C16" s="14"/>
      <c r="D16" s="14"/>
      <c r="E16" s="14">
        <f ca="1">E18-E15</f>
        <v>312.26378408076744</v>
      </c>
      <c r="F16" s="14"/>
      <c r="G16" s="14"/>
      <c r="H16" s="14"/>
      <c r="I16" s="14"/>
      <c r="J16" s="14"/>
      <c r="K16" s="14"/>
      <c r="L16" s="13"/>
      <c r="M16" s="14">
        <f t="shared" ca="1" si="5"/>
        <v>312.26378408076744</v>
      </c>
      <c r="N16" s="16"/>
      <c r="O16" s="16"/>
      <c r="P16" s="11"/>
      <c r="Q16" s="13"/>
      <c r="R16" s="14">
        <f t="shared" ca="1" si="6"/>
        <v>312.26378408076744</v>
      </c>
      <c r="S16" s="16">
        <f t="shared" ca="1" si="4"/>
        <v>312.26378408076744</v>
      </c>
    </row>
    <row r="17" spans="1:19">
      <c r="A17" s="30" t="s">
        <v>90</v>
      </c>
      <c r="B17" s="21">
        <f ca="1">R2</f>
        <v>116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116</v>
      </c>
      <c r="N17" s="19"/>
      <c r="O17" s="19"/>
      <c r="P17" s="21"/>
      <c r="Q17" s="27"/>
      <c r="R17" s="22">
        <f t="shared" ca="1" si="6"/>
        <v>116</v>
      </c>
      <c r="S17" s="19">
        <f t="shared" ca="1" si="4"/>
        <v>116</v>
      </c>
    </row>
    <row r="18" spans="1:19">
      <c r="A18" s="29" t="s">
        <v>89</v>
      </c>
      <c r="B18" s="9">
        <f ca="1">B17</f>
        <v>116</v>
      </c>
      <c r="C18" s="9">
        <f ca="1">SUM(C$2:C$12)</f>
        <v>0</v>
      </c>
      <c r="D18" s="9">
        <f ca="1">SUM(D$2:D$12)</f>
        <v>0</v>
      </c>
      <c r="E18" s="9">
        <f ca="1">$R$5/parameters!$B$4</f>
        <v>3273.2096321604258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5285.0365726227792</v>
      </c>
      <c r="I18" s="9">
        <f t="shared" ca="1" si="7"/>
        <v>5057.78</v>
      </c>
      <c r="J18" s="9">
        <f t="shared" ca="1" si="7"/>
        <v>5707.1519955404146</v>
      </c>
      <c r="K18" s="9">
        <f t="shared" ca="1" si="7"/>
        <v>4908.2080044595859</v>
      </c>
      <c r="L18" s="9">
        <f t="shared" ca="1" si="7"/>
        <v>13465.503897581792</v>
      </c>
      <c r="M18" s="17">
        <f ca="1">SUM(B18:L18)</f>
        <v>37812.890102364996</v>
      </c>
      <c r="N18" s="17"/>
      <c r="O18" s="17"/>
      <c r="P18" s="9"/>
      <c r="Q18" s="14"/>
      <c r="R18" s="11">
        <f t="shared" ca="1" si="6"/>
        <v>37812.890102364996</v>
      </c>
      <c r="S18" s="17">
        <f t="shared" ca="1" si="4"/>
        <v>37812.890102364996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0.85702641244213973</v>
      </c>
      <c r="K19" s="39">
        <f ca="1">J19</f>
        <v>0.85702641244213973</v>
      </c>
      <c r="L19" s="40">
        <f ca="1">1-(-L14)/L18</f>
        <v>0.89282021997553063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3547.1973432625541</v>
      </c>
      <c r="D2" s="9">
        <f ca="1">R4/parameters!$B$3</f>
        <v>105.54493307839388</v>
      </c>
      <c r="E2" s="9"/>
      <c r="F2" s="9"/>
      <c r="G2" s="9"/>
      <c r="H2" s="9"/>
      <c r="I2" s="9"/>
      <c r="J2" s="9"/>
      <c r="K2" s="9"/>
      <c r="L2" s="12"/>
      <c r="M2" s="17">
        <f ca="1">SUM(B2:L2)</f>
        <v>3652.7422763409481</v>
      </c>
      <c r="N2" s="17"/>
      <c r="O2" s="17">
        <f ca="1">R2-(M2+P2+Q2)</f>
        <v>209.20772365905032</v>
      </c>
      <c r="P2" s="11" cm="1">
        <f t="array" aca="1" ref="P2" ca="1">INDIRECT("'data'!$F$" &amp; $A$1)</f>
        <v>11438.050000000001</v>
      </c>
      <c r="Q2" s="13">
        <f ca="1">IF(-(M2-R2+P2)&lt;0, -(M2-R2+P2), 0)</f>
        <v>0</v>
      </c>
      <c r="R2" s="17" cm="1">
        <f t="array" aca="1" ref="R2" ca="1">INDIRECT("'data'!$D$" &amp; $A$1)</f>
        <v>15300</v>
      </c>
      <c r="S2" s="17">
        <f ca="1">SUM(M2:Q2)</f>
        <v>15300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3279.7611940298507</v>
      </c>
      <c r="G3" s="14">
        <f ca="1">R7/parameters!$B$6</f>
        <v>0</v>
      </c>
      <c r="H3" s="14">
        <f ca="1">R3-P3-Q3-F3-G3</f>
        <v>187.44380597014924</v>
      </c>
      <c r="I3" s="14"/>
      <c r="J3" s="14"/>
      <c r="K3" s="14"/>
      <c r="L3" s="13"/>
      <c r="M3" s="16">
        <f t="shared" ref="M3:M11" ca="1" si="0">SUM(B3:L3)</f>
        <v>3467.2049999999999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93.554999999999993</v>
      </c>
      <c r="Q3" s="13" cm="1">
        <f t="array" aca="1" ref="Q3" ca="1">-INDIRECT("'data'!$I$" &amp; $A$1)*parameters!$B$13</f>
        <v>-35.909999999999997</v>
      </c>
      <c r="R3" s="16" cm="1">
        <f t="array" aca="1" ref="R3" ca="1">INDIRECT("'data'!$G$" &amp; $A$1)*parameters!$B$13</f>
        <v>3524.85</v>
      </c>
      <c r="S3" s="16">
        <f t="shared" ref="S3:S11" ca="1" si="2">SUM(M3:Q3)</f>
        <v>3524.85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102.12</v>
      </c>
      <c r="I4" s="14"/>
      <c r="J4" s="14"/>
      <c r="K4" s="14"/>
      <c r="L4" s="13"/>
      <c r="M4" s="16">
        <f t="shared" ca="1" si="0"/>
        <v>102.12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104.88000000000001</v>
      </c>
      <c r="S4" s="16">
        <f t="shared" ca="1" si="2"/>
        <v>104.88000000000001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819.94029850746267</v>
      </c>
      <c r="G5" s="14"/>
      <c r="H5" s="14">
        <f ca="1">R8/parameters!$B$7-(H3+H4)</f>
        <v>1490.2063089723797</v>
      </c>
      <c r="I5" s="14"/>
      <c r="J5" s="14"/>
      <c r="K5" s="14"/>
      <c r="L5" s="13"/>
      <c r="M5" s="16">
        <f t="shared" ca="1" si="0"/>
        <v>2310.1466074798423</v>
      </c>
      <c r="N5" s="16"/>
      <c r="O5" s="16"/>
      <c r="P5" s="11" cm="1">
        <f t="array" aca="1" ref="P5" ca="1">INDIRECT("'data'!$M$" &amp; $A$1)*parameters!$B$15</f>
        <v>840.84</v>
      </c>
      <c r="Q5" s="13" cm="1">
        <f t="array" aca="1" ref="Q5" ca="1">-INDIRECT("'data'!$N$" &amp; $A$1)*parameters!$B$15</f>
        <v>-246.96</v>
      </c>
      <c r="R5" s="16">
        <f ca="1">SUM(M5:Q5)</f>
        <v>2904.0266074798424</v>
      </c>
      <c r="S5" s="16">
        <f t="shared" ca="1" si="2"/>
        <v>2904.0266074798424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3845.52</v>
      </c>
      <c r="J6" s="14"/>
      <c r="K6" s="14"/>
      <c r="L6" s="13"/>
      <c r="M6" s="16">
        <f t="shared" ca="1" si="0"/>
        <v>3845.52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3845.52</v>
      </c>
      <c r="S6" s="16">
        <f t="shared" ca="1" si="2"/>
        <v>3845.52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1703.24</v>
      </c>
      <c r="J8" s="14"/>
      <c r="K8" s="14"/>
      <c r="L8" s="13"/>
      <c r="M8" s="16">
        <f t="shared" ca="1" si="0"/>
        <v>1703.24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1703.24</v>
      </c>
      <c r="S8" s="16">
        <f t="shared" ca="1" si="2"/>
        <v>1703.24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919.1739164663536</v>
      </c>
      <c r="K9" s="14">
        <f ca="1">R11/K19</f>
        <v>4690.3460835336464</v>
      </c>
      <c r="L9" s="13"/>
      <c r="M9" s="16">
        <f t="shared" ca="1" si="0"/>
        <v>5609.52</v>
      </c>
      <c r="N9" s="16"/>
      <c r="O9" s="16">
        <f t="shared" ca="1" si="3"/>
        <v>0</v>
      </c>
      <c r="P9" s="11" cm="1">
        <f t="array" aca="1" ref="P9" ca="1">INDIRECT("'data'!$R$" &amp; $A$1)*parameters!$B$15</f>
        <v>228.34</v>
      </c>
      <c r="Q9" s="13" cm="1">
        <f t="array" aca="1" ref="Q9" ca="1">-INDIRECT("'data'!$S$" &amp; $A$1)*parameters!$B$15</f>
        <v>-289.10000000000002</v>
      </c>
      <c r="R9" s="16">
        <f ca="1">SUM(R6:R8)</f>
        <v>5548.76</v>
      </c>
      <c r="S9" s="16">
        <f t="shared" ca="1" si="2"/>
        <v>5548.76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903.56</v>
      </c>
      <c r="M10" s="16">
        <f t="shared" ca="1" si="0"/>
        <v>903.56</v>
      </c>
      <c r="N10" s="16"/>
      <c r="O10" s="16">
        <f t="shared" ca="1" si="3"/>
        <v>0</v>
      </c>
      <c r="P10" s="11" cm="1">
        <f t="array" aca="1" ref="P10" ca="1">INDIRECT("'data'!$U$" &amp; $A$1)*parameters!$B$15</f>
        <v>740.88</v>
      </c>
      <c r="Q10" s="13" cm="1">
        <f t="array" aca="1" ref="Q10" ca="1">-INDIRECT("'data'!$V$" &amp; $A$1)*parameters!$B$15</f>
        <v>-867.3</v>
      </c>
      <c r="R10" s="16" cm="1">
        <f t="array" aca="1" ref="R10" ca="1">INDIRECT("'data'!$T$" &amp; $A$1)*parameters!$B$15</f>
        <v>777.14</v>
      </c>
      <c r="S10" s="16">
        <f t="shared" ca="1" si="2"/>
        <v>777.1400000000001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3096.3176671408251</v>
      </c>
      <c r="M11" s="16">
        <f t="shared" ca="1" si="0"/>
        <v>3096.3176671408251</v>
      </c>
      <c r="N11" s="16"/>
      <c r="O11" s="16">
        <f t="shared" ca="1" si="3"/>
        <v>0</v>
      </c>
      <c r="P11" s="11" cm="1">
        <f t="array" aca="1" ref="P11" ca="1">INDIRECT("'data'!$X$" &amp; $A$1)*parameters!$B$15</f>
        <v>2854.74</v>
      </c>
      <c r="Q11" s="13" cm="1">
        <f t="array" aca="1" ref="Q11" ca="1">-INDIRECT("'data'!$Y$" &amp; $A$1)*parameters!$B$15</f>
        <v>-1985.48</v>
      </c>
      <c r="R11" s="16" cm="1">
        <f t="array" aca="1" ref="R11" ca="1">INDIRECT("'data'!$W$" &amp; $A$1)*parameters!$B$15</f>
        <v>3965.5776671408248</v>
      </c>
      <c r="S11" s="16">
        <f t="shared" ca="1" si="2"/>
        <v>3965.5776671408253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3692.499593741109</v>
      </c>
      <c r="O12" s="19"/>
      <c r="P12" s="21" cm="1">
        <f t="array" aca="1" ref="P12" ca="1">INDIRECT("'data'!$Z$" &amp; $A$1)*parameters!$B$15</f>
        <v>2721.46</v>
      </c>
      <c r="Q12" s="27" cm="1">
        <f t="array" aca="1" ref="Q12" ca="1">-INDIRECT("'data'!$AA$" &amp; $A$1)*parameters!$B$15</f>
        <v>-2901.7799999999997</v>
      </c>
      <c r="R12" s="16">
        <f ca="1">L10*parameters!$B$10+L11*parameters!$B$11</f>
        <v>3512.1795937411093</v>
      </c>
      <c r="S12" s="16">
        <f t="shared" ref="S12:S18" ca="1" si="4">SUM(M12:Q12)</f>
        <v>3512.1795937411089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-22.347343262554205</v>
      </c>
      <c r="D13" s="9">
        <f ca="1">-(D18-R4)</f>
        <v>-0.66493307839387228</v>
      </c>
      <c r="E13" s="9">
        <f ca="1">-(E18-R5)</f>
        <v>-358.92463687953114</v>
      </c>
      <c r="F13" s="9">
        <f ca="1">-(F18-R6)</f>
        <v>-254.18149253731326</v>
      </c>
      <c r="G13" s="9">
        <f ca="1">-(G18-R7)</f>
        <v>0</v>
      </c>
      <c r="H13" s="9">
        <f ca="1">-(H18-R8)</f>
        <v>-76.530114942528826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-712.64852070032134</v>
      </c>
      <c r="N13" s="17"/>
      <c r="O13" s="17"/>
      <c r="P13" s="10"/>
      <c r="Q13" s="12"/>
      <c r="R13" s="9">
        <f t="shared" ref="R13:R18" ca="1" si="6">SUM(M13:Q13)</f>
        <v>-712.64852070032134</v>
      </c>
      <c r="S13" s="17">
        <f t="shared" ca="1" si="4"/>
        <v>-712.64852070032134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-142.03391646635362</v>
      </c>
      <c r="K14" s="14">
        <f ca="1">-(K18-R11)</f>
        <v>-724.76841639282156</v>
      </c>
      <c r="L14" s="13">
        <f ca="1">-(L18-R12)</f>
        <v>-487.69807339971567</v>
      </c>
      <c r="M14" s="14">
        <f t="shared" ca="1" si="5"/>
        <v>-1354.500406258891</v>
      </c>
      <c r="N14" s="16">
        <f ca="1">-E16</f>
        <v>-1908.4508381004825</v>
      </c>
      <c r="O14" s="16"/>
      <c r="P14" s="11"/>
      <c r="Q14" s="13"/>
      <c r="R14" s="14">
        <f t="shared" ca="1" si="6"/>
        <v>-3262.9512443593735</v>
      </c>
      <c r="S14" s="16">
        <f t="shared" ca="1" si="4"/>
        <v>-3262.9512443593735</v>
      </c>
    </row>
    <row r="15" spans="1:21">
      <c r="A15" s="18" t="s">
        <v>79</v>
      </c>
      <c r="B15" s="11"/>
      <c r="C15" s="14"/>
      <c r="D15" s="14"/>
      <c r="E15" s="14">
        <f ca="1">-(J14+K14)-L14</f>
        <v>1354.500406258891</v>
      </c>
      <c r="F15" s="14"/>
      <c r="G15" s="14"/>
      <c r="H15" s="14"/>
      <c r="I15" s="14"/>
      <c r="J15" s="14"/>
      <c r="K15" s="14"/>
      <c r="L15" s="13"/>
      <c r="M15" s="14">
        <f t="shared" ca="1" si="5"/>
        <v>1354.500406258891</v>
      </c>
      <c r="N15" s="16"/>
      <c r="O15" s="16"/>
      <c r="P15" s="11"/>
      <c r="Q15" s="13"/>
      <c r="R15" s="14">
        <f t="shared" ca="1" si="6"/>
        <v>1354.500406258891</v>
      </c>
      <c r="S15" s="16">
        <f t="shared" ca="1" si="4"/>
        <v>1354.500406258891</v>
      </c>
    </row>
    <row r="16" spans="1:21">
      <c r="A16" s="18" t="s">
        <v>80</v>
      </c>
      <c r="B16" s="11"/>
      <c r="C16" s="14"/>
      <c r="D16" s="14"/>
      <c r="E16" s="14">
        <f ca="1">E18-E15</f>
        <v>1908.4508381004825</v>
      </c>
      <c r="F16" s="14"/>
      <c r="G16" s="14"/>
      <c r="H16" s="14"/>
      <c r="I16" s="14"/>
      <c r="J16" s="14"/>
      <c r="K16" s="14"/>
      <c r="L16" s="13"/>
      <c r="M16" s="14">
        <f t="shared" ca="1" si="5"/>
        <v>1908.4508381004825</v>
      </c>
      <c r="N16" s="16"/>
      <c r="O16" s="16"/>
      <c r="P16" s="11"/>
      <c r="Q16" s="13"/>
      <c r="R16" s="14">
        <f t="shared" ca="1" si="6"/>
        <v>1908.4508381004825</v>
      </c>
      <c r="S16" s="16">
        <f t="shared" ca="1" si="4"/>
        <v>1908.4508381004825</v>
      </c>
    </row>
    <row r="17" spans="1:19">
      <c r="A17" s="30" t="s">
        <v>90</v>
      </c>
      <c r="B17" s="21">
        <f ca="1">R2</f>
        <v>15300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15300</v>
      </c>
      <c r="N17" s="19"/>
      <c r="O17" s="19"/>
      <c r="P17" s="21"/>
      <c r="Q17" s="27"/>
      <c r="R17" s="22">
        <f t="shared" ca="1" si="6"/>
        <v>15300</v>
      </c>
      <c r="S17" s="19">
        <f t="shared" ca="1" si="4"/>
        <v>15300</v>
      </c>
    </row>
    <row r="18" spans="1:19">
      <c r="A18" s="29" t="s">
        <v>89</v>
      </c>
      <c r="B18" s="9">
        <f ca="1">B17</f>
        <v>15300</v>
      </c>
      <c r="C18" s="9">
        <f ca="1">SUM(C$2:C$12)</f>
        <v>3547.1973432625541</v>
      </c>
      <c r="D18" s="9">
        <f ca="1">SUM(D$2:D$12)</f>
        <v>105.54493307839388</v>
      </c>
      <c r="E18" s="9">
        <f ca="1">$R$5/parameters!$B$4</f>
        <v>3262.9512443593735</v>
      </c>
      <c r="F18" s="9">
        <f t="shared" ref="F18:L18" ca="1" si="7">SUM(F$2:F$12)</f>
        <v>4099.7014925373132</v>
      </c>
      <c r="G18" s="9">
        <f t="shared" ca="1" si="7"/>
        <v>0</v>
      </c>
      <c r="H18" s="9">
        <f t="shared" ca="1" si="7"/>
        <v>1779.7701149425288</v>
      </c>
      <c r="I18" s="9">
        <f t="shared" ca="1" si="7"/>
        <v>5548.76</v>
      </c>
      <c r="J18" s="9">
        <f t="shared" ca="1" si="7"/>
        <v>919.1739164663536</v>
      </c>
      <c r="K18" s="9">
        <f t="shared" ca="1" si="7"/>
        <v>4690.3460835336464</v>
      </c>
      <c r="L18" s="9">
        <f t="shared" ca="1" si="7"/>
        <v>3999.877667140825</v>
      </c>
      <c r="M18" s="17">
        <f ca="1">SUM(B18:L18)</f>
        <v>43253.322795320986</v>
      </c>
      <c r="N18" s="17"/>
      <c r="O18" s="17"/>
      <c r="P18" s="9"/>
      <c r="Q18" s="14"/>
      <c r="R18" s="11">
        <f t="shared" ca="1" si="6"/>
        <v>43253.322795320986</v>
      </c>
      <c r="S18" s="17">
        <f t="shared" ca="1" si="4"/>
        <v>43253.322795320986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0.84547655898202068</v>
      </c>
      <c r="K19" s="39">
        <f ca="1">J19</f>
        <v>0.84547655898202068</v>
      </c>
      <c r="L19" s="40">
        <f ca="1">1-(-L14)/L18</f>
        <v>0.87807175269229421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2024-05-27T14:02:15Z</dcterms:modified>
</cp:coreProperties>
</file>