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FAC35983-0A61-4244-9AFD-BBBF11C31974}" xr6:coauthVersionLast="47" xr6:coauthVersionMax="47" xr10:uidLastSave="{00000000-0000-0000-0000-000000000000}"/>
  <bookViews>
    <workbookView xWindow="0" yWindow="0" windowWidth="38400" windowHeight="21600" firstSheet="2" activeTab="3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4" l="1"/>
  <c r="J18" i="34"/>
  <c r="E4" i="49" l="1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I18" i="14" l="1"/>
  <c r="G4" i="49" l="1"/>
  <c r="J4" i="49"/>
  <c r="J12" i="49" l="1"/>
  <c r="J18" i="14" l="1"/>
  <c r="I18" i="41"/>
  <c r="J18" i="41" s="1"/>
  <c r="C32" i="49" l="1"/>
  <c r="Q32" i="49" l="1"/>
  <c r="Q31" i="49"/>
  <c r="Q30" i="49"/>
  <c r="Q29" i="49"/>
  <c r="Q28" i="49"/>
  <c r="Q27" i="49"/>
  <c r="Q26" i="49"/>
  <c r="Q25" i="49"/>
  <c r="Q24" i="49"/>
  <c r="Q23" i="49"/>
  <c r="Q22" i="49"/>
  <c r="Q21" i="49"/>
  <c r="Q20" i="49"/>
  <c r="Q19" i="49"/>
  <c r="Q18" i="49"/>
  <c r="Q17" i="49"/>
  <c r="Q16" i="49"/>
  <c r="Q15" i="49"/>
  <c r="Q14" i="49"/>
  <c r="Q13" i="49"/>
  <c r="Q12" i="49"/>
  <c r="Q11" i="49"/>
  <c r="Q10" i="49"/>
  <c r="Q9" i="49"/>
  <c r="Q8" i="49"/>
  <c r="Q7" i="49"/>
  <c r="Q6" i="49"/>
  <c r="Q5" i="49"/>
  <c r="Q4" i="49"/>
  <c r="Q3" i="49" l="1"/>
  <c r="D4" i="49" l="1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C5" i="49"/>
  <c r="C6" i="49"/>
  <c r="C7" i="49"/>
  <c r="C8" i="49"/>
  <c r="C9" i="49"/>
  <c r="C10" i="49"/>
  <c r="C11" i="49"/>
  <c r="C12" i="49"/>
  <c r="C13" i="49"/>
  <c r="C14" i="49"/>
  <c r="C15" i="49"/>
  <c r="C16" i="49"/>
  <c r="C17" i="49"/>
  <c r="C18" i="49"/>
  <c r="C19" i="49"/>
  <c r="C20" i="49"/>
  <c r="C21" i="49"/>
  <c r="C22" i="49"/>
  <c r="C23" i="49"/>
  <c r="C24" i="49"/>
  <c r="C25" i="49"/>
  <c r="C26" i="49"/>
  <c r="C27" i="49"/>
  <c r="C28" i="49"/>
  <c r="C29" i="49"/>
  <c r="C30" i="49"/>
  <c r="C31" i="49"/>
  <c r="C4" i="49"/>
  <c r="D3" i="49" l="1"/>
  <c r="G3" i="49"/>
  <c r="C3" i="49"/>
  <c r="J3" i="49" l="1"/>
  <c r="J5" i="49" l="1"/>
  <c r="J6" i="49"/>
  <c r="J7" i="49"/>
  <c r="J8" i="49"/>
  <c r="J9" i="49"/>
  <c r="J10" i="49"/>
  <c r="J11" i="49"/>
  <c r="J13" i="49"/>
  <c r="J14" i="49"/>
  <c r="J15" i="49"/>
  <c r="J16" i="49"/>
  <c r="J17" i="49"/>
  <c r="J18" i="49"/>
  <c r="J19" i="49"/>
  <c r="J20" i="49"/>
  <c r="J21" i="49"/>
  <c r="J22" i="49"/>
  <c r="J23" i="49"/>
  <c r="J24" i="49"/>
  <c r="J25" i="49"/>
  <c r="J26" i="49"/>
  <c r="J27" i="49"/>
  <c r="J28" i="49"/>
  <c r="J29" i="49"/>
  <c r="J30" i="49"/>
  <c r="J31" i="49"/>
  <c r="J32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W32" i="49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" i="49"/>
  <c r="Q6" i="16" a="1"/>
  <c r="Q6" i="36" a="1"/>
  <c r="Q6" i="37" a="1"/>
  <c r="Q6" i="27" a="1"/>
  <c r="Q6" i="29" a="1"/>
  <c r="Q6" i="43" a="1"/>
  <c r="Q6" i="42" a="1"/>
  <c r="Q6" i="14" a="1"/>
  <c r="Q6" i="17" a="1"/>
  <c r="Q6" i="18" a="1"/>
  <c r="Q6" i="19" a="1"/>
  <c r="Q6" i="28" a="1"/>
  <c r="Q6" i="11" a="1"/>
  <c r="Q6" i="39" a="1"/>
  <c r="Q6" i="38" a="1"/>
  <c r="Q6" i="31" a="1"/>
  <c r="Q6" i="30" a="1"/>
  <c r="O5" i="40" a="1"/>
  <c r="Q6" i="40" a="1"/>
  <c r="Q6" i="22" a="1"/>
  <c r="Q6" i="21" a="1"/>
  <c r="Q6" i="20" a="1"/>
  <c r="Q6" i="32" a="1"/>
  <c r="Q6" i="24" a="1"/>
  <c r="Q6" i="15" a="1"/>
  <c r="Q6" i="41" a="1"/>
  <c r="Q6" i="26" a="1"/>
  <c r="Q6" i="23" a="1"/>
  <c r="Q6" i="34" a="1"/>
  <c r="Q6" i="33" a="1"/>
  <c r="Q6" i="35" a="1"/>
  <c r="Q6" i="37" l="1"/>
  <c r="Q6" i="36"/>
  <c r="Q6" i="27"/>
  <c r="Q6" i="20"/>
  <c r="Q6" i="26"/>
  <c r="Q6" i="43"/>
  <c r="Q6" i="34"/>
  <c r="Q6" i="15"/>
  <c r="Q6" i="17"/>
  <c r="Q6" i="19"/>
  <c r="Q6" i="42"/>
  <c r="Q6" i="33"/>
  <c r="Q6" i="14"/>
  <c r="Q6" i="35"/>
  <c r="Q6" i="41"/>
  <c r="Q6" i="18"/>
  <c r="Q6" i="24"/>
  <c r="Q6" i="32"/>
  <c r="Q6" i="40"/>
  <c r="Q6" i="16"/>
  <c r="Q6" i="31"/>
  <c r="Q6" i="22"/>
  <c r="Q6" i="39"/>
  <c r="Q6" i="30"/>
  <c r="Q6" i="21"/>
  <c r="Q6" i="28"/>
  <c r="Q6" i="23"/>
  <c r="Q6" i="38"/>
  <c r="Q6" i="29"/>
  <c r="Q6" i="11"/>
  <c r="O5" i="40"/>
  <c r="L4" i="39"/>
  <c r="O10" i="11" a="1"/>
  <c r="Q10" i="11" a="1"/>
  <c r="P10" i="33" a="1"/>
  <c r="P5" i="39" a="1"/>
  <c r="P10" i="31" a="1"/>
  <c r="P4" i="16" a="1"/>
  <c r="O3" i="17" a="1"/>
  <c r="Q9" i="26" a="1"/>
  <c r="Q2" i="42" a="1"/>
  <c r="O11" i="14" a="1"/>
  <c r="Q2" i="17" a="1"/>
  <c r="P11" i="30" a="1"/>
  <c r="O10" i="42" a="1"/>
  <c r="O10" i="40" a="1"/>
  <c r="P11" i="16" a="1"/>
  <c r="P9" i="39" a="1"/>
  <c r="P5" i="42" a="1"/>
  <c r="P10" i="38" a="1"/>
  <c r="P4" i="38" a="1"/>
  <c r="Q2" i="19" a="1"/>
  <c r="P11" i="32" a="1"/>
  <c r="O11" i="38" a="1"/>
  <c r="P10" i="29" a="1"/>
  <c r="P3" i="41" a="1"/>
  <c r="O8" i="32" a="1"/>
  <c r="P11" i="21" a="1"/>
  <c r="O2" i="24" a="1"/>
  <c r="O2" i="16" a="1"/>
  <c r="O9" i="42" a="1"/>
  <c r="P8" i="37" a="1"/>
  <c r="O9" i="27" a="1"/>
  <c r="P5" i="26" a="1"/>
  <c r="Q4" i="26" a="1"/>
  <c r="O2" i="32" a="1"/>
  <c r="Q7" i="30" a="1"/>
  <c r="O8" i="38" a="1"/>
  <c r="O9" i="34" a="1"/>
  <c r="O3" i="30" a="1"/>
  <c r="O2" i="20" a="1"/>
  <c r="P8" i="28" a="1"/>
  <c r="O2" i="31" a="1"/>
  <c r="Q4" i="14" a="1"/>
  <c r="P5" i="43" a="1"/>
  <c r="Q4" i="40" a="1"/>
  <c r="O11" i="30" a="1"/>
  <c r="Q3" i="32" a="1"/>
  <c r="O3" i="32" a="1"/>
  <c r="Q7" i="32" a="1"/>
  <c r="Q10" i="24" a="1"/>
  <c r="O5" i="22" a="1"/>
  <c r="Q9" i="40" a="1"/>
  <c r="P3" i="40" a="1"/>
  <c r="O9" i="15" a="1"/>
  <c r="P8" i="33" a="1"/>
  <c r="O4" i="37" a="1"/>
  <c r="Q9" i="38" a="1"/>
  <c r="P9" i="20" a="1"/>
  <c r="P10" i="26" a="1"/>
  <c r="O8" i="26" a="1"/>
  <c r="P9" i="32" a="1"/>
  <c r="Q3" i="35" a="1"/>
  <c r="P5" i="15" a="1"/>
  <c r="O8" i="35" a="1"/>
  <c r="P5" i="17" a="1"/>
  <c r="Q3" i="17" a="1"/>
  <c r="P5" i="34" a="1"/>
  <c r="O4" i="16" a="1"/>
  <c r="O4" i="15" a="1"/>
  <c r="Q4" i="41" a="1"/>
  <c r="Q7" i="26" a="1"/>
  <c r="P9" i="36" a="1"/>
  <c r="O9" i="17" a="1"/>
  <c r="O3" i="36" a="1"/>
  <c r="Q10" i="18" a="1"/>
  <c r="P11" i="28" a="1"/>
  <c r="P4" i="14" a="1"/>
  <c r="Q4" i="27" a="1"/>
  <c r="P11" i="35" a="1"/>
  <c r="O2" i="40" a="1"/>
  <c r="P9" i="15" a="1"/>
  <c r="Q9" i="29" a="1"/>
  <c r="O10" i="38" a="1"/>
  <c r="P8" i="24" a="1"/>
  <c r="P9" i="40" a="1"/>
  <c r="P5" i="20" a="1"/>
  <c r="P4" i="29" a="1"/>
  <c r="O2" i="19" a="1"/>
  <c r="O9" i="18" a="1"/>
  <c r="O11" i="20" a="1"/>
  <c r="Q10" i="31" a="1"/>
  <c r="P3" i="23" a="1"/>
  <c r="O11" i="39" a="1"/>
  <c r="P5" i="38" a="1"/>
  <c r="P8" i="43" a="1"/>
  <c r="O2" i="23" a="1"/>
  <c r="O8" i="20" a="1"/>
  <c r="Q2" i="11" a="1"/>
  <c r="Q4" i="16" a="1"/>
  <c r="O8" i="19" a="1"/>
  <c r="P8" i="41" a="1"/>
  <c r="P11" i="29" a="1"/>
  <c r="P9" i="14" a="1"/>
  <c r="O5" i="20" a="1"/>
  <c r="P3" i="37" a="1"/>
  <c r="P3" i="28" a="1"/>
  <c r="P5" i="16" a="1"/>
  <c r="P4" i="23" a="1"/>
  <c r="Q10" i="23" a="1"/>
  <c r="P11" i="19" a="1"/>
  <c r="O5" i="17" a="1"/>
  <c r="Q7" i="21" a="1"/>
  <c r="O5" i="43" a="1"/>
  <c r="Q3" i="16" a="1"/>
  <c r="P3" i="19" a="1"/>
  <c r="Q2" i="32" a="1"/>
  <c r="O9" i="35" a="1"/>
  <c r="O4" i="31" a="1"/>
  <c r="P4" i="18" a="1"/>
  <c r="O8" i="14" a="1"/>
  <c r="Q9" i="15" a="1"/>
  <c r="O3" i="37" a="1"/>
  <c r="P8" i="17" a="1"/>
  <c r="Q7" i="23" a="1"/>
  <c r="P10" i="23" a="1"/>
  <c r="P4" i="42" a="1"/>
  <c r="P4" i="31" a="1"/>
  <c r="O10" i="33" a="1"/>
  <c r="Q9" i="37" a="1"/>
  <c r="Q3" i="27" a="1"/>
  <c r="P11" i="36" a="1"/>
  <c r="O8" i="15" a="1"/>
  <c r="Q2" i="39" a="1"/>
  <c r="P4" i="35" a="1"/>
  <c r="O8" i="23" a="1"/>
  <c r="P5" i="28" a="1"/>
  <c r="O3" i="43" a="1"/>
  <c r="O11" i="26" a="1"/>
  <c r="Q10" i="30" a="1"/>
  <c r="O3" i="35" a="1"/>
  <c r="P9" i="34" a="1"/>
  <c r="Q2" i="37" a="1"/>
  <c r="Q2" i="22" a="1"/>
  <c r="O10" i="32" a="1"/>
  <c r="P9" i="19" a="1"/>
  <c r="Q4" i="22" a="1"/>
  <c r="P4" i="37" a="1"/>
  <c r="Q7" i="41" a="1"/>
  <c r="P8" i="15" a="1"/>
  <c r="P4" i="28" a="1"/>
  <c r="O4" i="43" a="1"/>
  <c r="P4" i="19" a="1"/>
  <c r="Q3" i="42" a="1"/>
  <c r="O2" i="37" a="1"/>
  <c r="Q4" i="21" a="1"/>
  <c r="O8" i="21" a="1"/>
  <c r="Q10" i="22" a="1"/>
  <c r="Q7" i="19" a="1"/>
  <c r="O2" i="39" a="1"/>
  <c r="Q2" i="35" a="1"/>
  <c r="Q9" i="31" a="1"/>
  <c r="P8" i="32" a="1"/>
  <c r="P8" i="18" a="1"/>
  <c r="P10" i="16" a="1"/>
  <c r="Q10" i="16" a="1"/>
  <c r="P3" i="33" a="1"/>
  <c r="Q2" i="24" a="1"/>
  <c r="O2" i="21" a="1"/>
  <c r="Q7" i="42" a="1"/>
  <c r="O10" i="36" a="1"/>
  <c r="O9" i="14" a="1"/>
  <c r="Q9" i="19" a="1"/>
  <c r="O3" i="28" a="1"/>
  <c r="P11" i="43" a="1"/>
  <c r="Q3" i="24" a="1"/>
  <c r="O10" i="28" a="1"/>
  <c r="O10" i="31" a="1"/>
  <c r="O5" i="23" a="1"/>
  <c r="P11" i="17" a="1"/>
  <c r="O11" i="22" a="1"/>
  <c r="Q10" i="26" a="1"/>
  <c r="O11" i="35" a="1"/>
  <c r="Q9" i="22" a="1"/>
  <c r="O9" i="29" a="1"/>
  <c r="O11" i="31" a="1"/>
  <c r="O2" i="26" a="1"/>
  <c r="P11" i="31" a="1"/>
  <c r="Q4" i="38" a="1"/>
  <c r="O8" i="30" a="1"/>
  <c r="P10" i="43" a="1"/>
  <c r="O5" i="32" a="1"/>
  <c r="P10" i="34" a="1"/>
  <c r="O3" i="33" a="1"/>
  <c r="P9" i="11" a="1"/>
  <c r="Q2" i="20" a="1"/>
  <c r="P5" i="30" a="1"/>
  <c r="O8" i="28" a="1"/>
  <c r="Q4" i="17" a="1"/>
  <c r="P10" i="28" a="1"/>
  <c r="O4" i="18" a="1"/>
  <c r="P5" i="31" a="1"/>
  <c r="O8" i="27" a="1"/>
  <c r="Q3" i="37" a="1"/>
  <c r="O5" i="31" a="1"/>
  <c r="Q4" i="30" a="1"/>
  <c r="Q4" i="35" a="1"/>
  <c r="P10" i="42" a="1"/>
  <c r="Q7" i="22" a="1"/>
  <c r="O3" i="14" a="1"/>
  <c r="O11" i="21" a="1"/>
  <c r="P3" i="38" a="1"/>
  <c r="O5" i="34" a="1"/>
  <c r="P9" i="31" a="1"/>
  <c r="P10" i="32" a="1"/>
  <c r="P10" i="14" a="1"/>
  <c r="Q4" i="36" a="1"/>
  <c r="P10" i="35" a="1"/>
  <c r="Q10" i="19" a="1"/>
  <c r="O9" i="31" a="1"/>
  <c r="P9" i="16" a="1"/>
  <c r="P5" i="35" a="1"/>
  <c r="Q9" i="41" a="1"/>
  <c r="O3" i="16" a="1"/>
  <c r="P3" i="22" a="1"/>
  <c r="O5" i="14" a="1"/>
  <c r="O9" i="28" a="1"/>
  <c r="P4" i="20" a="1"/>
  <c r="Q7" i="33" a="1"/>
  <c r="Q3" i="33" a="1"/>
  <c r="Q9" i="36" a="1"/>
  <c r="Q4" i="19" a="1"/>
  <c r="P10" i="36" a="1"/>
  <c r="O10" i="43" a="1"/>
  <c r="P5" i="11" a="1"/>
  <c r="P5" i="14" a="1"/>
  <c r="P8" i="11" a="1"/>
  <c r="O4" i="28" a="1"/>
  <c r="Q3" i="14" a="1"/>
  <c r="Q9" i="32" a="1"/>
  <c r="Q10" i="38" a="1"/>
  <c r="P9" i="42" a="1"/>
  <c r="P5" i="23" a="1"/>
  <c r="Q3" i="26" a="1"/>
  <c r="Q7" i="15" a="1"/>
  <c r="O4" i="41" a="1"/>
  <c r="O4" i="26" a="1"/>
  <c r="P10" i="22" a="1"/>
  <c r="P9" i="35" a="1"/>
  <c r="O10" i="22" a="1"/>
  <c r="O5" i="36" a="1"/>
  <c r="O9" i="33" a="1"/>
  <c r="Q3" i="40" a="1"/>
  <c r="O9" i="11" a="1"/>
  <c r="P11" i="11" a="1"/>
  <c r="O9" i="37" a="1"/>
  <c r="P11" i="37" a="1"/>
  <c r="P5" i="36" a="1"/>
  <c r="Q2" i="14" a="1"/>
  <c r="Q10" i="42" a="1"/>
  <c r="O3" i="38" a="1"/>
  <c r="P3" i="21" a="1"/>
  <c r="O2" i="15" a="1"/>
  <c r="O9" i="19" a="1"/>
  <c r="P3" i="35" a="1"/>
  <c r="O11" i="36" a="1"/>
  <c r="Q3" i="29" a="1"/>
  <c r="O5" i="37" a="1"/>
  <c r="P5" i="41" a="1"/>
  <c r="O8" i="36" a="1"/>
  <c r="O11" i="41" a="1"/>
  <c r="O9" i="26" a="1"/>
  <c r="Q2" i="34" a="1"/>
  <c r="P9" i="30" a="1"/>
  <c r="P3" i="16" a="1"/>
  <c r="O11" i="27" a="1"/>
  <c r="O8" i="18" a="1"/>
  <c r="O5" i="19" a="1"/>
  <c r="P8" i="39" a="1"/>
  <c r="O3" i="41" a="1"/>
  <c r="O8" i="17" a="1"/>
  <c r="P5" i="32" a="1"/>
  <c r="Q4" i="42" a="1"/>
  <c r="P9" i="29" a="1"/>
  <c r="P10" i="30" a="1"/>
  <c r="O8" i="31" a="1"/>
  <c r="P4" i="40" a="1"/>
  <c r="Q3" i="23" a="1"/>
  <c r="P4" i="24" a="1"/>
  <c r="Q10" i="39" a="1"/>
  <c r="P4" i="34" a="1"/>
  <c r="P10" i="27" a="1"/>
  <c r="P11" i="23" a="1"/>
  <c r="P3" i="14" a="1"/>
  <c r="Q4" i="28" a="1"/>
  <c r="P3" i="42" a="1"/>
  <c r="O2" i="27" a="1"/>
  <c r="P11" i="41" a="1"/>
  <c r="O9" i="38" a="1"/>
  <c r="Q9" i="21" a="1"/>
  <c r="P9" i="18" a="1"/>
  <c r="P4" i="41" a="1"/>
  <c r="P11" i="26" a="1"/>
  <c r="P11" i="34" a="1"/>
  <c r="Q7" i="37" a="1"/>
  <c r="O11" i="32" a="1"/>
  <c r="Q10" i="21" a="1"/>
  <c r="O10" i="26" a="1"/>
  <c r="P3" i="15" a="1"/>
  <c r="O5" i="35" a="1"/>
  <c r="P8" i="20" a="1"/>
  <c r="Q10" i="37" a="1"/>
  <c r="O9" i="41" a="1"/>
  <c r="O11" i="17" a="1"/>
  <c r="O3" i="42" a="1"/>
  <c r="P3" i="31" a="1"/>
  <c r="O4" i="36" a="1"/>
  <c r="P10" i="24" a="1"/>
  <c r="O3" i="26" a="1"/>
  <c r="O11" i="19" a="1"/>
  <c r="Q10" i="33" a="1"/>
  <c r="O2" i="35" a="1"/>
  <c r="Q9" i="28" a="1"/>
  <c r="P8" i="19" a="1"/>
  <c r="Q9" i="33" a="1"/>
  <c r="O4" i="14" a="1"/>
  <c r="O2" i="17" a="1"/>
  <c r="P9" i="41" a="1"/>
  <c r="P9" i="43" a="1"/>
  <c r="O4" i="38" a="1"/>
  <c r="P11" i="18" a="1"/>
  <c r="Q9" i="34" a="1"/>
  <c r="P3" i="34" a="1"/>
  <c r="O11" i="11" a="1"/>
  <c r="O3" i="18" a="1"/>
  <c r="O3" i="39" a="1"/>
  <c r="P9" i="33" a="1"/>
  <c r="Q3" i="30" a="1"/>
  <c r="Q10" i="20" a="1"/>
  <c r="O10" i="17" a="1"/>
  <c r="Q2" i="41" a="1"/>
  <c r="Q7" i="31" a="1"/>
  <c r="O5" i="24" a="1"/>
  <c r="P10" i="19" a="1"/>
  <c r="Q4" i="20" a="1"/>
  <c r="P10" i="17" a="1"/>
  <c r="O10" i="18" a="1"/>
  <c r="O8" i="22" a="1"/>
  <c r="O3" i="29" a="1"/>
  <c r="O4" i="33" a="1"/>
  <c r="O10" i="24" a="1"/>
  <c r="P5" i="29" a="1"/>
  <c r="O11" i="42" a="1"/>
  <c r="O9" i="39" a="1"/>
  <c r="O4" i="42" a="1"/>
  <c r="Q4" i="32" a="1"/>
  <c r="O2" i="42" a="1"/>
  <c r="O11" i="15" a="1"/>
  <c r="O10" i="27" a="1"/>
  <c r="O8" i="33" a="1"/>
  <c r="O10" i="19" a="1"/>
  <c r="Q7" i="36" a="1"/>
  <c r="Q3" i="19" a="1"/>
  <c r="P8" i="21" a="1"/>
  <c r="Q2" i="27" a="1"/>
  <c r="P4" i="27" a="1"/>
  <c r="O4" i="22" a="1"/>
  <c r="P3" i="24" a="1"/>
  <c r="O9" i="21" a="1"/>
  <c r="O11" i="40" a="1"/>
  <c r="Q7" i="28" a="1"/>
  <c r="P8" i="27" a="1"/>
  <c r="O2" i="14" a="1"/>
  <c r="Q2" i="40" a="1"/>
  <c r="O9" i="36" a="1"/>
  <c r="P4" i="33" a="1"/>
  <c r="O8" i="29" a="1"/>
  <c r="Q4" i="23" a="1"/>
  <c r="Q3" i="36" a="1"/>
  <c r="O4" i="20" a="1"/>
  <c r="O4" i="34" a="1"/>
  <c r="O5" i="38" a="1"/>
  <c r="Q10" i="27" a="1"/>
  <c r="O10" i="21" a="1"/>
  <c r="P8" i="31" a="1"/>
  <c r="P11" i="27" a="1"/>
  <c r="O8" i="11" a="1"/>
  <c r="O2" i="11" a="1"/>
  <c r="Q10" i="17" a="1"/>
  <c r="O5" i="41" a="1"/>
  <c r="Q2" i="16" a="1"/>
  <c r="O11" i="16" a="1"/>
  <c r="P9" i="38" a="1"/>
  <c r="O2" i="33" a="1"/>
  <c r="P5" i="18" a="1"/>
  <c r="O5" i="15" a="1"/>
  <c r="Q4" i="18" a="1"/>
  <c r="P10" i="20" a="1"/>
  <c r="O5" i="29" a="1"/>
  <c r="O4" i="21" a="1"/>
  <c r="P3" i="43" a="1"/>
  <c r="O5" i="30" a="1"/>
  <c r="O3" i="27" a="1"/>
  <c r="O4" i="30" a="1"/>
  <c r="Q9" i="16" a="1"/>
  <c r="O8" i="41" a="1"/>
  <c r="P9" i="22" a="1"/>
  <c r="O5" i="33" a="1"/>
  <c r="Q10" i="28" a="1"/>
  <c r="O10" i="15" a="1"/>
  <c r="O8" i="43" a="1"/>
  <c r="P3" i="30" a="1"/>
  <c r="P4" i="43" a="1"/>
  <c r="P3" i="27" a="1"/>
  <c r="O11" i="37" a="1"/>
  <c r="O2" i="29" a="1"/>
  <c r="Q9" i="20" a="1"/>
  <c r="P3" i="36" a="1"/>
  <c r="O9" i="24" a="1"/>
  <c r="P5" i="40" a="1"/>
  <c r="O3" i="34" a="1"/>
  <c r="P8" i="29" a="1"/>
  <c r="O3" i="31" a="1"/>
  <c r="O3" i="24" a="1"/>
  <c r="O10" i="29" a="1"/>
  <c r="P5" i="33" a="1"/>
  <c r="O11" i="18" a="1"/>
  <c r="P11" i="39" a="1"/>
  <c r="P8" i="40" a="1"/>
  <c r="P10" i="41" a="1"/>
  <c r="Q2" i="29" a="1"/>
  <c r="Q10" i="35" a="1"/>
  <c r="O8" i="39" a="1"/>
  <c r="O9" i="30" a="1"/>
  <c r="O4" i="23" a="1"/>
  <c r="P8" i="16" a="1"/>
  <c r="Q9" i="30" a="1"/>
  <c r="O4" i="40" a="1"/>
  <c r="Q2" i="21" a="1"/>
  <c r="O10" i="30" a="1"/>
  <c r="O8" i="34" a="1"/>
  <c r="P8" i="36" a="1"/>
  <c r="O11" i="28" a="1"/>
  <c r="Q7" i="11" a="1"/>
  <c r="O4" i="39" a="1"/>
  <c r="P3" i="39" a="1"/>
  <c r="Q3" i="34" a="1"/>
  <c r="Q7" i="29" a="1"/>
  <c r="P10" i="37" a="1"/>
  <c r="Q10" i="29" a="1"/>
  <c r="O3" i="20" a="1"/>
  <c r="Q9" i="43" a="1"/>
  <c r="Q9" i="39" a="1"/>
  <c r="P3" i="29" a="1"/>
  <c r="Q3" i="21" a="1"/>
  <c r="O4" i="35" a="1"/>
  <c r="P11" i="38" a="1"/>
  <c r="P10" i="11" a="1"/>
  <c r="O9" i="23" a="1"/>
  <c r="O4" i="19" a="1"/>
  <c r="O10" i="23" a="1"/>
  <c r="Q10" i="14" a="1"/>
  <c r="O10" i="39" a="1"/>
  <c r="O8" i="24" a="1"/>
  <c r="Q3" i="15" a="1"/>
  <c r="P11" i="24" a="1"/>
  <c r="Q2" i="33" a="1"/>
  <c r="Q9" i="23" a="1"/>
  <c r="O2" i="30" a="1"/>
  <c r="P3" i="20" a="1"/>
  <c r="O9" i="22" a="1"/>
  <c r="P5" i="24" a="1"/>
  <c r="O8" i="42" a="1"/>
  <c r="Q7" i="43" a="1"/>
  <c r="Q4" i="37" a="1"/>
  <c r="Q4" i="39" a="1"/>
  <c r="O3" i="15" a="1"/>
  <c r="Q3" i="18" a="1"/>
  <c r="Q7" i="20" a="1"/>
  <c r="O11" i="34" a="1"/>
  <c r="O10" i="35" a="1"/>
  <c r="O11" i="24" a="1"/>
  <c r="O8" i="37" a="1"/>
  <c r="Q7" i="35" a="1"/>
  <c r="O5" i="27" a="1"/>
  <c r="Q3" i="11" a="1"/>
  <c r="O2" i="18" a="1"/>
  <c r="Q4" i="15" a="1"/>
  <c r="O2" i="38" a="1"/>
  <c r="O3" i="23" a="1"/>
  <c r="Q2" i="26" a="1"/>
  <c r="P11" i="22" a="1"/>
  <c r="O11" i="23" a="1"/>
  <c r="Q3" i="22" a="1"/>
  <c r="Q2" i="38" a="1"/>
  <c r="Q10" i="34" a="1"/>
  <c r="O5" i="28" a="1"/>
  <c r="Q3" i="28" a="1"/>
  <c r="O3" i="22" a="1"/>
  <c r="Q4" i="24" a="1"/>
  <c r="O10" i="34" a="1"/>
  <c r="O5" i="39" a="1"/>
  <c r="O5" i="18" a="1"/>
  <c r="P8" i="34" a="1"/>
  <c r="P4" i="26" a="1"/>
  <c r="P9" i="23" a="1"/>
  <c r="O3" i="21" a="1"/>
  <c r="Q10" i="41" a="1"/>
  <c r="O2" i="22" a="1"/>
  <c r="Q2" i="15" a="1"/>
  <c r="O3" i="40" a="1"/>
  <c r="P8" i="35" a="1"/>
  <c r="Q4" i="34" a="1"/>
  <c r="P10" i="21" a="1"/>
  <c r="P11" i="42" a="1"/>
  <c r="O10" i="16" a="1"/>
  <c r="P11" i="40" a="1"/>
  <c r="Q7" i="39" a="1"/>
  <c r="Q2" i="30" a="1"/>
  <c r="P9" i="27" a="1"/>
  <c r="Q9" i="35" a="1"/>
  <c r="P8" i="22" a="1"/>
  <c r="Q4" i="43" a="1"/>
  <c r="P8" i="42" a="1"/>
  <c r="Q2" i="18" a="1"/>
  <c r="P8" i="38" a="1"/>
  <c r="Q9" i="42" a="1"/>
  <c r="O8" i="40" a="1"/>
  <c r="P5" i="22" a="1"/>
  <c r="P3" i="26" a="1"/>
  <c r="Q10" i="15" a="1"/>
  <c r="Q4" i="33" a="1"/>
  <c r="O8" i="16" a="1"/>
  <c r="Q9" i="11" a="1"/>
  <c r="Q9" i="24" a="1"/>
  <c r="Q4" i="31" a="1"/>
  <c r="P3" i="32" a="1"/>
  <c r="Q2" i="36" a="1"/>
  <c r="P4" i="36" a="1"/>
  <c r="O11" i="43" a="1"/>
  <c r="P9" i="21" a="1"/>
  <c r="O9" i="20" a="1"/>
  <c r="P8" i="30" a="1"/>
  <c r="P11" i="15" a="1"/>
  <c r="Q9" i="17" a="1"/>
  <c r="Q4" i="11" a="1"/>
  <c r="Q7" i="16" a="1"/>
  <c r="O5" i="21" a="1"/>
  <c r="O9" i="43" a="1"/>
  <c r="Q10" i="32" a="1"/>
  <c r="O2" i="28" a="1"/>
  <c r="Q2" i="31" a="1"/>
  <c r="Q7" i="14" a="1"/>
  <c r="O10" i="20" a="1"/>
  <c r="Q7" i="18" a="1"/>
  <c r="O5" i="16" a="1"/>
  <c r="O10" i="37" a="1"/>
  <c r="P5" i="21" a="1"/>
  <c r="P11" i="20" a="1"/>
  <c r="Q10" i="43" a="1"/>
  <c r="P11" i="14" a="1"/>
  <c r="O9" i="32" a="1"/>
  <c r="P8" i="23" a="1"/>
  <c r="O11" i="33" a="1"/>
  <c r="Q9" i="18" a="1"/>
  <c r="P9" i="17" a="1"/>
  <c r="Q3" i="20" a="1"/>
  <c r="O3" i="11" a="1"/>
  <c r="P3" i="11" a="1"/>
  <c r="P10" i="18" a="1"/>
  <c r="O4" i="17" a="1"/>
  <c r="P11" i="33" a="1"/>
  <c r="P10" i="40" a="1"/>
  <c r="P8" i="14" a="1"/>
  <c r="O10" i="41" a="1"/>
  <c r="O2" i="36" a="1"/>
  <c r="Q2" i="23" a="1"/>
  <c r="P4" i="32" a="1"/>
  <c r="P5" i="19" a="1"/>
  <c r="P5" i="27" a="1"/>
  <c r="Q10" i="36" a="1"/>
  <c r="O9" i="16" a="1"/>
  <c r="P9" i="26" a="1"/>
  <c r="Q3" i="38" a="1"/>
  <c r="Q3" i="43" a="1"/>
  <c r="P3" i="17" a="1"/>
  <c r="Q4" i="29" a="1"/>
  <c r="Q7" i="38" a="1"/>
  <c r="O3" i="19" a="1"/>
  <c r="Q7" i="27" a="1"/>
  <c r="O4" i="29" a="1"/>
  <c r="Q9" i="14" a="1"/>
  <c r="Q9" i="27" a="1"/>
  <c r="P10" i="39" a="1"/>
  <c r="Q2" i="43" a="1"/>
  <c r="P4" i="39" a="1"/>
  <c r="O5" i="42" a="1"/>
  <c r="O5" i="11" a="1"/>
  <c r="Q2" i="28" a="1"/>
  <c r="Q7" i="17" a="1"/>
  <c r="O2" i="41" a="1"/>
  <c r="O4" i="11" a="1"/>
  <c r="Q7" i="24" a="1"/>
  <c r="P5" i="37" a="1"/>
  <c r="Q10" i="40" a="1"/>
  <c r="P4" i="11" a="1"/>
  <c r="O2" i="34" a="1"/>
  <c r="P3" i="18" a="1"/>
  <c r="Q3" i="41" a="1"/>
  <c r="Q7" i="34" a="1"/>
  <c r="O5" i="26" a="1"/>
  <c r="P10" i="15" a="1"/>
  <c r="O10" i="14" a="1"/>
  <c r="O9" i="40" a="1"/>
  <c r="P4" i="15" a="1"/>
  <c r="P4" i="21" a="1"/>
  <c r="P8" i="26" a="1"/>
  <c r="Q3" i="31" a="1"/>
  <c r="O11" i="29" a="1"/>
  <c r="P9" i="37" a="1"/>
  <c r="Q7" i="40" a="1"/>
  <c r="O4" i="32" a="1"/>
  <c r="Q3" i="39" a="1"/>
  <c r="O4" i="24" a="1"/>
  <c r="P4" i="30" a="1"/>
  <c r="P9" i="24" a="1"/>
  <c r="P4" i="17" a="1"/>
  <c r="O4" i="27" a="1"/>
  <c r="P9" i="28" a="1"/>
  <c r="P4" i="22" a="1"/>
  <c r="F5" i="19" l="1"/>
  <c r="F5" i="18"/>
  <c r="F5" i="17"/>
  <c r="F5" i="38"/>
  <c r="F5" i="27"/>
  <c r="Q4" i="19"/>
  <c r="Q3" i="19"/>
  <c r="O5" i="42"/>
  <c r="O2" i="22"/>
  <c r="Q10" i="20"/>
  <c r="P8" i="36"/>
  <c r="P10" i="22"/>
  <c r="O10" i="33"/>
  <c r="O11" i="41"/>
  <c r="O5" i="20"/>
  <c r="P4" i="23"/>
  <c r="P4" i="26"/>
  <c r="Q4" i="42"/>
  <c r="Q10" i="28"/>
  <c r="P5" i="22"/>
  <c r="Q3" i="14"/>
  <c r="Q10" i="27"/>
  <c r="O2" i="18"/>
  <c r="O4" i="37"/>
  <c r="P3" i="32"/>
  <c r="P9" i="24"/>
  <c r="P3" i="26"/>
  <c r="O3" i="26"/>
  <c r="Q4" i="11"/>
  <c r="P9" i="28"/>
  <c r="O9" i="30"/>
  <c r="O2" i="14"/>
  <c r="O10" i="30"/>
  <c r="P3" i="14"/>
  <c r="P11" i="11"/>
  <c r="O2" i="26"/>
  <c r="Q2" i="28"/>
  <c r="O10" i="16"/>
  <c r="P9" i="36"/>
  <c r="O11" i="29"/>
  <c r="P10" i="31"/>
  <c r="O2" i="36"/>
  <c r="O4" i="36"/>
  <c r="P8" i="26"/>
  <c r="Q10" i="15"/>
  <c r="Q10" i="24"/>
  <c r="O11" i="39"/>
  <c r="O10" i="37"/>
  <c r="P11" i="37"/>
  <c r="Q7" i="38"/>
  <c r="P4" i="16"/>
  <c r="O8" i="17"/>
  <c r="Q10" i="39"/>
  <c r="P3" i="30"/>
  <c r="O4" i="20"/>
  <c r="O4" i="21"/>
  <c r="Q2" i="23"/>
  <c r="O5" i="15"/>
  <c r="P11" i="34"/>
  <c r="P5" i="40"/>
  <c r="O3" i="17"/>
  <c r="P5" i="26"/>
  <c r="P10" i="37"/>
  <c r="Q2" i="43"/>
  <c r="Q4" i="22"/>
  <c r="Q10" i="11"/>
  <c r="Q2" i="14"/>
  <c r="O11" i="24"/>
  <c r="Q7" i="16"/>
  <c r="Q7" i="43"/>
  <c r="Q10" i="26"/>
  <c r="P8" i="33"/>
  <c r="P8" i="34"/>
  <c r="P11" i="33"/>
  <c r="Q2" i="33"/>
  <c r="Q3" i="17"/>
  <c r="O4" i="27"/>
  <c r="P5" i="24"/>
  <c r="P10" i="39"/>
  <c r="Q4" i="27"/>
  <c r="O11" i="18"/>
  <c r="Q7" i="30"/>
  <c r="Q4" i="34"/>
  <c r="P5" i="41"/>
  <c r="O10" i="29"/>
  <c r="P8" i="16"/>
  <c r="P11" i="17"/>
  <c r="O2" i="31"/>
  <c r="P4" i="34"/>
  <c r="Q2" i="36"/>
  <c r="P8" i="23"/>
  <c r="O11" i="42"/>
  <c r="Q9" i="40"/>
  <c r="O9" i="29"/>
  <c r="Q2" i="21"/>
  <c r="P11" i="26"/>
  <c r="O2" i="28"/>
  <c r="O3" i="22"/>
  <c r="Q2" i="42"/>
  <c r="Q10" i="18"/>
  <c r="P10" i="19"/>
  <c r="P10" i="15"/>
  <c r="Q2" i="32"/>
  <c r="O9" i="43"/>
  <c r="P4" i="32"/>
  <c r="O4" i="24"/>
  <c r="O5" i="30"/>
  <c r="P5" i="19"/>
  <c r="P4" i="42"/>
  <c r="Q3" i="38"/>
  <c r="O3" i="41"/>
  <c r="P3" i="33"/>
  <c r="Q10" i="19"/>
  <c r="Q9" i="35"/>
  <c r="Q3" i="11"/>
  <c r="Q3" i="35"/>
  <c r="O10" i="15"/>
  <c r="O2" i="41"/>
  <c r="Q4" i="20"/>
  <c r="P3" i="17"/>
  <c r="O9" i="33"/>
  <c r="P11" i="27"/>
  <c r="O5" i="16"/>
  <c r="O9" i="26"/>
  <c r="P8" i="19"/>
  <c r="P10" i="41"/>
  <c r="P3" i="31"/>
  <c r="O3" i="23"/>
  <c r="O9" i="24"/>
  <c r="P9" i="41"/>
  <c r="P3" i="23"/>
  <c r="O11" i="16"/>
  <c r="O3" i="31"/>
  <c r="O11" i="38"/>
  <c r="P11" i="30"/>
  <c r="P8" i="43"/>
  <c r="P5" i="17"/>
  <c r="Q3" i="20"/>
  <c r="Q2" i="11"/>
  <c r="Q2" i="22"/>
  <c r="P10" i="30"/>
  <c r="Q3" i="40"/>
  <c r="O8" i="23"/>
  <c r="O11" i="26"/>
  <c r="Q4" i="38"/>
  <c r="O10" i="21"/>
  <c r="P9" i="11"/>
  <c r="P5" i="31"/>
  <c r="Q7" i="23"/>
  <c r="O5" i="24"/>
  <c r="Q7" i="22"/>
  <c r="O3" i="20"/>
  <c r="O5" i="11"/>
  <c r="Q9" i="28"/>
  <c r="Q9" i="31"/>
  <c r="O2" i="38"/>
  <c r="P5" i="29"/>
  <c r="P8" i="15"/>
  <c r="P9" i="43"/>
  <c r="P5" i="28"/>
  <c r="Q4" i="21"/>
  <c r="Q7" i="36"/>
  <c r="P3" i="29"/>
  <c r="O9" i="18"/>
  <c r="Q3" i="23"/>
  <c r="O9" i="31"/>
  <c r="P10" i="26"/>
  <c r="P10" i="32"/>
  <c r="O2" i="24"/>
  <c r="P10" i="34"/>
  <c r="O5" i="28"/>
  <c r="P4" i="35"/>
  <c r="P3" i="39"/>
  <c r="Q7" i="26"/>
  <c r="P10" i="42"/>
  <c r="P4" i="31"/>
  <c r="P9" i="34"/>
  <c r="P9" i="27"/>
  <c r="P9" i="39"/>
  <c r="O2" i="35"/>
  <c r="P3" i="20"/>
  <c r="Q4" i="15"/>
  <c r="O10" i="31"/>
  <c r="O11" i="37"/>
  <c r="O4" i="33"/>
  <c r="O2" i="32"/>
  <c r="Q9" i="41"/>
  <c r="P3" i="18"/>
  <c r="P9" i="18"/>
  <c r="P11" i="22"/>
  <c r="Q7" i="20"/>
  <c r="P4" i="24"/>
  <c r="P3" i="42"/>
  <c r="O10" i="43"/>
  <c r="Q2" i="39"/>
  <c r="P11" i="16"/>
  <c r="Q2" i="20"/>
  <c r="P9" i="14"/>
  <c r="O2" i="34"/>
  <c r="Q2" i="30"/>
  <c r="P4" i="20"/>
  <c r="O5" i="41"/>
  <c r="O3" i="28"/>
  <c r="P8" i="32"/>
  <c r="P11" i="21"/>
  <c r="P3" i="28"/>
  <c r="P9" i="17"/>
  <c r="P9" i="15"/>
  <c r="P5" i="15"/>
  <c r="O8" i="28"/>
  <c r="Q3" i="24"/>
  <c r="O8" i="19"/>
  <c r="P11" i="23"/>
  <c r="O4" i="29"/>
  <c r="P8" i="28"/>
  <c r="P10" i="23"/>
  <c r="O10" i="28"/>
  <c r="P4" i="14"/>
  <c r="O5" i="22"/>
  <c r="Q3" i="22"/>
  <c r="P10" i="35"/>
  <c r="Q9" i="39"/>
  <c r="O11" i="11"/>
  <c r="O8" i="42"/>
  <c r="Q4" i="32"/>
  <c r="P8" i="22"/>
  <c r="O4" i="19"/>
  <c r="O4" i="17"/>
  <c r="Q9" i="36"/>
  <c r="O8" i="32"/>
  <c r="O2" i="20"/>
  <c r="P10" i="24"/>
  <c r="Q9" i="19"/>
  <c r="Q3" i="21"/>
  <c r="Q7" i="32"/>
  <c r="Q7" i="21"/>
  <c r="P11" i="31"/>
  <c r="O3" i="16"/>
  <c r="O4" i="30"/>
  <c r="O10" i="42"/>
  <c r="O10" i="23"/>
  <c r="Q9" i="16"/>
  <c r="P4" i="22"/>
  <c r="P11" i="28"/>
  <c r="O3" i="42"/>
  <c r="Q3" i="33"/>
  <c r="Q2" i="15"/>
  <c r="O8" i="34"/>
  <c r="O5" i="43"/>
  <c r="P11" i="19"/>
  <c r="Q4" i="33"/>
  <c r="Q10" i="22"/>
  <c r="O8" i="30"/>
  <c r="P10" i="14"/>
  <c r="P8" i="29"/>
  <c r="O4" i="28"/>
  <c r="O5" i="35"/>
  <c r="P5" i="42"/>
  <c r="P3" i="43"/>
  <c r="P10" i="11"/>
  <c r="O2" i="23"/>
  <c r="P5" i="35"/>
  <c r="P11" i="29"/>
  <c r="P4" i="21"/>
  <c r="O3" i="40"/>
  <c r="P4" i="30"/>
  <c r="P11" i="41"/>
  <c r="P9" i="35"/>
  <c r="O10" i="40"/>
  <c r="Q3" i="29"/>
  <c r="Q4" i="35"/>
  <c r="Q7" i="37"/>
  <c r="P9" i="29"/>
  <c r="P5" i="32"/>
  <c r="O11" i="28"/>
  <c r="P3" i="19"/>
  <c r="O2" i="11"/>
  <c r="Q9" i="37"/>
  <c r="Q7" i="14"/>
  <c r="O9" i="23"/>
  <c r="O10" i="32"/>
  <c r="P5" i="36"/>
  <c r="P4" i="39"/>
  <c r="P3" i="41"/>
  <c r="O9" i="16"/>
  <c r="Q3" i="32"/>
  <c r="P4" i="19"/>
  <c r="Q10" i="17"/>
  <c r="Q9" i="38"/>
  <c r="O4" i="38"/>
  <c r="Q10" i="35"/>
  <c r="P4" i="17"/>
  <c r="P3" i="24"/>
  <c r="Q7" i="42"/>
  <c r="O5" i="19"/>
  <c r="O5" i="38"/>
  <c r="O4" i="39"/>
  <c r="Q9" i="27"/>
  <c r="Q9" i="43"/>
  <c r="O4" i="22"/>
  <c r="O2" i="17"/>
  <c r="Q4" i="28"/>
  <c r="P3" i="38"/>
  <c r="Q2" i="40"/>
  <c r="Q7" i="34"/>
  <c r="P4" i="33"/>
  <c r="P11" i="20"/>
  <c r="Q9" i="34"/>
  <c r="Q10" i="41"/>
  <c r="O10" i="41"/>
  <c r="Q3" i="16"/>
  <c r="Q2" i="27"/>
  <c r="Q10" i="36"/>
  <c r="O8" i="22"/>
  <c r="O2" i="39"/>
  <c r="O5" i="32"/>
  <c r="Q10" i="40"/>
  <c r="O8" i="35"/>
  <c r="O9" i="19"/>
  <c r="P9" i="38"/>
  <c r="O8" i="26"/>
  <c r="P8" i="42"/>
  <c r="P8" i="41"/>
  <c r="Q9" i="15"/>
  <c r="P5" i="21"/>
  <c r="O9" i="21"/>
  <c r="O3" i="35"/>
  <c r="Q7" i="19"/>
  <c r="P8" i="18"/>
  <c r="Q9" i="22"/>
  <c r="Q2" i="26"/>
  <c r="O9" i="14"/>
  <c r="Q4" i="29"/>
  <c r="Q7" i="24"/>
  <c r="P8" i="35"/>
  <c r="O5" i="37"/>
  <c r="O11" i="14"/>
  <c r="O8" i="27"/>
  <c r="Q9" i="18"/>
  <c r="Q4" i="14"/>
  <c r="O4" i="23"/>
  <c r="P3" i="11"/>
  <c r="Q10" i="43"/>
  <c r="Q3" i="15"/>
  <c r="P11" i="43"/>
  <c r="P8" i="39"/>
  <c r="O8" i="41"/>
  <c r="O9" i="35"/>
  <c r="O8" i="39"/>
  <c r="Q10" i="21"/>
  <c r="P8" i="38"/>
  <c r="P11" i="35"/>
  <c r="Q10" i="38"/>
  <c r="Q3" i="28"/>
  <c r="P5" i="11"/>
  <c r="O8" i="21"/>
  <c r="P11" i="42"/>
  <c r="Q9" i="42"/>
  <c r="P4" i="27"/>
  <c r="Q3" i="31"/>
  <c r="P4" i="37"/>
  <c r="O11" i="19"/>
  <c r="P10" i="27"/>
  <c r="O2" i="15"/>
  <c r="Q10" i="30"/>
  <c r="O2" i="27"/>
  <c r="P8" i="40"/>
  <c r="P10" i="16"/>
  <c r="O11" i="33"/>
  <c r="O9" i="36"/>
  <c r="Q7" i="40"/>
  <c r="P11" i="15"/>
  <c r="O10" i="39"/>
  <c r="O3" i="36"/>
  <c r="P5" i="37"/>
  <c r="O10" i="35"/>
  <c r="Q7" i="39"/>
  <c r="O9" i="27"/>
  <c r="O3" i="14"/>
  <c r="O2" i="30"/>
  <c r="P10" i="28"/>
  <c r="P3" i="35"/>
  <c r="Q4" i="43"/>
  <c r="P5" i="27"/>
  <c r="O8" i="40"/>
  <c r="Q4" i="40"/>
  <c r="O10" i="38"/>
  <c r="Q7" i="29"/>
  <c r="P3" i="27"/>
  <c r="O5" i="21"/>
  <c r="O11" i="17"/>
  <c r="O5" i="31"/>
  <c r="O3" i="34"/>
  <c r="P5" i="20"/>
  <c r="P11" i="18"/>
  <c r="O8" i="18"/>
  <c r="O3" i="18"/>
  <c r="P10" i="38"/>
  <c r="Q4" i="17"/>
  <c r="O8" i="14"/>
  <c r="O5" i="17"/>
  <c r="O8" i="24"/>
  <c r="Q9" i="17"/>
  <c r="Q10" i="29"/>
  <c r="O11" i="23"/>
  <c r="O3" i="32"/>
  <c r="O11" i="36"/>
  <c r="P5" i="23"/>
  <c r="P4" i="28"/>
  <c r="Q10" i="33"/>
  <c r="O10" i="22"/>
  <c r="O4" i="34"/>
  <c r="O10" i="34"/>
  <c r="P9" i="42"/>
  <c r="P9" i="19"/>
  <c r="Q9" i="21"/>
  <c r="O10" i="27"/>
  <c r="O10" i="36"/>
  <c r="O10" i="19"/>
  <c r="Q9" i="23"/>
  <c r="P10" i="18"/>
  <c r="P9" i="16"/>
  <c r="O3" i="11"/>
  <c r="Q4" i="18"/>
  <c r="P9" i="32"/>
  <c r="Q3" i="18"/>
  <c r="Q10" i="16"/>
  <c r="Q3" i="30"/>
  <c r="O9" i="39"/>
  <c r="O4" i="40"/>
  <c r="O4" i="42"/>
  <c r="Q7" i="35"/>
  <c r="O4" i="18"/>
  <c r="Q4" i="37"/>
  <c r="P10" i="20"/>
  <c r="P5" i="33"/>
  <c r="O3" i="38"/>
  <c r="Q10" i="37"/>
  <c r="Q3" i="27"/>
  <c r="P11" i="39"/>
  <c r="O2" i="19"/>
  <c r="O9" i="28"/>
  <c r="O9" i="37"/>
  <c r="O4" i="35"/>
  <c r="P11" i="40"/>
  <c r="Q3" i="43"/>
  <c r="P9" i="21"/>
  <c r="O11" i="43"/>
  <c r="Q3" i="41"/>
  <c r="P10" i="33"/>
  <c r="O4" i="41"/>
  <c r="P4" i="15"/>
  <c r="Q9" i="26"/>
  <c r="O3" i="39"/>
  <c r="Q7" i="27"/>
  <c r="P8" i="30"/>
  <c r="P4" i="11"/>
  <c r="Q2" i="41"/>
  <c r="Q4" i="30"/>
  <c r="Q10" i="32"/>
  <c r="O5" i="36"/>
  <c r="O3" i="15"/>
  <c r="Q4" i="23"/>
  <c r="O2" i="40"/>
  <c r="O9" i="41"/>
  <c r="P5" i="34"/>
  <c r="O2" i="37"/>
  <c r="O11" i="15"/>
  <c r="Q2" i="19"/>
  <c r="Q10" i="34"/>
  <c r="P8" i="24"/>
  <c r="O11" i="34"/>
  <c r="P10" i="40"/>
  <c r="Q10" i="42"/>
  <c r="O4" i="11"/>
  <c r="Q9" i="11"/>
  <c r="Q9" i="24"/>
  <c r="Q9" i="32"/>
  <c r="O11" i="35"/>
  <c r="O9" i="38"/>
  <c r="Q3" i="39"/>
  <c r="O8" i="43"/>
  <c r="P8" i="27"/>
  <c r="Q3" i="36"/>
  <c r="P3" i="37"/>
  <c r="P5" i="16"/>
  <c r="Q7" i="15"/>
  <c r="Q2" i="37"/>
  <c r="Q9" i="14"/>
  <c r="O2" i="29"/>
  <c r="Q4" i="16"/>
  <c r="P9" i="33"/>
  <c r="O9" i="15"/>
  <c r="O10" i="18"/>
  <c r="O8" i="38"/>
  <c r="Q7" i="33"/>
  <c r="Q7" i="31"/>
  <c r="Q9" i="33"/>
  <c r="P9" i="37"/>
  <c r="P10" i="21"/>
  <c r="O3" i="30"/>
  <c r="P3" i="22"/>
  <c r="P4" i="38"/>
  <c r="P10" i="43"/>
  <c r="P4" i="36"/>
  <c r="P8" i="31"/>
  <c r="P10" i="29"/>
  <c r="P11" i="14"/>
  <c r="O9" i="17"/>
  <c r="P5" i="18"/>
  <c r="O8" i="36"/>
  <c r="O11" i="31"/>
  <c r="O4" i="32"/>
  <c r="Q7" i="41"/>
  <c r="O9" i="20"/>
  <c r="P4" i="43"/>
  <c r="P8" i="21"/>
  <c r="Q7" i="11"/>
  <c r="Q2" i="38"/>
  <c r="O9" i="32"/>
  <c r="Q2" i="29"/>
  <c r="P3" i="34"/>
  <c r="Q2" i="16"/>
  <c r="P5" i="38"/>
  <c r="O10" i="11"/>
  <c r="Q4" i="39"/>
  <c r="P9" i="20"/>
  <c r="O3" i="21"/>
  <c r="O2" i="33"/>
  <c r="Q9" i="20"/>
  <c r="P3" i="16"/>
  <c r="Q7" i="28"/>
  <c r="O4" i="14"/>
  <c r="Q3" i="37"/>
  <c r="O11" i="40"/>
  <c r="P3" i="21"/>
  <c r="Q3" i="26"/>
  <c r="Q4" i="26"/>
  <c r="O5" i="29"/>
  <c r="O5" i="14"/>
  <c r="Q3" i="34"/>
  <c r="P3" i="36"/>
  <c r="O3" i="19"/>
  <c r="P5" i="39"/>
  <c r="O5" i="34"/>
  <c r="P5" i="43"/>
  <c r="O2" i="16"/>
  <c r="O9" i="34"/>
  <c r="O8" i="37"/>
  <c r="Q2" i="24"/>
  <c r="Q4" i="41"/>
  <c r="Q7" i="18"/>
  <c r="O4" i="15"/>
  <c r="O5" i="26"/>
  <c r="Q2" i="17"/>
  <c r="O3" i="33"/>
  <c r="P11" i="24"/>
  <c r="P4" i="29"/>
  <c r="O8" i="16"/>
  <c r="O9" i="42"/>
  <c r="Q2" i="35"/>
  <c r="P9" i="26"/>
  <c r="O9" i="40"/>
  <c r="P5" i="30"/>
  <c r="P8" i="11"/>
  <c r="O8" i="15"/>
  <c r="P4" i="41"/>
  <c r="O10" i="26"/>
  <c r="O8" i="31"/>
  <c r="Q9" i="29"/>
  <c r="P11" i="36"/>
  <c r="O8" i="33"/>
  <c r="P10" i="36"/>
  <c r="O4" i="26"/>
  <c r="O3" i="43"/>
  <c r="P8" i="14"/>
  <c r="O8" i="29"/>
  <c r="O10" i="24"/>
  <c r="O2" i="42"/>
  <c r="P11" i="32"/>
  <c r="Q2" i="34"/>
  <c r="O10" i="20"/>
  <c r="P8" i="37"/>
  <c r="O4" i="16"/>
  <c r="P3" i="15"/>
  <c r="O11" i="27"/>
  <c r="Q4" i="31"/>
  <c r="Q3" i="42"/>
  <c r="P8" i="17"/>
  <c r="O5" i="23"/>
  <c r="O5" i="27"/>
  <c r="O5" i="18"/>
  <c r="O3" i="24"/>
  <c r="O8" i="20"/>
  <c r="P4" i="18"/>
  <c r="P4" i="40"/>
  <c r="O3" i="29"/>
  <c r="P3" i="40"/>
  <c r="O10" i="14"/>
  <c r="O11" i="20"/>
  <c r="O9" i="11"/>
  <c r="P9" i="31"/>
  <c r="P8" i="20"/>
  <c r="O3" i="37"/>
  <c r="P9" i="22"/>
  <c r="O3" i="27"/>
  <c r="Q10" i="23"/>
  <c r="P9" i="30"/>
  <c r="O5" i="33"/>
  <c r="O4" i="31"/>
  <c r="Q2" i="31"/>
  <c r="Q4" i="36"/>
  <c r="P5" i="14"/>
  <c r="Q4" i="24"/>
  <c r="O9" i="22"/>
  <c r="O5" i="39"/>
  <c r="P11" i="38"/>
  <c r="O8" i="11"/>
  <c r="Q10" i="31"/>
  <c r="F5" i="20"/>
  <c r="O11" i="32"/>
  <c r="Q2" i="18"/>
  <c r="O11" i="22"/>
  <c r="P10" i="17"/>
  <c r="O11" i="21"/>
  <c r="P9" i="23"/>
  <c r="P9" i="40"/>
  <c r="O10" i="17"/>
  <c r="Q7" i="17"/>
  <c r="O2" i="21"/>
  <c r="Q10" i="14"/>
  <c r="O11" i="30"/>
  <c r="Q9" i="30"/>
  <c r="O4" i="43"/>
  <c r="G4" i="35" l="1"/>
  <c r="G4" i="15"/>
  <c r="F5" i="37"/>
  <c r="C2" i="36"/>
  <c r="C2" i="38"/>
  <c r="C2" i="43"/>
  <c r="C2" i="40"/>
  <c r="C2" i="37"/>
  <c r="D2" i="39"/>
  <c r="C2" i="42"/>
  <c r="C2" i="41"/>
  <c r="Q8" i="34"/>
  <c r="N4" i="39"/>
  <c r="K10" i="43"/>
  <c r="Q8" i="43"/>
  <c r="F5" i="43"/>
  <c r="F5" i="26"/>
  <c r="Q8" i="26"/>
  <c r="K10" i="42"/>
  <c r="Q8" i="17"/>
  <c r="F5" i="31"/>
  <c r="Q8" i="31"/>
  <c r="Q8" i="39"/>
  <c r="Q8" i="41"/>
  <c r="F5" i="41"/>
  <c r="G4" i="20"/>
  <c r="D2" i="20"/>
  <c r="F5" i="14"/>
  <c r="Q8" i="14"/>
  <c r="G4" i="41"/>
  <c r="D2" i="41"/>
  <c r="H7" i="35"/>
  <c r="K10" i="38"/>
  <c r="F5" i="42"/>
  <c r="Q8" i="42"/>
  <c r="Q8" i="11"/>
  <c r="F5" i="11"/>
  <c r="F5" i="24"/>
  <c r="Q8" i="24"/>
  <c r="F5" i="32"/>
  <c r="Q8" i="32"/>
  <c r="Q8" i="37"/>
  <c r="F5" i="40"/>
  <c r="Q8" i="40"/>
  <c r="C2" i="35"/>
  <c r="F3" i="39"/>
  <c r="C2" i="39"/>
  <c r="K10" i="36"/>
  <c r="F5" i="15"/>
  <c r="Q8" i="15"/>
  <c r="I18" i="15" s="1"/>
  <c r="J18" i="15" s="1"/>
  <c r="Q8" i="29"/>
  <c r="F5" i="29"/>
  <c r="K10" i="39"/>
  <c r="F5" i="36"/>
  <c r="Q8" i="36"/>
  <c r="D2" i="36"/>
  <c r="G4" i="36"/>
  <c r="Q8" i="27"/>
  <c r="Q8" i="23"/>
  <c r="F5" i="23"/>
  <c r="D2" i="40"/>
  <c r="G4" i="40"/>
  <c r="K10" i="35"/>
  <c r="F5" i="30"/>
  <c r="Q8" i="30"/>
  <c r="Q8" i="21"/>
  <c r="F5" i="21"/>
  <c r="K9" i="35"/>
  <c r="D2" i="42"/>
  <c r="G4" i="42"/>
  <c r="K10" i="20"/>
  <c r="Q8" i="20"/>
  <c r="H6" i="20"/>
  <c r="B16" i="35"/>
  <c r="Q8" i="35"/>
  <c r="I18" i="35" s="1"/>
  <c r="J18" i="35" s="1"/>
  <c r="F5" i="35"/>
  <c r="H6" i="35"/>
  <c r="Q8" i="18"/>
  <c r="F5" i="16"/>
  <c r="Q8" i="16"/>
  <c r="K10" i="41"/>
  <c r="C2" i="20"/>
  <c r="Q8" i="38"/>
  <c r="F5" i="33"/>
  <c r="Q8" i="33"/>
  <c r="D2" i="43"/>
  <c r="G4" i="43"/>
  <c r="F5" i="22"/>
  <c r="Q8" i="22"/>
  <c r="Q8" i="28"/>
  <c r="F5" i="28"/>
  <c r="K10" i="40"/>
  <c r="D2" i="35"/>
  <c r="G4" i="38"/>
  <c r="D2" i="38"/>
  <c r="J8" i="35" l="1"/>
  <c r="F5" i="39"/>
  <c r="L7" i="35"/>
  <c r="N7" i="35" s="1"/>
  <c r="R7" i="35" s="1"/>
  <c r="L6" i="20"/>
  <c r="N6" i="20" s="1"/>
  <c r="R6" i="20" s="1"/>
  <c r="G3" i="39"/>
  <c r="I18" i="40"/>
  <c r="L4" i="38"/>
  <c r="R4" i="39"/>
  <c r="C17" i="38"/>
  <c r="C12" i="38" s="1"/>
  <c r="L10" i="41"/>
  <c r="L10" i="35"/>
  <c r="C17" i="41"/>
  <c r="C12" i="41" s="1"/>
  <c r="L10" i="20"/>
  <c r="L10" i="40"/>
  <c r="L4" i="43"/>
  <c r="L4" i="42"/>
  <c r="C17" i="37"/>
  <c r="C12" i="37" s="1"/>
  <c r="L10" i="42"/>
  <c r="D17" i="39"/>
  <c r="D12" i="39" s="1"/>
  <c r="L10" i="38"/>
  <c r="F3" i="35"/>
  <c r="L10" i="36"/>
  <c r="C17" i="40"/>
  <c r="C12" i="40" s="1"/>
  <c r="L4" i="36"/>
  <c r="L4" i="41"/>
  <c r="L10" i="43"/>
  <c r="C17" i="43"/>
  <c r="C12" i="43" s="1"/>
  <c r="C17" i="20"/>
  <c r="C12" i="20" s="1"/>
  <c r="C17" i="35"/>
  <c r="C12" i="35" s="1"/>
  <c r="C17" i="36"/>
  <c r="C12" i="36" s="1"/>
  <c r="F3" i="20"/>
  <c r="L4" i="40"/>
  <c r="L10" i="39"/>
  <c r="C17" i="42"/>
  <c r="C12" i="42" s="1"/>
  <c r="D17" i="40"/>
  <c r="D12" i="40" s="1"/>
  <c r="L2" i="40"/>
  <c r="P2" i="40" s="1"/>
  <c r="D17" i="42"/>
  <c r="D12" i="42" s="1"/>
  <c r="L2" i="42"/>
  <c r="P2" i="42" s="1"/>
  <c r="L2" i="20"/>
  <c r="P2" i="20" s="1"/>
  <c r="D17" i="20"/>
  <c r="D12" i="20" s="1"/>
  <c r="L16" i="35"/>
  <c r="B17" i="35"/>
  <c r="L9" i="35"/>
  <c r="Q11" i="35"/>
  <c r="K17" i="35"/>
  <c r="L2" i="35"/>
  <c r="D17" i="35"/>
  <c r="D12" i="35" s="1"/>
  <c r="L2" i="38"/>
  <c r="P2" i="38" s="1"/>
  <c r="D17" i="38"/>
  <c r="D12" i="38" s="1"/>
  <c r="L2" i="43"/>
  <c r="D17" i="43"/>
  <c r="D12" i="43" s="1"/>
  <c r="C17" i="39"/>
  <c r="C12" i="39" s="1"/>
  <c r="L2" i="39"/>
  <c r="P2" i="39" s="1"/>
  <c r="L2" i="36"/>
  <c r="P2" i="36" s="1"/>
  <c r="D17" i="36"/>
  <c r="D12" i="36" s="1"/>
  <c r="L6" i="35"/>
  <c r="H17" i="35"/>
  <c r="H12" i="35" s="1"/>
  <c r="H18" i="35" s="1"/>
  <c r="L2" i="41"/>
  <c r="P2" i="41" s="1"/>
  <c r="D17" i="41"/>
  <c r="D12" i="41" s="1"/>
  <c r="G3" i="35" l="1"/>
  <c r="G3" i="20"/>
  <c r="N10" i="42"/>
  <c r="R10" i="42" s="1"/>
  <c r="N10" i="41"/>
  <c r="R10" i="41" s="1"/>
  <c r="N10" i="20"/>
  <c r="R10" i="20" s="1"/>
  <c r="N10" i="38"/>
  <c r="R10" i="38" s="1"/>
  <c r="N10" i="39"/>
  <c r="R10" i="39" s="1"/>
  <c r="N10" i="35"/>
  <c r="R10" i="35" s="1"/>
  <c r="N10" i="43"/>
  <c r="R10" i="43" s="1"/>
  <c r="N10" i="36"/>
  <c r="R10" i="36" s="1"/>
  <c r="N10" i="40"/>
  <c r="R10" i="40" s="1"/>
  <c r="N4" i="43"/>
  <c r="N4" i="40"/>
  <c r="N4" i="41"/>
  <c r="N4" i="36"/>
  <c r="N4" i="42"/>
  <c r="N4" i="38"/>
  <c r="F17" i="35"/>
  <c r="F12" i="35" s="1"/>
  <c r="I8" i="35"/>
  <c r="J17" i="35"/>
  <c r="J13" i="35" s="1"/>
  <c r="D18" i="20"/>
  <c r="D18" i="41"/>
  <c r="C18" i="39"/>
  <c r="C18" i="36"/>
  <c r="F17" i="20"/>
  <c r="F12" i="20" s="1"/>
  <c r="C18" i="35"/>
  <c r="D18" i="39"/>
  <c r="C18" i="41"/>
  <c r="C18" i="20"/>
  <c r="M11" i="35"/>
  <c r="C18" i="43"/>
  <c r="G5" i="39"/>
  <c r="D18" i="43"/>
  <c r="D18" i="38"/>
  <c r="D18" i="42"/>
  <c r="C18" i="37"/>
  <c r="C18" i="38"/>
  <c r="D18" i="36"/>
  <c r="C18" i="42"/>
  <c r="D18" i="35"/>
  <c r="D18" i="40"/>
  <c r="C18" i="40"/>
  <c r="K13" i="35"/>
  <c r="N6" i="35"/>
  <c r="R6" i="35" s="1"/>
  <c r="B12" i="35"/>
  <c r="R16" i="35"/>
  <c r="Q16" i="35"/>
  <c r="N9" i="35"/>
  <c r="P2" i="35"/>
  <c r="C2" i="34"/>
  <c r="G5" i="35" l="1"/>
  <c r="F18" i="35"/>
  <c r="R4" i="40"/>
  <c r="R4" i="43"/>
  <c r="R4" i="36"/>
  <c r="R4" i="41"/>
  <c r="R4" i="38"/>
  <c r="R4" i="42"/>
  <c r="L8" i="35"/>
  <c r="I17" i="35"/>
  <c r="I13" i="35" s="1"/>
  <c r="K18" i="35"/>
  <c r="C17" i="34"/>
  <c r="R9" i="35"/>
  <c r="G5" i="20"/>
  <c r="L3" i="35"/>
  <c r="N2" i="35"/>
  <c r="R11" i="35"/>
  <c r="F18" i="20"/>
  <c r="B18" i="35"/>
  <c r="D2" i="34"/>
  <c r="G4" i="34"/>
  <c r="N8" i="35" l="1"/>
  <c r="R8" i="35" s="1"/>
  <c r="N3" i="35"/>
  <c r="L13" i="35"/>
  <c r="E14" i="35"/>
  <c r="R2" i="35"/>
  <c r="L4" i="34"/>
  <c r="L2" i="34"/>
  <c r="P2" i="34" s="1"/>
  <c r="D17" i="34"/>
  <c r="R3" i="35" l="1"/>
  <c r="N4" i="34"/>
  <c r="L14" i="35"/>
  <c r="K10" i="34"/>
  <c r="R14" i="35" l="1"/>
  <c r="R4" i="34"/>
  <c r="L5" i="35"/>
  <c r="N5" i="35" s="1"/>
  <c r="Q14" i="35"/>
  <c r="L10" i="34"/>
  <c r="C12" i="34"/>
  <c r="D12" i="34"/>
  <c r="N10" i="34" l="1"/>
  <c r="R10" i="34" s="1"/>
  <c r="Q5" i="35"/>
  <c r="G17" i="35"/>
  <c r="L4" i="35"/>
  <c r="R5" i="35"/>
  <c r="C18" i="34"/>
  <c r="D18" i="34"/>
  <c r="E17" i="35" l="1"/>
  <c r="E12" i="35" s="1"/>
  <c r="G12" i="35"/>
  <c r="N4" i="35"/>
  <c r="D2" i="33"/>
  <c r="G4" i="33"/>
  <c r="K10" i="33"/>
  <c r="C2" i="33"/>
  <c r="D2" i="32"/>
  <c r="G4" i="32"/>
  <c r="C2" i="32"/>
  <c r="K10" i="32"/>
  <c r="G4" i="31"/>
  <c r="D2" i="31"/>
  <c r="K10" i="31"/>
  <c r="C2" i="31"/>
  <c r="K10" i="30"/>
  <c r="G4" i="30"/>
  <c r="D2" i="30"/>
  <c r="C2" i="30"/>
  <c r="K10" i="29"/>
  <c r="D2" i="29"/>
  <c r="C2" i="29"/>
  <c r="K10" i="28"/>
  <c r="D2" i="28"/>
  <c r="G4" i="28"/>
  <c r="C2" i="28"/>
  <c r="K10" i="27"/>
  <c r="D2" i="27"/>
  <c r="G4" i="27"/>
  <c r="C2" i="27"/>
  <c r="G4" i="26"/>
  <c r="D2" i="26"/>
  <c r="K10" i="26"/>
  <c r="C2" i="26"/>
  <c r="K10" i="24"/>
  <c r="C2" i="24"/>
  <c r="G4" i="24"/>
  <c r="D2" i="24"/>
  <c r="C2" i="23"/>
  <c r="K10" i="23"/>
  <c r="G4" i="23"/>
  <c r="D2" i="23"/>
  <c r="G4" i="22"/>
  <c r="D2" i="22"/>
  <c r="C2" i="22"/>
  <c r="G4" i="21"/>
  <c r="D2" i="21"/>
  <c r="C2" i="21"/>
  <c r="C2" i="19"/>
  <c r="G4" i="19"/>
  <c r="D2" i="19"/>
  <c r="D2" i="18"/>
  <c r="G4" i="18"/>
  <c r="C2" i="18"/>
  <c r="C2" i="17"/>
  <c r="G4" i="17"/>
  <c r="D2" i="17"/>
  <c r="G18" i="35" l="1"/>
  <c r="E18" i="35"/>
  <c r="E15" i="35"/>
  <c r="L17" i="35"/>
  <c r="Q17" i="35" s="1"/>
  <c r="L12" i="35"/>
  <c r="Q12" i="35" s="1"/>
  <c r="R4" i="35"/>
  <c r="L4" i="22"/>
  <c r="L4" i="19"/>
  <c r="L10" i="23"/>
  <c r="C17" i="27"/>
  <c r="C12" i="27" s="1"/>
  <c r="L10" i="29"/>
  <c r="C17" i="32"/>
  <c r="C12" i="32" s="1"/>
  <c r="L10" i="26"/>
  <c r="L10" i="28"/>
  <c r="C17" i="19"/>
  <c r="C12" i="19" s="1"/>
  <c r="C17" i="23"/>
  <c r="C12" i="23" s="1"/>
  <c r="L4" i="27"/>
  <c r="C17" i="30"/>
  <c r="C12" i="30" s="1"/>
  <c r="L4" i="32"/>
  <c r="C17" i="21"/>
  <c r="C12" i="21" s="1"/>
  <c r="L4" i="24"/>
  <c r="L10" i="27"/>
  <c r="L4" i="30"/>
  <c r="L4" i="17"/>
  <c r="L10" i="30"/>
  <c r="C17" i="33"/>
  <c r="C12" i="33" s="1"/>
  <c r="L4" i="21"/>
  <c r="C17" i="24"/>
  <c r="C12" i="24" s="1"/>
  <c r="C17" i="28"/>
  <c r="C12" i="28" s="1"/>
  <c r="L10" i="33"/>
  <c r="C17" i="22"/>
  <c r="C12" i="22" s="1"/>
  <c r="L4" i="28"/>
  <c r="C17" i="17"/>
  <c r="C12" i="17" s="1"/>
  <c r="L10" i="24"/>
  <c r="C17" i="31"/>
  <c r="C12" i="31" s="1"/>
  <c r="L4" i="33"/>
  <c r="C17" i="18"/>
  <c r="C12" i="18" s="1"/>
  <c r="C17" i="26"/>
  <c r="C12" i="26" s="1"/>
  <c r="L10" i="31"/>
  <c r="L4" i="31"/>
  <c r="L4" i="18"/>
  <c r="C17" i="29"/>
  <c r="C12" i="29" s="1"/>
  <c r="L4" i="23"/>
  <c r="L4" i="26"/>
  <c r="L10" i="32"/>
  <c r="D17" i="22"/>
  <c r="D12" i="22" s="1"/>
  <c r="D17" i="28"/>
  <c r="D12" i="28" s="1"/>
  <c r="D17" i="30"/>
  <c r="D17" i="27"/>
  <c r="D17" i="31"/>
  <c r="D17" i="19"/>
  <c r="D12" i="19" s="1"/>
  <c r="D17" i="18"/>
  <c r="D12" i="18" s="1"/>
  <c r="D17" i="17"/>
  <c r="D12" i="17" s="1"/>
  <c r="D17" i="23"/>
  <c r="D12" i="23" s="1"/>
  <c r="D17" i="21"/>
  <c r="D12" i="21" s="1"/>
  <c r="D17" i="24"/>
  <c r="D17" i="26"/>
  <c r="D12" i="26" s="1"/>
  <c r="D17" i="29"/>
  <c r="D12" i="29" s="1"/>
  <c r="D17" i="33"/>
  <c r="D17" i="32"/>
  <c r="L2" i="33"/>
  <c r="P2" i="33" s="1"/>
  <c r="L2" i="32"/>
  <c r="P2" i="32" s="1"/>
  <c r="L2" i="31"/>
  <c r="P2" i="31" s="1"/>
  <c r="L2" i="30"/>
  <c r="P2" i="30" s="1"/>
  <c r="L2" i="29"/>
  <c r="P2" i="29" s="1"/>
  <c r="L2" i="28"/>
  <c r="P2" i="28" s="1"/>
  <c r="L2" i="27"/>
  <c r="P2" i="27" s="1"/>
  <c r="L2" i="26"/>
  <c r="P2" i="26" s="1"/>
  <c r="L2" i="24"/>
  <c r="P2" i="24" s="1"/>
  <c r="L2" i="23"/>
  <c r="P2" i="23" s="1"/>
  <c r="L2" i="22"/>
  <c r="P2" i="22" s="1"/>
  <c r="L2" i="21"/>
  <c r="P2" i="21" s="1"/>
  <c r="L2" i="19"/>
  <c r="L2" i="18"/>
  <c r="P2" i="18" s="1"/>
  <c r="L2" i="17"/>
  <c r="P2" i="17" s="1"/>
  <c r="L15" i="35" l="1"/>
  <c r="R15" i="35" s="1"/>
  <c r="M13" i="35"/>
  <c r="R17" i="35"/>
  <c r="N10" i="31"/>
  <c r="R10" i="31" s="1"/>
  <c r="N10" i="28"/>
  <c r="R10" i="28" s="1"/>
  <c r="N10" i="32"/>
  <c r="R10" i="32" s="1"/>
  <c r="N10" i="30"/>
  <c r="R10" i="30" s="1"/>
  <c r="N10" i="26"/>
  <c r="R10" i="26" s="1"/>
  <c r="N10" i="24"/>
  <c r="R10" i="24" s="1"/>
  <c r="N10" i="27"/>
  <c r="R10" i="27" s="1"/>
  <c r="N10" i="29"/>
  <c r="R10" i="29" s="1"/>
  <c r="N10" i="23"/>
  <c r="R10" i="23" s="1"/>
  <c r="N10" i="33"/>
  <c r="R10" i="33" s="1"/>
  <c r="R12" i="35"/>
  <c r="N4" i="17"/>
  <c r="N4" i="30"/>
  <c r="N4" i="28"/>
  <c r="N4" i="18"/>
  <c r="N4" i="24"/>
  <c r="N4" i="31"/>
  <c r="N4" i="26"/>
  <c r="N4" i="23"/>
  <c r="N4" i="32"/>
  <c r="N4" i="19"/>
  <c r="N4" i="21"/>
  <c r="N4" i="27"/>
  <c r="N4" i="22"/>
  <c r="N4" i="33"/>
  <c r="C18" i="24"/>
  <c r="C18" i="26"/>
  <c r="C18" i="31"/>
  <c r="C18" i="28"/>
  <c r="C18" i="22"/>
  <c r="C18" i="32"/>
  <c r="C18" i="17"/>
  <c r="C18" i="19"/>
  <c r="C18" i="29"/>
  <c r="C18" i="21"/>
  <c r="C18" i="18"/>
  <c r="C18" i="33"/>
  <c r="C18" i="23"/>
  <c r="C18" i="27"/>
  <c r="C18" i="30"/>
  <c r="D18" i="21"/>
  <c r="D18" i="23"/>
  <c r="D18" i="17"/>
  <c r="D18" i="18"/>
  <c r="D18" i="19"/>
  <c r="D18" i="29"/>
  <c r="D18" i="26"/>
  <c r="D18" i="28"/>
  <c r="D18" i="22"/>
  <c r="D12" i="27"/>
  <c r="D12" i="30"/>
  <c r="D12" i="32"/>
  <c r="D12" i="24"/>
  <c r="D12" i="31"/>
  <c r="D12" i="33"/>
  <c r="R13" i="35" l="1"/>
  <c r="Q15" i="35"/>
  <c r="Q13" i="35"/>
  <c r="R4" i="23"/>
  <c r="R4" i="32"/>
  <c r="R4" i="26"/>
  <c r="R4" i="31"/>
  <c r="R4" i="24"/>
  <c r="R4" i="33"/>
  <c r="R4" i="18"/>
  <c r="R4" i="22"/>
  <c r="R4" i="28"/>
  <c r="R4" i="30"/>
  <c r="R4" i="27"/>
  <c r="R4" i="21"/>
  <c r="R4" i="17"/>
  <c r="R4" i="19"/>
  <c r="D18" i="30"/>
  <c r="D18" i="27"/>
  <c r="D18" i="31"/>
  <c r="D18" i="24"/>
  <c r="D18" i="33"/>
  <c r="D18" i="32"/>
  <c r="G4" i="16"/>
  <c r="D2" i="16"/>
  <c r="C2" i="16"/>
  <c r="G4" i="11"/>
  <c r="D2" i="11"/>
  <c r="C2" i="11"/>
  <c r="C17" i="11" l="1"/>
  <c r="D17" i="11"/>
  <c r="D12" i="11" s="1"/>
  <c r="L4" i="11"/>
  <c r="D17" i="16"/>
  <c r="D12" i="16" s="1"/>
  <c r="C17" i="16"/>
  <c r="L4" i="16"/>
  <c r="L2" i="16"/>
  <c r="P2" i="16" s="1"/>
  <c r="L2" i="11"/>
  <c r="P2" i="11" s="1"/>
  <c r="N4" i="11" l="1"/>
  <c r="N4" i="16"/>
  <c r="D18" i="11"/>
  <c r="D18" i="16"/>
  <c r="C12" i="16"/>
  <c r="D2" i="15"/>
  <c r="C2" i="15"/>
  <c r="R4" i="16" l="1"/>
  <c r="R4" i="11"/>
  <c r="C17" i="15"/>
  <c r="C12" i="15" s="1"/>
  <c r="C18" i="16"/>
  <c r="K9" i="37"/>
  <c r="K9" i="20"/>
  <c r="H7" i="20"/>
  <c r="I18" i="20"/>
  <c r="N2" i="20"/>
  <c r="B16" i="20"/>
  <c r="K9" i="34"/>
  <c r="F3" i="18"/>
  <c r="G4" i="29"/>
  <c r="F3" i="16"/>
  <c r="F3" i="17"/>
  <c r="F3" i="22"/>
  <c r="F3" i="11"/>
  <c r="F3" i="15"/>
  <c r="B16" i="37"/>
  <c r="B16" i="39"/>
  <c r="H6" i="39"/>
  <c r="F3" i="33"/>
  <c r="H6" i="33"/>
  <c r="F5" i="34"/>
  <c r="H6" i="34"/>
  <c r="F3" i="31"/>
  <c r="H6" i="31"/>
  <c r="F3" i="42"/>
  <c r="H6" i="42"/>
  <c r="F3" i="24"/>
  <c r="H6" i="24"/>
  <c r="F3" i="38"/>
  <c r="H6" i="38"/>
  <c r="F3" i="32"/>
  <c r="H6" i="32"/>
  <c r="F3" i="27"/>
  <c r="H6" i="27"/>
  <c r="F3" i="43"/>
  <c r="H6" i="43"/>
  <c r="F3" i="41"/>
  <c r="H6" i="41"/>
  <c r="F3" i="40"/>
  <c r="H6" i="40"/>
  <c r="F3" i="30"/>
  <c r="H6" i="30"/>
  <c r="F3" i="28"/>
  <c r="H6" i="28"/>
  <c r="F3" i="23"/>
  <c r="H6" i="23"/>
  <c r="F3" i="36"/>
  <c r="H6" i="36"/>
  <c r="F3" i="26"/>
  <c r="H6" i="26"/>
  <c r="K9" i="27"/>
  <c r="B16" i="40"/>
  <c r="H7" i="33"/>
  <c r="H7" i="41"/>
  <c r="K9" i="30"/>
  <c r="B16" i="38"/>
  <c r="H7" i="30"/>
  <c r="H7" i="28"/>
  <c r="K9" i="41"/>
  <c r="K9" i="39"/>
  <c r="K9" i="40"/>
  <c r="K9" i="26"/>
  <c r="K9" i="23"/>
  <c r="B16" i="41"/>
  <c r="K9" i="29"/>
  <c r="H7" i="36"/>
  <c r="B16" i="28"/>
  <c r="H7" i="42"/>
  <c r="H7" i="26"/>
  <c r="K9" i="33"/>
  <c r="H7" i="23"/>
  <c r="H7" i="38"/>
  <c r="K9" i="42"/>
  <c r="B16" i="34"/>
  <c r="K9" i="38"/>
  <c r="K9" i="28"/>
  <c r="B16" i="30"/>
  <c r="H7" i="34"/>
  <c r="B16" i="26"/>
  <c r="B16" i="29"/>
  <c r="B16" i="33"/>
  <c r="H7" i="24"/>
  <c r="H7" i="39"/>
  <c r="B16" i="42"/>
  <c r="H7" i="32"/>
  <c r="H7" i="27"/>
  <c r="B16" i="32"/>
  <c r="H7" i="43"/>
  <c r="B16" i="27"/>
  <c r="H7" i="31"/>
  <c r="B16" i="24"/>
  <c r="K9" i="32"/>
  <c r="K9" i="24"/>
  <c r="H7" i="40"/>
  <c r="B16" i="43"/>
  <c r="K9" i="31"/>
  <c r="B16" i="31"/>
  <c r="K9" i="36"/>
  <c r="G4" i="37"/>
  <c r="D2" i="37"/>
  <c r="K10" i="37"/>
  <c r="B16" i="11"/>
  <c r="B16" i="22"/>
  <c r="B16" i="21"/>
  <c r="B16" i="18"/>
  <c r="B16" i="14"/>
  <c r="B16" i="16"/>
  <c r="B16" i="17"/>
  <c r="B16" i="19"/>
  <c r="D17" i="15"/>
  <c r="D12" i="15" s="1"/>
  <c r="K10" i="15"/>
  <c r="K9" i="15"/>
  <c r="K10" i="11"/>
  <c r="K10" i="21"/>
  <c r="K10" i="17"/>
  <c r="K10" i="22"/>
  <c r="K9" i="16"/>
  <c r="K10" i="18"/>
  <c r="K10" i="16"/>
  <c r="K9" i="11"/>
  <c r="K10" i="19"/>
  <c r="H7" i="15"/>
  <c r="H7" i="22"/>
  <c r="H7" i="18"/>
  <c r="H7" i="21"/>
  <c r="H7" i="19"/>
  <c r="H6" i="15"/>
  <c r="H6" i="17"/>
  <c r="H6" i="16"/>
  <c r="K9" i="18"/>
  <c r="H6" i="19"/>
  <c r="K9" i="21"/>
  <c r="H6" i="18"/>
  <c r="P2" i="19"/>
  <c r="K9" i="19"/>
  <c r="H6" i="11"/>
  <c r="H6" i="21"/>
  <c r="K9" i="22"/>
  <c r="H6" i="22"/>
  <c r="K9" i="17"/>
  <c r="H7" i="11"/>
  <c r="H7" i="16"/>
  <c r="H7" i="17"/>
  <c r="L2" i="15"/>
  <c r="P2" i="15" s="1"/>
  <c r="G4" i="14"/>
  <c r="D2" i="14"/>
  <c r="H6" i="14"/>
  <c r="K10" i="14"/>
  <c r="K9" i="14"/>
  <c r="H7" i="14"/>
  <c r="C2" i="14"/>
  <c r="G3" i="15" l="1"/>
  <c r="L6" i="43"/>
  <c r="N6" i="43" s="1"/>
  <c r="R6" i="43" s="1"/>
  <c r="L6" i="42"/>
  <c r="N6" i="42" s="1"/>
  <c r="R6" i="42" s="1"/>
  <c r="L6" i="41"/>
  <c r="N6" i="41" s="1"/>
  <c r="R6" i="41" s="1"/>
  <c r="L6" i="40"/>
  <c r="N6" i="40" s="1"/>
  <c r="R6" i="40" s="1"/>
  <c r="L16" i="39"/>
  <c r="Q16" i="39" s="1"/>
  <c r="L6" i="39"/>
  <c r="N6" i="39" s="1"/>
  <c r="R6" i="39" s="1"/>
  <c r="L6" i="38"/>
  <c r="N6" i="38" s="1"/>
  <c r="R6" i="38" s="1"/>
  <c r="B17" i="37"/>
  <c r="B12" i="37" s="1"/>
  <c r="B18" i="37" s="1"/>
  <c r="L6" i="36"/>
  <c r="N6" i="36" s="1"/>
  <c r="R6" i="36" s="1"/>
  <c r="L6" i="34"/>
  <c r="N6" i="34" s="1"/>
  <c r="R6" i="34" s="1"/>
  <c r="L6" i="33"/>
  <c r="N6" i="33" s="1"/>
  <c r="R6" i="33" s="1"/>
  <c r="L7" i="18"/>
  <c r="N7" i="18" s="1"/>
  <c r="R7" i="18" s="1"/>
  <c r="L6" i="32"/>
  <c r="N6" i="32" s="1"/>
  <c r="R6" i="32" s="1"/>
  <c r="L6" i="31"/>
  <c r="N6" i="31" s="1"/>
  <c r="R6" i="31" s="1"/>
  <c r="L6" i="30"/>
  <c r="N6" i="30" s="1"/>
  <c r="R6" i="30" s="1"/>
  <c r="L6" i="28"/>
  <c r="N6" i="28" s="1"/>
  <c r="R6" i="28" s="1"/>
  <c r="L6" i="27"/>
  <c r="N6" i="27" s="1"/>
  <c r="R6" i="27" s="1"/>
  <c r="L6" i="26"/>
  <c r="N6" i="26" s="1"/>
  <c r="R6" i="26" s="1"/>
  <c r="L7" i="15"/>
  <c r="N7" i="15" s="1"/>
  <c r="R7" i="15" s="1"/>
  <c r="L7" i="14"/>
  <c r="N7" i="14" s="1"/>
  <c r="R7" i="14" s="1"/>
  <c r="L6" i="24"/>
  <c r="N6" i="24" s="1"/>
  <c r="R6" i="24" s="1"/>
  <c r="L6" i="23"/>
  <c r="N6" i="23" s="1"/>
  <c r="R6" i="23" s="1"/>
  <c r="L7" i="22"/>
  <c r="N7" i="22" s="1"/>
  <c r="R7" i="22" s="1"/>
  <c r="L7" i="21"/>
  <c r="N7" i="21" s="1"/>
  <c r="R7" i="21" s="1"/>
  <c r="L7" i="19"/>
  <c r="N7" i="19" s="1"/>
  <c r="R7" i="19" s="1"/>
  <c r="L7" i="11"/>
  <c r="N7" i="11" s="1"/>
  <c r="R7" i="11" s="1"/>
  <c r="G3" i="23"/>
  <c r="G3" i="43"/>
  <c r="G3" i="42"/>
  <c r="G3" i="11"/>
  <c r="G3" i="28"/>
  <c r="G3" i="27"/>
  <c r="G3" i="31"/>
  <c r="G3" i="22"/>
  <c r="G3" i="17"/>
  <c r="G3" i="30"/>
  <c r="G3" i="32"/>
  <c r="G3" i="16"/>
  <c r="G3" i="26"/>
  <c r="G3" i="40"/>
  <c r="G3" i="38"/>
  <c r="G3" i="33"/>
  <c r="G3" i="18"/>
  <c r="G3" i="36"/>
  <c r="G3" i="41"/>
  <c r="G3" i="24"/>
  <c r="L10" i="18"/>
  <c r="Q11" i="36"/>
  <c r="L4" i="14"/>
  <c r="L10" i="22"/>
  <c r="Q11" i="31"/>
  <c r="Q11" i="28"/>
  <c r="Q11" i="38"/>
  <c r="Q11" i="29"/>
  <c r="Q11" i="30"/>
  <c r="L10" i="21"/>
  <c r="F17" i="11"/>
  <c r="F12" i="11" s="1"/>
  <c r="L10" i="11"/>
  <c r="Q11" i="24"/>
  <c r="Q11" i="42"/>
  <c r="Q11" i="23"/>
  <c r="F17" i="22"/>
  <c r="F12" i="22" s="1"/>
  <c r="Q11" i="20"/>
  <c r="F17" i="17"/>
  <c r="F12" i="17" s="1"/>
  <c r="Q11" i="26"/>
  <c r="L10" i="19"/>
  <c r="L10" i="15"/>
  <c r="L10" i="37"/>
  <c r="Q11" i="40"/>
  <c r="Q11" i="27"/>
  <c r="F3" i="34"/>
  <c r="F17" i="16"/>
  <c r="F12" i="16" s="1"/>
  <c r="L4" i="29"/>
  <c r="C18" i="15"/>
  <c r="L10" i="17"/>
  <c r="Q11" i="32"/>
  <c r="Q11" i="33"/>
  <c r="Q11" i="39"/>
  <c r="L10" i="14"/>
  <c r="L10" i="16"/>
  <c r="Q11" i="41"/>
  <c r="F17" i="18"/>
  <c r="F12" i="18" s="1"/>
  <c r="Q11" i="34"/>
  <c r="D17" i="14"/>
  <c r="D12" i="14" s="1"/>
  <c r="R2" i="20"/>
  <c r="Q11" i="15"/>
  <c r="F17" i="39"/>
  <c r="F17" i="15"/>
  <c r="F12" i="15" s="1"/>
  <c r="D18" i="15"/>
  <c r="Q11" i="11"/>
  <c r="Q11" i="17"/>
  <c r="Q11" i="18"/>
  <c r="Q11" i="22"/>
  <c r="Q11" i="16"/>
  <c r="Q11" i="21"/>
  <c r="Q11" i="14"/>
  <c r="Q11" i="37"/>
  <c r="L9" i="20"/>
  <c r="K17" i="20"/>
  <c r="B17" i="20"/>
  <c r="L16" i="20"/>
  <c r="I8" i="20"/>
  <c r="J18" i="20"/>
  <c r="J8" i="20" s="1"/>
  <c r="L7" i="20"/>
  <c r="H17" i="20"/>
  <c r="H12" i="20" s="1"/>
  <c r="H18" i="20" s="1"/>
  <c r="Q11" i="19"/>
  <c r="K17" i="34"/>
  <c r="L9" i="34"/>
  <c r="H6" i="29"/>
  <c r="H7" i="29"/>
  <c r="Q8" i="19"/>
  <c r="N2" i="33"/>
  <c r="N2" i="28"/>
  <c r="N2" i="40"/>
  <c r="N2" i="39"/>
  <c r="N2" i="31"/>
  <c r="N2" i="34"/>
  <c r="N2" i="26"/>
  <c r="N2" i="38"/>
  <c r="N2" i="27"/>
  <c r="N2" i="42"/>
  <c r="N2" i="41"/>
  <c r="N2" i="32"/>
  <c r="N2" i="24"/>
  <c r="N2" i="29"/>
  <c r="N2" i="30"/>
  <c r="L16" i="37"/>
  <c r="R16" i="37" s="1"/>
  <c r="B17" i="39"/>
  <c r="B12" i="39" s="1"/>
  <c r="B18" i="39" s="1"/>
  <c r="B16" i="36"/>
  <c r="F3" i="29"/>
  <c r="F17" i="33"/>
  <c r="F12" i="33" s="1"/>
  <c r="F17" i="42"/>
  <c r="F12" i="42" s="1"/>
  <c r="F17" i="38"/>
  <c r="F12" i="38" s="1"/>
  <c r="F17" i="26"/>
  <c r="F12" i="26" s="1"/>
  <c r="F17" i="30"/>
  <c r="F12" i="30" s="1"/>
  <c r="F17" i="36"/>
  <c r="F12" i="36" s="1"/>
  <c r="F17" i="32"/>
  <c r="F12" i="32" s="1"/>
  <c r="F17" i="43"/>
  <c r="F12" i="43" s="1"/>
  <c r="F17" i="23"/>
  <c r="F12" i="23" s="1"/>
  <c r="F17" i="27"/>
  <c r="F12" i="27" s="1"/>
  <c r="F17" i="31"/>
  <c r="F12" i="31" s="1"/>
  <c r="F17" i="41"/>
  <c r="F12" i="41" s="1"/>
  <c r="F17" i="24"/>
  <c r="F12" i="24" s="1"/>
  <c r="F3" i="37"/>
  <c r="H6" i="37"/>
  <c r="F17" i="28"/>
  <c r="F12" i="28" s="1"/>
  <c r="F17" i="40"/>
  <c r="F12" i="40" s="1"/>
  <c r="L9" i="3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K17" i="40"/>
  <c r="L7" i="33"/>
  <c r="N7" i="33" s="1"/>
  <c r="R7" i="33" s="1"/>
  <c r="K17" i="27"/>
  <c r="L9" i="27"/>
  <c r="L7" i="32"/>
  <c r="N7" i="32" s="1"/>
  <c r="R7" i="32" s="1"/>
  <c r="B17" i="34"/>
  <c r="B12" i="34" s="1"/>
  <c r="B18" i="34" s="1"/>
  <c r="L16" i="34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K17" i="23"/>
  <c r="L9" i="23"/>
  <c r="L7" i="30"/>
  <c r="N7" i="30" s="1"/>
  <c r="R7" i="30" s="1"/>
  <c r="K17" i="30"/>
  <c r="L9" i="30"/>
  <c r="L9" i="32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B17" i="42"/>
  <c r="B12" i="42" s="1"/>
  <c r="B18" i="42" s="1"/>
  <c r="L16" i="42"/>
  <c r="L7" i="34"/>
  <c r="L9" i="29"/>
  <c r="K17" i="29"/>
  <c r="L7" i="41"/>
  <c r="N7" i="41" s="1"/>
  <c r="R7" i="41" s="1"/>
  <c r="K17" i="24"/>
  <c r="L9" i="24"/>
  <c r="L7" i="39"/>
  <c r="N7" i="39" s="1"/>
  <c r="R7" i="39" s="1"/>
  <c r="B17" i="29"/>
  <c r="B12" i="29" s="1"/>
  <c r="B18" i="29" s="1"/>
  <c r="L16" i="29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K17" i="41"/>
  <c r="L9" i="41"/>
  <c r="B17" i="38"/>
  <c r="B12" i="38" s="1"/>
  <c r="B18" i="38" s="1"/>
  <c r="L16" i="38"/>
  <c r="K17" i="36"/>
  <c r="L9" i="36"/>
  <c r="B17" i="28"/>
  <c r="B12" i="28" s="1"/>
  <c r="B18" i="28" s="1"/>
  <c r="L16" i="28"/>
  <c r="B17" i="30"/>
  <c r="B12" i="30" s="1"/>
  <c r="B18" i="30" s="1"/>
  <c r="L16" i="30"/>
  <c r="K17" i="38"/>
  <c r="L9" i="38"/>
  <c r="L9" i="42"/>
  <c r="K17" i="42"/>
  <c r="L9" i="33"/>
  <c r="K17" i="33"/>
  <c r="B17" i="41"/>
  <c r="B12" i="41" s="1"/>
  <c r="B18" i="41" s="1"/>
  <c r="L16" i="41"/>
  <c r="L7" i="28"/>
  <c r="H7" i="37"/>
  <c r="L9" i="37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4"/>
  <c r="B12" i="14" s="1"/>
  <c r="B18" i="14" s="1"/>
  <c r="L16" i="14"/>
  <c r="B17" i="18"/>
  <c r="B12" i="18" s="1"/>
  <c r="B18" i="18" s="1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9"/>
  <c r="B12" i="19" s="1"/>
  <c r="B18" i="19" s="1"/>
  <c r="L16" i="19"/>
  <c r="B17" i="17"/>
  <c r="B12" i="17" s="1"/>
  <c r="B18" i="17" s="1"/>
  <c r="L16" i="17"/>
  <c r="B16" i="15"/>
  <c r="K17" i="19"/>
  <c r="K17" i="18"/>
  <c r="K17" i="14"/>
  <c r="K17" i="21"/>
  <c r="K17" i="17"/>
  <c r="L9" i="16"/>
  <c r="K17" i="16"/>
  <c r="L9" i="15"/>
  <c r="K17" i="15"/>
  <c r="L9" i="11"/>
  <c r="K17" i="11"/>
  <c r="L6" i="11"/>
  <c r="N6" i="11" s="1"/>
  <c r="R6" i="11" s="1"/>
  <c r="L6" i="17"/>
  <c r="N6" i="17" s="1"/>
  <c r="R6" i="17" s="1"/>
  <c r="L6" i="16"/>
  <c r="N6" i="16" s="1"/>
  <c r="R6" i="16" s="1"/>
  <c r="C17" i="14"/>
  <c r="N2" i="16"/>
  <c r="N2" i="11"/>
  <c r="N2" i="17"/>
  <c r="N2" i="21"/>
  <c r="N2" i="18"/>
  <c r="N2" i="19"/>
  <c r="L6" i="15"/>
  <c r="N6" i="15" s="1"/>
  <c r="R6" i="15" s="1"/>
  <c r="L9" i="22"/>
  <c r="F3" i="21"/>
  <c r="L9" i="21"/>
  <c r="L9" i="18"/>
  <c r="L6" i="21"/>
  <c r="N6" i="21" s="1"/>
  <c r="R6" i="21" s="1"/>
  <c r="L6" i="22"/>
  <c r="N6" i="22" s="1"/>
  <c r="R6" i="22" s="1"/>
  <c r="L6" i="18"/>
  <c r="N6" i="18" s="1"/>
  <c r="R6" i="18" s="1"/>
  <c r="L9" i="19"/>
  <c r="L6" i="19"/>
  <c r="N6" i="19" s="1"/>
  <c r="R6" i="19" s="1"/>
  <c r="L9" i="17"/>
  <c r="L7" i="17"/>
  <c r="L7" i="16"/>
  <c r="N7" i="16" s="1"/>
  <c r="R7" i="16" s="1"/>
  <c r="L6" i="14"/>
  <c r="F3" i="14"/>
  <c r="L9" i="14"/>
  <c r="G5" i="15" l="1"/>
  <c r="R16" i="39"/>
  <c r="L6" i="37"/>
  <c r="N6" i="37" s="1"/>
  <c r="R6" i="37" s="1"/>
  <c r="L16" i="36"/>
  <c r="R16" i="36" s="1"/>
  <c r="L7" i="29"/>
  <c r="N7" i="29" s="1"/>
  <c r="R7" i="29" s="1"/>
  <c r="L6" i="29"/>
  <c r="N6" i="29" s="1"/>
  <c r="R6" i="29" s="1"/>
  <c r="G3" i="37"/>
  <c r="G3" i="29"/>
  <c r="G3" i="34"/>
  <c r="G3" i="21"/>
  <c r="G3" i="14"/>
  <c r="N10" i="21"/>
  <c r="R10" i="21" s="1"/>
  <c r="N10" i="17"/>
  <c r="R10" i="17" s="1"/>
  <c r="N10" i="16"/>
  <c r="R10" i="16" s="1"/>
  <c r="N10" i="22"/>
  <c r="R10" i="22" s="1"/>
  <c r="N10" i="14"/>
  <c r="R10" i="14" s="1"/>
  <c r="N10" i="11"/>
  <c r="R10" i="11" s="1"/>
  <c r="N10" i="37"/>
  <c r="R10" i="37" s="1"/>
  <c r="N10" i="15"/>
  <c r="R10" i="15" s="1"/>
  <c r="N10" i="18"/>
  <c r="R10" i="18" s="1"/>
  <c r="N10" i="19"/>
  <c r="R10" i="19" s="1"/>
  <c r="N9" i="23"/>
  <c r="R9" i="23" s="1"/>
  <c r="N9" i="34"/>
  <c r="R9" i="34" s="1"/>
  <c r="N9" i="11"/>
  <c r="R9" i="11" s="1"/>
  <c r="N9" i="38"/>
  <c r="R9" i="38" s="1"/>
  <c r="N9" i="28"/>
  <c r="R9" i="28" s="1"/>
  <c r="N9" i="15"/>
  <c r="R9" i="15" s="1"/>
  <c r="N9" i="37"/>
  <c r="R9" i="37" s="1"/>
  <c r="N9" i="27"/>
  <c r="R9" i="27" s="1"/>
  <c r="N9" i="41"/>
  <c r="R9" i="41" s="1"/>
  <c r="N9" i="39"/>
  <c r="R9" i="39" s="1"/>
  <c r="N9" i="18"/>
  <c r="R9" i="18" s="1"/>
  <c r="N9" i="16"/>
  <c r="R9" i="16" s="1"/>
  <c r="N9" i="21"/>
  <c r="R9" i="21" s="1"/>
  <c r="N9" i="32"/>
  <c r="R9" i="32" s="1"/>
  <c r="N9" i="26"/>
  <c r="R9" i="26" s="1"/>
  <c r="N9" i="24"/>
  <c r="R9" i="24" s="1"/>
  <c r="N9" i="30"/>
  <c r="R9" i="30" s="1"/>
  <c r="N9" i="31"/>
  <c r="R9" i="31" s="1"/>
  <c r="N9" i="33"/>
  <c r="R9" i="33" s="1"/>
  <c r="N9" i="40"/>
  <c r="R9" i="40" s="1"/>
  <c r="N9" i="17"/>
  <c r="R9" i="17" s="1"/>
  <c r="N9" i="22"/>
  <c r="R9" i="22" s="1"/>
  <c r="N9" i="42"/>
  <c r="R9" i="42" s="1"/>
  <c r="N9" i="36"/>
  <c r="R9" i="36" s="1"/>
  <c r="N9" i="29"/>
  <c r="R9" i="29" s="1"/>
  <c r="N9" i="19"/>
  <c r="R9" i="19" s="1"/>
  <c r="F12" i="39"/>
  <c r="N4" i="29"/>
  <c r="N4" i="14"/>
  <c r="F17" i="34"/>
  <c r="F12" i="34" s="1"/>
  <c r="M11" i="34"/>
  <c r="M11" i="20"/>
  <c r="K13" i="34"/>
  <c r="F18" i="18"/>
  <c r="F18" i="43"/>
  <c r="F17" i="29"/>
  <c r="F12" i="29" s="1"/>
  <c r="F17" i="21"/>
  <c r="F12" i="21" s="1"/>
  <c r="F18" i="11"/>
  <c r="F18" i="40"/>
  <c r="F18" i="32"/>
  <c r="F18" i="17"/>
  <c r="F18" i="36"/>
  <c r="F18" i="30"/>
  <c r="F18" i="28"/>
  <c r="J17" i="20"/>
  <c r="J13" i="20" s="1"/>
  <c r="F18" i="26"/>
  <c r="F18" i="22"/>
  <c r="F18" i="38"/>
  <c r="F18" i="24"/>
  <c r="F18" i="41"/>
  <c r="F18" i="42"/>
  <c r="F18" i="31"/>
  <c r="F18" i="33"/>
  <c r="F17" i="14"/>
  <c r="F12" i="14" s="1"/>
  <c r="F18" i="16"/>
  <c r="F18" i="27"/>
  <c r="F18" i="15"/>
  <c r="F18" i="23"/>
  <c r="R2" i="40"/>
  <c r="R2" i="41"/>
  <c r="R2" i="39"/>
  <c r="R2" i="38"/>
  <c r="R2" i="34"/>
  <c r="R2" i="33"/>
  <c r="R2" i="31"/>
  <c r="R2" i="32"/>
  <c r="R2" i="18"/>
  <c r="R2" i="30"/>
  <c r="R2" i="29"/>
  <c r="R2" i="28"/>
  <c r="R2" i="26"/>
  <c r="R2" i="27"/>
  <c r="R2" i="24"/>
  <c r="R2" i="21"/>
  <c r="R2" i="17"/>
  <c r="R2" i="11"/>
  <c r="R2" i="19"/>
  <c r="D18" i="37"/>
  <c r="D18" i="14"/>
  <c r="K13" i="20"/>
  <c r="N9" i="20"/>
  <c r="N7" i="20"/>
  <c r="R7" i="20" s="1"/>
  <c r="I17" i="20"/>
  <c r="I13" i="20" s="1"/>
  <c r="L8" i="20"/>
  <c r="Q16" i="20"/>
  <c r="R16" i="20"/>
  <c r="B12" i="20"/>
  <c r="B18" i="20" s="1"/>
  <c r="J8" i="15"/>
  <c r="I18" i="11"/>
  <c r="J18" i="11" s="1"/>
  <c r="J8" i="11" s="1"/>
  <c r="I18" i="18"/>
  <c r="J18" i="18" s="1"/>
  <c r="J8" i="18" s="1"/>
  <c r="I18" i="31"/>
  <c r="J18" i="31" s="1"/>
  <c r="J8" i="31" s="1"/>
  <c r="R2" i="42"/>
  <c r="I18" i="17"/>
  <c r="I8" i="17" s="1"/>
  <c r="I18" i="19"/>
  <c r="I8" i="19" s="1"/>
  <c r="I18" i="21"/>
  <c r="J18" i="21" s="1"/>
  <c r="J8" i="21" s="1"/>
  <c r="I18" i="33"/>
  <c r="I8" i="33" s="1"/>
  <c r="I18" i="16"/>
  <c r="I8" i="16" s="1"/>
  <c r="I18" i="22"/>
  <c r="J18" i="22" s="1"/>
  <c r="J8" i="22" s="1"/>
  <c r="I18" i="26"/>
  <c r="I8" i="26" s="1"/>
  <c r="H17" i="14"/>
  <c r="H12" i="14" s="1"/>
  <c r="H18" i="14" s="1"/>
  <c r="N4" i="37"/>
  <c r="M11" i="36"/>
  <c r="M11" i="24"/>
  <c r="M11" i="38"/>
  <c r="M11" i="29"/>
  <c r="M11" i="11"/>
  <c r="M11" i="26"/>
  <c r="M11" i="30"/>
  <c r="M11" i="27"/>
  <c r="M11" i="37"/>
  <c r="M11" i="33"/>
  <c r="M11" i="23"/>
  <c r="M11" i="31"/>
  <c r="M11" i="42"/>
  <c r="M11" i="41"/>
  <c r="M11" i="39"/>
  <c r="M11" i="40"/>
  <c r="M11" i="32"/>
  <c r="M11" i="28"/>
  <c r="H17" i="17"/>
  <c r="H12" i="17" s="1"/>
  <c r="H18" i="17" s="1"/>
  <c r="I18" i="29"/>
  <c r="J18" i="29" s="1"/>
  <c r="J8" i="29" s="1"/>
  <c r="I18" i="39"/>
  <c r="I18" i="30"/>
  <c r="I18" i="38"/>
  <c r="I18" i="27"/>
  <c r="I18" i="36"/>
  <c r="I18" i="28"/>
  <c r="I18" i="32"/>
  <c r="I18" i="24"/>
  <c r="I18" i="42"/>
  <c r="I18" i="23"/>
  <c r="Q16" i="37"/>
  <c r="N2" i="36"/>
  <c r="B17" i="36"/>
  <c r="B12" i="36" s="1"/>
  <c r="B18" i="36" s="1"/>
  <c r="H17" i="11"/>
  <c r="H17" i="23"/>
  <c r="H12" i="23" s="1"/>
  <c r="H18" i="23" s="1"/>
  <c r="H17" i="21"/>
  <c r="H12" i="21" s="1"/>
  <c r="H18" i="21" s="1"/>
  <c r="H17" i="15"/>
  <c r="H12" i="15" s="1"/>
  <c r="H18" i="15" s="1"/>
  <c r="H17" i="34"/>
  <c r="H12" i="34" s="1"/>
  <c r="H18" i="34" s="1"/>
  <c r="H17" i="36"/>
  <c r="H12" i="36" s="1"/>
  <c r="H18" i="36" s="1"/>
  <c r="H17" i="24"/>
  <c r="H12" i="24" s="1"/>
  <c r="H18" i="24" s="1"/>
  <c r="H17" i="19"/>
  <c r="H12" i="19" s="1"/>
  <c r="H18" i="19" s="1"/>
  <c r="H17" i="28"/>
  <c r="H12" i="28" s="1"/>
  <c r="H18" i="28" s="1"/>
  <c r="H17" i="18"/>
  <c r="H12" i="18" s="1"/>
  <c r="H18" i="18" s="1"/>
  <c r="H17" i="32"/>
  <c r="H12" i="32" s="1"/>
  <c r="H18" i="32" s="1"/>
  <c r="H17" i="27"/>
  <c r="H12" i="27" s="1"/>
  <c r="H18" i="27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H17" i="33"/>
  <c r="H12" i="33" s="1"/>
  <c r="H18" i="33" s="1"/>
  <c r="H17" i="38"/>
  <c r="H12" i="38" s="1"/>
  <c r="H18" i="38" s="1"/>
  <c r="K13" i="30"/>
  <c r="H17" i="41"/>
  <c r="H12" i="41" s="1"/>
  <c r="H18" i="41" s="1"/>
  <c r="H17" i="43"/>
  <c r="H12" i="43" s="1"/>
  <c r="H18" i="43" s="1"/>
  <c r="H17" i="30"/>
  <c r="H12" i="30" s="1"/>
  <c r="H18" i="30" s="1"/>
  <c r="I8" i="34"/>
  <c r="H17" i="29"/>
  <c r="H12" i="29" s="1"/>
  <c r="H18" i="29" s="1"/>
  <c r="K13" i="29"/>
  <c r="H17" i="26"/>
  <c r="H12" i="26" s="1"/>
  <c r="H18" i="26" s="1"/>
  <c r="H17" i="42"/>
  <c r="H12" i="42" s="1"/>
  <c r="H18" i="42" s="1"/>
  <c r="K13" i="38"/>
  <c r="K13" i="36"/>
  <c r="K13" i="26"/>
  <c r="K13" i="24"/>
  <c r="L3" i="39"/>
  <c r="K13" i="39"/>
  <c r="K13" i="32"/>
  <c r="K13" i="28"/>
  <c r="K13" i="33"/>
  <c r="K13" i="42"/>
  <c r="F17" i="37"/>
  <c r="F12" i="37" s="1"/>
  <c r="N7" i="34"/>
  <c r="R7" i="34" s="1"/>
  <c r="R16" i="29"/>
  <c r="Q16" i="29"/>
  <c r="R16" i="42"/>
  <c r="Q16" i="42"/>
  <c r="K13" i="3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R16" i="41"/>
  <c r="Q16" i="41"/>
  <c r="R16" i="27"/>
  <c r="Q16" i="27"/>
  <c r="Q16" i="43"/>
  <c r="R16" i="43"/>
  <c r="K13" i="27"/>
  <c r="K13" i="41"/>
  <c r="N7" i="23"/>
  <c r="R7" i="23" s="1"/>
  <c r="K9" i="43"/>
  <c r="I18" i="43"/>
  <c r="J18" i="43" s="1"/>
  <c r="J8" i="43" s="1"/>
  <c r="R16" i="30"/>
  <c r="Q16" i="30"/>
  <c r="R16" i="24"/>
  <c r="Q16" i="24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R16" i="34"/>
  <c r="Q16" i="34"/>
  <c r="K13" i="37"/>
  <c r="B16" i="23"/>
  <c r="J8" i="41"/>
  <c r="I8" i="41"/>
  <c r="R16" i="21"/>
  <c r="Q16" i="21"/>
  <c r="R16" i="17"/>
  <c r="Q16" i="17"/>
  <c r="R16" i="18"/>
  <c r="Q16" i="18"/>
  <c r="R16" i="19"/>
  <c r="Q16" i="19"/>
  <c r="R16" i="14"/>
  <c r="Q16" i="14"/>
  <c r="R16" i="11"/>
  <c r="Q16" i="11"/>
  <c r="R16" i="16"/>
  <c r="Q16" i="16"/>
  <c r="R16" i="22"/>
  <c r="Q16" i="22"/>
  <c r="B17" i="15"/>
  <c r="B12" i="15" s="1"/>
  <c r="B18" i="15" s="1"/>
  <c r="L16" i="15"/>
  <c r="C12" i="14"/>
  <c r="R2" i="16"/>
  <c r="K13" i="15"/>
  <c r="K13" i="11"/>
  <c r="K13" i="16"/>
  <c r="M11" i="17"/>
  <c r="M11" i="18"/>
  <c r="M11" i="16"/>
  <c r="M11" i="22"/>
  <c r="M11" i="15"/>
  <c r="M11" i="21"/>
  <c r="M11" i="14"/>
  <c r="M11" i="19"/>
  <c r="N2" i="15"/>
  <c r="N2" i="22"/>
  <c r="K13" i="19"/>
  <c r="K13" i="21"/>
  <c r="K13" i="18"/>
  <c r="K13" i="22"/>
  <c r="K13" i="17"/>
  <c r="N7" i="17"/>
  <c r="R7" i="17" s="1"/>
  <c r="K13" i="14"/>
  <c r="N9" i="14"/>
  <c r="N6" i="14"/>
  <c r="R6" i="14" s="1"/>
  <c r="F18" i="39" l="1"/>
  <c r="Q16" i="36"/>
  <c r="F18" i="34"/>
  <c r="N8" i="20"/>
  <c r="R8" i="20" s="1"/>
  <c r="R4" i="29"/>
  <c r="R4" i="14"/>
  <c r="R11" i="20"/>
  <c r="R11" i="34"/>
  <c r="K18" i="34"/>
  <c r="R11" i="41"/>
  <c r="R11" i="29"/>
  <c r="I17" i="16"/>
  <c r="I13" i="16" s="1"/>
  <c r="J17" i="15"/>
  <c r="J13" i="15" s="1"/>
  <c r="R11" i="28"/>
  <c r="F18" i="14"/>
  <c r="K18" i="16"/>
  <c r="K18" i="41"/>
  <c r="K18" i="39"/>
  <c r="K18" i="14"/>
  <c r="K18" i="11"/>
  <c r="K18" i="27"/>
  <c r="L3" i="43"/>
  <c r="L3" i="42"/>
  <c r="G5" i="31"/>
  <c r="G5" i="40"/>
  <c r="R11" i="42"/>
  <c r="R11" i="38"/>
  <c r="L3" i="15"/>
  <c r="K18" i="38"/>
  <c r="L3" i="32"/>
  <c r="G5" i="16"/>
  <c r="L3" i="36"/>
  <c r="L3" i="34"/>
  <c r="K18" i="30"/>
  <c r="G5" i="24"/>
  <c r="R11" i="31"/>
  <c r="R11" i="24"/>
  <c r="J17" i="21"/>
  <c r="J13" i="21" s="1"/>
  <c r="K18" i="24"/>
  <c r="J17" i="29"/>
  <c r="J13" i="29" s="1"/>
  <c r="R11" i="23"/>
  <c r="R11" i="36"/>
  <c r="I17" i="19"/>
  <c r="I13" i="19" s="1"/>
  <c r="F18" i="29"/>
  <c r="R11" i="22"/>
  <c r="R11" i="19"/>
  <c r="K18" i="15"/>
  <c r="K18" i="17"/>
  <c r="F18" i="37"/>
  <c r="K18" i="26"/>
  <c r="G5" i="28"/>
  <c r="G5" i="30"/>
  <c r="R11" i="33"/>
  <c r="I17" i="17"/>
  <c r="I13" i="17" s="1"/>
  <c r="R11" i="14"/>
  <c r="F18" i="21"/>
  <c r="R11" i="21"/>
  <c r="C18" i="14"/>
  <c r="J17" i="41"/>
  <c r="J13" i="41" s="1"/>
  <c r="R11" i="15"/>
  <c r="K18" i="42"/>
  <c r="K18" i="36"/>
  <c r="L3" i="29"/>
  <c r="G5" i="11"/>
  <c r="R11" i="37"/>
  <c r="K18" i="22"/>
  <c r="K18" i="37"/>
  <c r="K18" i="33"/>
  <c r="K18" i="18"/>
  <c r="R11" i="16"/>
  <c r="J17" i="43"/>
  <c r="J13" i="43" s="1"/>
  <c r="L3" i="38"/>
  <c r="L3" i="26"/>
  <c r="R11" i="32"/>
  <c r="R11" i="30"/>
  <c r="K18" i="31"/>
  <c r="R11" i="27"/>
  <c r="J17" i="31"/>
  <c r="J13" i="31" s="1"/>
  <c r="K18" i="21"/>
  <c r="R11" i="18"/>
  <c r="Q11" i="43"/>
  <c r="K18" i="40"/>
  <c r="K18" i="28"/>
  <c r="K18" i="29"/>
  <c r="R11" i="40"/>
  <c r="R11" i="26"/>
  <c r="J17" i="11"/>
  <c r="J13" i="11" s="1"/>
  <c r="K18" i="20"/>
  <c r="K18" i="19"/>
  <c r="R11" i="17"/>
  <c r="K18" i="23"/>
  <c r="K18" i="32"/>
  <c r="L3" i="33"/>
  <c r="R11" i="39"/>
  <c r="R11" i="11"/>
  <c r="G5" i="23"/>
  <c r="G5" i="22"/>
  <c r="L3" i="17"/>
  <c r="R9" i="20"/>
  <c r="R9" i="14"/>
  <c r="R4" i="37"/>
  <c r="R2" i="36"/>
  <c r="R2" i="22"/>
  <c r="L3" i="18"/>
  <c r="G5" i="18"/>
  <c r="E14" i="20"/>
  <c r="L13" i="20"/>
  <c r="I8" i="15"/>
  <c r="J18" i="17"/>
  <c r="J8" i="17" s="1"/>
  <c r="J8" i="34"/>
  <c r="I8" i="11"/>
  <c r="J18" i="33"/>
  <c r="J8" i="33" s="1"/>
  <c r="L3" i="23"/>
  <c r="J18" i="16"/>
  <c r="J8" i="16" s="1"/>
  <c r="I8" i="22"/>
  <c r="I8" i="18"/>
  <c r="J18" i="19"/>
  <c r="J8" i="19" s="1"/>
  <c r="I8" i="21"/>
  <c r="J18" i="26"/>
  <c r="J8" i="26" s="1"/>
  <c r="I8" i="31"/>
  <c r="N3" i="39"/>
  <c r="I8" i="29"/>
  <c r="I18" i="37"/>
  <c r="J18" i="39"/>
  <c r="J8" i="39" s="1"/>
  <c r="I8" i="39"/>
  <c r="J18" i="42"/>
  <c r="J8" i="42" s="1"/>
  <c r="I8" i="42"/>
  <c r="J18" i="24"/>
  <c r="J8" i="24" s="1"/>
  <c r="I8" i="24"/>
  <c r="J18" i="32"/>
  <c r="J8" i="32" s="1"/>
  <c r="I8" i="32"/>
  <c r="J18" i="28"/>
  <c r="J8" i="28" s="1"/>
  <c r="I8" i="28"/>
  <c r="J18" i="36"/>
  <c r="J8" i="36" s="1"/>
  <c r="I8" i="36"/>
  <c r="I8" i="27"/>
  <c r="J18" i="27"/>
  <c r="J8" i="27" s="1"/>
  <c r="J18" i="23"/>
  <c r="J8" i="23" s="1"/>
  <c r="I8" i="23"/>
  <c r="J18" i="38"/>
  <c r="J8" i="38" s="1"/>
  <c r="I8" i="38"/>
  <c r="J18" i="40"/>
  <c r="J8" i="40" s="1"/>
  <c r="I8" i="40"/>
  <c r="J18" i="30"/>
  <c r="J8" i="30" s="1"/>
  <c r="I8" i="30"/>
  <c r="G5" i="17"/>
  <c r="N2" i="37"/>
  <c r="R2" i="23"/>
  <c r="L3" i="22"/>
  <c r="L3" i="16"/>
  <c r="H17" i="37"/>
  <c r="H12" i="37" s="1"/>
  <c r="H18" i="37" s="1"/>
  <c r="L3" i="24"/>
  <c r="L3" i="40"/>
  <c r="L3" i="30"/>
  <c r="L3" i="31"/>
  <c r="L3" i="28"/>
  <c r="G5" i="26"/>
  <c r="G5" i="33"/>
  <c r="G5" i="41"/>
  <c r="G5" i="42"/>
  <c r="G5" i="34"/>
  <c r="L3" i="41"/>
  <c r="G5" i="32"/>
  <c r="G5" i="27"/>
  <c r="L3" i="27"/>
  <c r="G5" i="29"/>
  <c r="G5" i="38"/>
  <c r="G5" i="36"/>
  <c r="L5" i="39"/>
  <c r="I8" i="43"/>
  <c r="G5" i="43"/>
  <c r="I17" i="26"/>
  <c r="I13" i="26" s="1"/>
  <c r="K17" i="43"/>
  <c r="L9" i="43"/>
  <c r="I17" i="33"/>
  <c r="I13" i="33" s="1"/>
  <c r="B17" i="23"/>
  <c r="L16" i="23"/>
  <c r="I17" i="41"/>
  <c r="L8" i="41"/>
  <c r="I17" i="34"/>
  <c r="I13" i="34" s="1"/>
  <c r="R16" i="15"/>
  <c r="Q16" i="15"/>
  <c r="J17" i="22"/>
  <c r="J13" i="22" s="1"/>
  <c r="J17" i="18"/>
  <c r="J13" i="18" s="1"/>
  <c r="L3" i="21"/>
  <c r="R2" i="15"/>
  <c r="G5" i="21"/>
  <c r="G5" i="14"/>
  <c r="L3" i="14"/>
  <c r="N9" i="43" l="1"/>
  <c r="R9" i="43" s="1"/>
  <c r="N3" i="34"/>
  <c r="N3" i="36"/>
  <c r="N3" i="42"/>
  <c r="N3" i="32"/>
  <c r="N3" i="43"/>
  <c r="N3" i="26"/>
  <c r="N3" i="38"/>
  <c r="N3" i="15"/>
  <c r="N3" i="33"/>
  <c r="N3" i="29"/>
  <c r="G17" i="31"/>
  <c r="L5" i="16"/>
  <c r="G17" i="30"/>
  <c r="G17" i="23"/>
  <c r="G17" i="24"/>
  <c r="G17" i="40"/>
  <c r="L5" i="21"/>
  <c r="L5" i="43"/>
  <c r="L5" i="32"/>
  <c r="J17" i="23"/>
  <c r="J13" i="23" s="1"/>
  <c r="J17" i="27"/>
  <c r="J13" i="27" s="1"/>
  <c r="I17" i="21"/>
  <c r="I13" i="21" s="1"/>
  <c r="L8" i="17"/>
  <c r="L5" i="30"/>
  <c r="J17" i="26"/>
  <c r="J13" i="26" s="1"/>
  <c r="J17" i="34"/>
  <c r="J13" i="34" s="1"/>
  <c r="L5" i="36"/>
  <c r="L5" i="38"/>
  <c r="L5" i="41"/>
  <c r="L5" i="17"/>
  <c r="J17" i="42"/>
  <c r="J13" i="42" s="1"/>
  <c r="L5" i="28"/>
  <c r="L5" i="29"/>
  <c r="L5" i="33"/>
  <c r="I17" i="18"/>
  <c r="I13" i="18" s="1"/>
  <c r="L5" i="14"/>
  <c r="L3" i="37"/>
  <c r="L5" i="26"/>
  <c r="J17" i="30"/>
  <c r="J13" i="30" s="1"/>
  <c r="J17" i="36"/>
  <c r="J13" i="36" s="1"/>
  <c r="J17" i="39"/>
  <c r="J13" i="39" s="1"/>
  <c r="I17" i="22"/>
  <c r="I13" i="22" s="1"/>
  <c r="L5" i="23"/>
  <c r="J17" i="24"/>
  <c r="J13" i="24" s="1"/>
  <c r="L5" i="34"/>
  <c r="L5" i="42"/>
  <c r="J17" i="19"/>
  <c r="J13" i="19" s="1"/>
  <c r="L8" i="15"/>
  <c r="J17" i="16"/>
  <c r="J13" i="16" s="1"/>
  <c r="L5" i="27"/>
  <c r="J17" i="40"/>
  <c r="J13" i="40" s="1"/>
  <c r="J17" i="28"/>
  <c r="J13" i="28" s="1"/>
  <c r="I17" i="29"/>
  <c r="I13" i="29" s="1"/>
  <c r="L5" i="22"/>
  <c r="G17" i="11"/>
  <c r="L5" i="24"/>
  <c r="L5" i="18"/>
  <c r="I17" i="43"/>
  <c r="I13" i="43" s="1"/>
  <c r="G17" i="28"/>
  <c r="J17" i="38"/>
  <c r="J13" i="38" s="1"/>
  <c r="J17" i="32"/>
  <c r="J13" i="32" s="1"/>
  <c r="J17" i="33"/>
  <c r="J13" i="33" s="1"/>
  <c r="L5" i="40"/>
  <c r="I17" i="31"/>
  <c r="I13" i="31" s="1"/>
  <c r="I17" i="11"/>
  <c r="I13" i="11" s="1"/>
  <c r="L5" i="31"/>
  <c r="G17" i="16"/>
  <c r="G17" i="22"/>
  <c r="N3" i="17"/>
  <c r="N3" i="23"/>
  <c r="N3" i="18"/>
  <c r="R3" i="39"/>
  <c r="R2" i="37"/>
  <c r="L4" i="20"/>
  <c r="L14" i="20"/>
  <c r="I17" i="15"/>
  <c r="I13" i="15" s="1"/>
  <c r="J17" i="17"/>
  <c r="J13" i="17" s="1"/>
  <c r="L8" i="11"/>
  <c r="L8" i="34"/>
  <c r="L8" i="33"/>
  <c r="L8" i="22"/>
  <c r="L8" i="16"/>
  <c r="L8" i="18"/>
  <c r="L8" i="19"/>
  <c r="L8" i="21"/>
  <c r="L8" i="26"/>
  <c r="L8" i="31"/>
  <c r="N3" i="27"/>
  <c r="N3" i="28"/>
  <c r="N3" i="31"/>
  <c r="N3" i="24"/>
  <c r="N3" i="16"/>
  <c r="N3" i="41"/>
  <c r="N3" i="30"/>
  <c r="N3" i="22"/>
  <c r="N3" i="21"/>
  <c r="N3" i="40"/>
  <c r="M11" i="43"/>
  <c r="L8" i="29"/>
  <c r="G17" i="17"/>
  <c r="L8" i="40"/>
  <c r="I17" i="40"/>
  <c r="I13" i="40" s="1"/>
  <c r="I17" i="28"/>
  <c r="I13" i="28" s="1"/>
  <c r="L8" i="28"/>
  <c r="I17" i="39"/>
  <c r="I13" i="39" s="1"/>
  <c r="L8" i="39"/>
  <c r="L8" i="38"/>
  <c r="I17" i="38"/>
  <c r="I13" i="38" s="1"/>
  <c r="I17" i="32"/>
  <c r="I13" i="32" s="1"/>
  <c r="L8" i="32"/>
  <c r="J18" i="37"/>
  <c r="J8" i="37" s="1"/>
  <c r="I8" i="37"/>
  <c r="L8" i="23"/>
  <c r="I17" i="23"/>
  <c r="I13" i="23" s="1"/>
  <c r="I17" i="24"/>
  <c r="I13" i="24" s="1"/>
  <c r="L8" i="24"/>
  <c r="I17" i="27"/>
  <c r="I13" i="27" s="1"/>
  <c r="L8" i="27"/>
  <c r="L8" i="30"/>
  <c r="I17" i="30"/>
  <c r="I13" i="30" s="1"/>
  <c r="I17" i="36"/>
  <c r="I13" i="36" s="1"/>
  <c r="L8" i="36"/>
  <c r="I17" i="42"/>
  <c r="I13" i="42" s="1"/>
  <c r="L8" i="42"/>
  <c r="G17" i="18"/>
  <c r="G17" i="41"/>
  <c r="G17" i="34"/>
  <c r="G17" i="32"/>
  <c r="G17" i="26"/>
  <c r="G17" i="27"/>
  <c r="G17" i="38"/>
  <c r="G17" i="33"/>
  <c r="G17" i="42"/>
  <c r="G17" i="43"/>
  <c r="G17" i="29"/>
  <c r="G17" i="36"/>
  <c r="L8" i="43"/>
  <c r="G17" i="39"/>
  <c r="G5" i="37"/>
  <c r="K13" i="43"/>
  <c r="R16" i="23"/>
  <c r="Q16" i="23"/>
  <c r="B12" i="23"/>
  <c r="B18" i="23" s="1"/>
  <c r="N8" i="41"/>
  <c r="I13" i="41"/>
  <c r="G17" i="21"/>
  <c r="G17" i="14"/>
  <c r="N3" i="14"/>
  <c r="E14" i="32" l="1"/>
  <c r="N5" i="32" s="1"/>
  <c r="R5" i="32" s="1"/>
  <c r="N8" i="15"/>
  <c r="R8" i="15" s="1"/>
  <c r="N8" i="26"/>
  <c r="R8" i="26" s="1"/>
  <c r="N8" i="43"/>
  <c r="R8" i="43" s="1"/>
  <c r="N8" i="38"/>
  <c r="R8" i="38" s="1"/>
  <c r="N8" i="31"/>
  <c r="R8" i="31" s="1"/>
  <c r="N8" i="21"/>
  <c r="R8" i="21" s="1"/>
  <c r="N8" i="11"/>
  <c r="R8" i="11" s="1"/>
  <c r="N8" i="18"/>
  <c r="R8" i="18" s="1"/>
  <c r="N8" i="24"/>
  <c r="R8" i="24" s="1"/>
  <c r="N8" i="42"/>
  <c r="R8" i="42" s="1"/>
  <c r="N8" i="36"/>
  <c r="R8" i="36" s="1"/>
  <c r="N8" i="23"/>
  <c r="R8" i="23" s="1"/>
  <c r="N8" i="39"/>
  <c r="R8" i="39" s="1"/>
  <c r="N8" i="28"/>
  <c r="R8" i="28" s="1"/>
  <c r="N8" i="27"/>
  <c r="R8" i="27" s="1"/>
  <c r="N8" i="16"/>
  <c r="R8" i="16" s="1"/>
  <c r="N8" i="40"/>
  <c r="R8" i="40" s="1"/>
  <c r="N8" i="22"/>
  <c r="R8" i="22" s="1"/>
  <c r="N8" i="17"/>
  <c r="R8" i="17" s="1"/>
  <c r="N8" i="32"/>
  <c r="R8" i="32" s="1"/>
  <c r="N8" i="33"/>
  <c r="R8" i="33" s="1"/>
  <c r="N8" i="30"/>
  <c r="R8" i="30" s="1"/>
  <c r="N8" i="29"/>
  <c r="R8" i="29" s="1"/>
  <c r="N8" i="34"/>
  <c r="N8" i="19"/>
  <c r="R8" i="19" s="1"/>
  <c r="G12" i="21"/>
  <c r="G12" i="34"/>
  <c r="G12" i="14"/>
  <c r="G12" i="39"/>
  <c r="G12" i="32"/>
  <c r="G12" i="28"/>
  <c r="G12" i="36"/>
  <c r="G12" i="41"/>
  <c r="G12" i="22"/>
  <c r="G12" i="16"/>
  <c r="G12" i="29"/>
  <c r="G12" i="18"/>
  <c r="G12" i="43"/>
  <c r="G12" i="42"/>
  <c r="G12" i="11"/>
  <c r="G12" i="40"/>
  <c r="G12" i="33"/>
  <c r="G12" i="24"/>
  <c r="G12" i="23"/>
  <c r="G12" i="27"/>
  <c r="G12" i="30"/>
  <c r="G12" i="38"/>
  <c r="G12" i="26"/>
  <c r="G12" i="31"/>
  <c r="R3" i="32"/>
  <c r="R3" i="42"/>
  <c r="R3" i="36"/>
  <c r="R3" i="34"/>
  <c r="R3" i="29"/>
  <c r="R3" i="33"/>
  <c r="R3" i="15"/>
  <c r="R3" i="38"/>
  <c r="R3" i="26"/>
  <c r="R3" i="43"/>
  <c r="N3" i="37"/>
  <c r="E14" i="31"/>
  <c r="N5" i="31" s="1"/>
  <c r="Q5" i="31" s="1"/>
  <c r="L13" i="29"/>
  <c r="L13" i="18"/>
  <c r="E14" i="22"/>
  <c r="N5" i="22" s="1"/>
  <c r="R5" i="22" s="1"/>
  <c r="E14" i="21"/>
  <c r="N5" i="21" s="1"/>
  <c r="R5" i="21" s="1"/>
  <c r="E14" i="11"/>
  <c r="L13" i="34"/>
  <c r="E14" i="26"/>
  <c r="N5" i="26" s="1"/>
  <c r="Q5" i="26" s="1"/>
  <c r="L13" i="16"/>
  <c r="L13" i="19"/>
  <c r="E14" i="33"/>
  <c r="N5" i="33" s="1"/>
  <c r="Q5" i="33" s="1"/>
  <c r="E14" i="34"/>
  <c r="N5" i="34" s="1"/>
  <c r="Q5" i="34" s="1"/>
  <c r="L13" i="21"/>
  <c r="E14" i="16"/>
  <c r="N5" i="16" s="1"/>
  <c r="Q5" i="16" s="1"/>
  <c r="L13" i="22"/>
  <c r="E14" i="18"/>
  <c r="N5" i="18" s="1"/>
  <c r="L13" i="33"/>
  <c r="E14" i="19"/>
  <c r="L13" i="31"/>
  <c r="R11" i="43"/>
  <c r="R3" i="18"/>
  <c r="R3" i="23"/>
  <c r="E14" i="29"/>
  <c r="N5" i="29" s="1"/>
  <c r="Q5" i="29" s="1"/>
  <c r="R3" i="17"/>
  <c r="E14" i="17"/>
  <c r="N5" i="17" s="1"/>
  <c r="Q5" i="17" s="1"/>
  <c r="L5" i="37"/>
  <c r="J17" i="37"/>
  <c r="J13" i="37" s="1"/>
  <c r="L13" i="26"/>
  <c r="E14" i="15"/>
  <c r="K18" i="43"/>
  <c r="L13" i="11"/>
  <c r="N4" i="20"/>
  <c r="G12" i="17"/>
  <c r="R3" i="21"/>
  <c r="R3" i="22"/>
  <c r="R3" i="40"/>
  <c r="R3" i="27"/>
  <c r="R3" i="30"/>
  <c r="R3" i="41"/>
  <c r="R3" i="14"/>
  <c r="R3" i="16"/>
  <c r="R3" i="24"/>
  <c r="R3" i="31"/>
  <c r="R3" i="28"/>
  <c r="L5" i="20"/>
  <c r="N5" i="20" s="1"/>
  <c r="Q14" i="20"/>
  <c r="R14" i="20"/>
  <c r="L13" i="15"/>
  <c r="L13" i="17"/>
  <c r="R8" i="41"/>
  <c r="E14" i="42"/>
  <c r="N5" i="42" s="1"/>
  <c r="Q5" i="42" s="1"/>
  <c r="L13" i="42"/>
  <c r="E14" i="23"/>
  <c r="N5" i="23" s="1"/>
  <c r="R5" i="23" s="1"/>
  <c r="L13" i="23"/>
  <c r="E14" i="39"/>
  <c r="N5" i="39" s="1"/>
  <c r="L13" i="39"/>
  <c r="E14" i="36"/>
  <c r="N5" i="36" s="1"/>
  <c r="Q5" i="36" s="1"/>
  <c r="L13" i="36"/>
  <c r="E14" i="28"/>
  <c r="N5" i="28" s="1"/>
  <c r="R5" i="28" s="1"/>
  <c r="L13" i="28"/>
  <c r="L13" i="30"/>
  <c r="E14" i="30"/>
  <c r="N5" i="30" s="1"/>
  <c r="R5" i="30" s="1"/>
  <c r="L8" i="37"/>
  <c r="I17" i="37"/>
  <c r="I13" i="37" s="1"/>
  <c r="L13" i="40"/>
  <c r="E14" i="40"/>
  <c r="N5" i="40" s="1"/>
  <c r="Q5" i="40" s="1"/>
  <c r="L13" i="27"/>
  <c r="E14" i="27"/>
  <c r="N5" i="27" s="1"/>
  <c r="R5" i="27" s="1"/>
  <c r="L13" i="32"/>
  <c r="L13" i="38"/>
  <c r="E14" i="38"/>
  <c r="N5" i="38" s="1"/>
  <c r="Q5" i="38" s="1"/>
  <c r="L13" i="24"/>
  <c r="E14" i="24"/>
  <c r="N5" i="24" s="1"/>
  <c r="Q5" i="24" s="1"/>
  <c r="G17" i="37"/>
  <c r="E14" i="43"/>
  <c r="N5" i="43" s="1"/>
  <c r="R5" i="43" s="1"/>
  <c r="L13" i="43"/>
  <c r="E14" i="41"/>
  <c r="N5" i="41" s="1"/>
  <c r="R5" i="41" s="1"/>
  <c r="L13" i="41"/>
  <c r="Q5" i="32" l="1"/>
  <c r="E17" i="32" s="1"/>
  <c r="E12" i="32" s="1"/>
  <c r="R5" i="26"/>
  <c r="Q5" i="22"/>
  <c r="E17" i="22" s="1"/>
  <c r="L17" i="22" s="1"/>
  <c r="R17" i="22" s="1"/>
  <c r="R5" i="38"/>
  <c r="R5" i="42"/>
  <c r="Q5" i="28"/>
  <c r="E17" i="28" s="1"/>
  <c r="E12" i="28" s="1"/>
  <c r="R5" i="29"/>
  <c r="Q5" i="30"/>
  <c r="E17" i="30" s="1"/>
  <c r="E12" i="30" s="1"/>
  <c r="Q5" i="23"/>
  <c r="E17" i="23" s="1"/>
  <c r="E12" i="23" s="1"/>
  <c r="R5" i="17"/>
  <c r="R5" i="31"/>
  <c r="R5" i="33"/>
  <c r="R5" i="24"/>
  <c r="R5" i="36"/>
  <c r="Q5" i="41"/>
  <c r="E17" i="41" s="1"/>
  <c r="E12" i="41" s="1"/>
  <c r="Q5" i="27"/>
  <c r="E17" i="27" s="1"/>
  <c r="E15" i="27" s="1"/>
  <c r="R5" i="34"/>
  <c r="R5" i="16"/>
  <c r="R5" i="40"/>
  <c r="Q5" i="21"/>
  <c r="E17" i="21" s="1"/>
  <c r="L17" i="21" s="1"/>
  <c r="Q17" i="21" s="1"/>
  <c r="Q5" i="43"/>
  <c r="E17" i="43" s="1"/>
  <c r="E12" i="43" s="1"/>
  <c r="Q5" i="39"/>
  <c r="E17" i="39" s="1"/>
  <c r="L17" i="39" s="1"/>
  <c r="Q17" i="39" s="1"/>
  <c r="R5" i="39"/>
  <c r="G18" i="43"/>
  <c r="G18" i="42"/>
  <c r="G18" i="41"/>
  <c r="G18" i="40"/>
  <c r="G18" i="16"/>
  <c r="G18" i="39"/>
  <c r="G18" i="38"/>
  <c r="G18" i="36"/>
  <c r="G18" i="34"/>
  <c r="G18" i="33"/>
  <c r="G18" i="18"/>
  <c r="G18" i="32"/>
  <c r="G18" i="31"/>
  <c r="G18" i="30"/>
  <c r="G18" i="29"/>
  <c r="G18" i="28"/>
  <c r="G18" i="27"/>
  <c r="G18" i="26"/>
  <c r="G18" i="14"/>
  <c r="G18" i="24"/>
  <c r="G18" i="23"/>
  <c r="G18" i="22"/>
  <c r="G18" i="21"/>
  <c r="G18" i="11"/>
  <c r="R8" i="34"/>
  <c r="E17" i="16"/>
  <c r="L17" i="16" s="1"/>
  <c r="Q17" i="16" s="1"/>
  <c r="E17" i="24"/>
  <c r="E12" i="24" s="1"/>
  <c r="E17" i="33"/>
  <c r="E12" i="33" s="1"/>
  <c r="E17" i="38"/>
  <c r="E12" i="38" s="1"/>
  <c r="E17" i="34"/>
  <c r="E12" i="34" s="1"/>
  <c r="E17" i="31"/>
  <c r="E12" i="31" s="1"/>
  <c r="E17" i="29"/>
  <c r="E15" i="29" s="1"/>
  <c r="E17" i="42"/>
  <c r="E12" i="42" s="1"/>
  <c r="E17" i="26"/>
  <c r="E12" i="26" s="1"/>
  <c r="E17" i="40"/>
  <c r="E12" i="40" s="1"/>
  <c r="E17" i="36"/>
  <c r="E12" i="36" s="1"/>
  <c r="E17" i="17"/>
  <c r="E12" i="17" s="1"/>
  <c r="N8" i="37"/>
  <c r="R8" i="37" s="1"/>
  <c r="G12" i="37"/>
  <c r="R3" i="37"/>
  <c r="L14" i="33"/>
  <c r="L14" i="22"/>
  <c r="L14" i="34"/>
  <c r="L14" i="26"/>
  <c r="L14" i="11"/>
  <c r="L14" i="21"/>
  <c r="L14" i="31"/>
  <c r="L14" i="16"/>
  <c r="L14" i="19"/>
  <c r="L14" i="18"/>
  <c r="L14" i="15"/>
  <c r="L14" i="17"/>
  <c r="G18" i="17"/>
  <c r="L14" i="29"/>
  <c r="R4" i="20"/>
  <c r="Q5" i="20"/>
  <c r="L3" i="20"/>
  <c r="G17" i="20"/>
  <c r="R5" i="20"/>
  <c r="L14" i="39"/>
  <c r="L14" i="32"/>
  <c r="L14" i="27"/>
  <c r="L14" i="42"/>
  <c r="L14" i="38"/>
  <c r="L14" i="40"/>
  <c r="L14" i="36"/>
  <c r="L14" i="28"/>
  <c r="L13" i="37"/>
  <c r="E14" i="37"/>
  <c r="N5" i="37" s="1"/>
  <c r="Q5" i="37" s="1"/>
  <c r="L14" i="30"/>
  <c r="L14" i="24"/>
  <c r="L14" i="23"/>
  <c r="L14" i="43"/>
  <c r="L14" i="41"/>
  <c r="E15" i="39" l="1"/>
  <c r="M13" i="39" s="1"/>
  <c r="R17" i="39"/>
  <c r="E12" i="39"/>
  <c r="E18" i="39" s="1"/>
  <c r="R5" i="37"/>
  <c r="L12" i="43"/>
  <c r="R12" i="43" s="1"/>
  <c r="L12" i="42"/>
  <c r="R12" i="42" s="1"/>
  <c r="L12" i="41"/>
  <c r="R12" i="41" s="1"/>
  <c r="L12" i="40"/>
  <c r="Q12" i="40" s="1"/>
  <c r="E18" i="38"/>
  <c r="G18" i="37"/>
  <c r="L12" i="36"/>
  <c r="R12" i="36" s="1"/>
  <c r="L12" i="34"/>
  <c r="Q12" i="34" s="1"/>
  <c r="E18" i="33"/>
  <c r="E18" i="32"/>
  <c r="E18" i="31"/>
  <c r="E18" i="30"/>
  <c r="E18" i="28"/>
  <c r="L12" i="26"/>
  <c r="Q12" i="26" s="1"/>
  <c r="E18" i="24"/>
  <c r="L12" i="23"/>
  <c r="R12" i="23" s="1"/>
  <c r="E18" i="17"/>
  <c r="Q14" i="40"/>
  <c r="R14" i="38"/>
  <c r="R14" i="21"/>
  <c r="Q14" i="27"/>
  <c r="R14" i="26"/>
  <c r="R14" i="32"/>
  <c r="R14" i="17"/>
  <c r="Q14" i="34"/>
  <c r="R14" i="31"/>
  <c r="Q14" i="39"/>
  <c r="R14" i="15"/>
  <c r="R14" i="22"/>
  <c r="Q14" i="18"/>
  <c r="R14" i="33"/>
  <c r="R14" i="19"/>
  <c r="R14" i="36"/>
  <c r="Q14" i="16"/>
  <c r="Q14" i="43"/>
  <c r="Q14" i="42"/>
  <c r="Q14" i="11"/>
  <c r="E12" i="27"/>
  <c r="E15" i="23"/>
  <c r="L17" i="27"/>
  <c r="R17" i="27" s="1"/>
  <c r="E15" i="28"/>
  <c r="E18" i="42"/>
  <c r="L17" i="42"/>
  <c r="Q17" i="42" s="1"/>
  <c r="E18" i="26"/>
  <c r="L12" i="38"/>
  <c r="R12" i="38" s="1"/>
  <c r="L17" i="30"/>
  <c r="Q17" i="30" s="1"/>
  <c r="E15" i="38"/>
  <c r="E15" i="41"/>
  <c r="E15" i="30"/>
  <c r="L17" i="41"/>
  <c r="R17" i="41" s="1"/>
  <c r="R17" i="21"/>
  <c r="L17" i="34"/>
  <c r="Q17" i="34" s="1"/>
  <c r="L12" i="33"/>
  <c r="Q12" i="33" s="1"/>
  <c r="E15" i="36"/>
  <c r="E15" i="33"/>
  <c r="E15" i="40"/>
  <c r="E18" i="41"/>
  <c r="L12" i="30"/>
  <c r="R12" i="30" s="1"/>
  <c r="E18" i="40"/>
  <c r="L17" i="38"/>
  <c r="R17" i="38" s="1"/>
  <c r="L17" i="40"/>
  <c r="R17" i="40" s="1"/>
  <c r="L17" i="33"/>
  <c r="Q17" i="33" s="1"/>
  <c r="L12" i="24"/>
  <c r="R12" i="24" s="1"/>
  <c r="E15" i="32"/>
  <c r="L12" i="32"/>
  <c r="R12" i="32" s="1"/>
  <c r="E18" i="43"/>
  <c r="L12" i="28"/>
  <c r="R12" i="28" s="1"/>
  <c r="E15" i="42"/>
  <c r="E18" i="23"/>
  <c r="E12" i="22"/>
  <c r="E15" i="21"/>
  <c r="E18" i="36"/>
  <c r="L17" i="23"/>
  <c r="R17" i="23" s="1"/>
  <c r="E15" i="17"/>
  <c r="E15" i="43"/>
  <c r="E12" i="21"/>
  <c r="E18" i="34"/>
  <c r="E15" i="31"/>
  <c r="E15" i="26"/>
  <c r="Q17" i="22"/>
  <c r="L17" i="26"/>
  <c r="Q17" i="26" s="1"/>
  <c r="L17" i="36"/>
  <c r="Q17" i="36" s="1"/>
  <c r="E12" i="29"/>
  <c r="L12" i="31"/>
  <c r="Q12" i="31" s="1"/>
  <c r="L17" i="31"/>
  <c r="R17" i="31" s="1"/>
  <c r="R17" i="16"/>
  <c r="L17" i="29"/>
  <c r="R17" i="29" s="1"/>
  <c r="E15" i="22"/>
  <c r="E17" i="37"/>
  <c r="E12" i="37" s="1"/>
  <c r="L17" i="17"/>
  <c r="R17" i="17" s="1"/>
  <c r="E15" i="16"/>
  <c r="E12" i="16"/>
  <c r="E15" i="24"/>
  <c r="L17" i="43"/>
  <c r="R17" i="43" s="1"/>
  <c r="E17" i="20"/>
  <c r="L17" i="20" s="1"/>
  <c r="L17" i="24"/>
  <c r="R17" i="24" s="1"/>
  <c r="E15" i="34"/>
  <c r="L17" i="32"/>
  <c r="R17" i="32" s="1"/>
  <c r="L12" i="17"/>
  <c r="Q12" i="17" s="1"/>
  <c r="L17" i="28"/>
  <c r="Q17" i="28" s="1"/>
  <c r="Q14" i="33"/>
  <c r="Q14" i="22"/>
  <c r="R14" i="34"/>
  <c r="Q14" i="31"/>
  <c r="Q14" i="21"/>
  <c r="R14" i="11"/>
  <c r="Q14" i="26"/>
  <c r="Q14" i="19"/>
  <c r="R14" i="16"/>
  <c r="M13" i="29"/>
  <c r="Q14" i="15"/>
  <c r="R14" i="18"/>
  <c r="Q14" i="17"/>
  <c r="L15" i="29"/>
  <c r="Q15" i="29" s="1"/>
  <c r="R14" i="29"/>
  <c r="Q14" i="29"/>
  <c r="N3" i="20"/>
  <c r="G12" i="20"/>
  <c r="R14" i="39"/>
  <c r="R14" i="40"/>
  <c r="Q14" i="32"/>
  <c r="R14" i="27"/>
  <c r="R14" i="42"/>
  <c r="Q14" i="38"/>
  <c r="M13" i="27"/>
  <c r="Q14" i="36"/>
  <c r="L14" i="37"/>
  <c r="L15" i="27"/>
  <c r="Q15" i="27" s="1"/>
  <c r="Q14" i="28"/>
  <c r="R14" i="28"/>
  <c r="R14" i="23"/>
  <c r="Q14" i="23"/>
  <c r="Q14" i="30"/>
  <c r="R14" i="30"/>
  <c r="R14" i="24"/>
  <c r="Q14" i="24"/>
  <c r="R14" i="43"/>
  <c r="Q14" i="41"/>
  <c r="R14" i="41"/>
  <c r="L12" i="39" l="1"/>
  <c r="R12" i="39" s="1"/>
  <c r="L15" i="39"/>
  <c r="R15" i="39" s="1"/>
  <c r="Q12" i="42"/>
  <c r="Q12" i="43"/>
  <c r="Q12" i="41"/>
  <c r="R12" i="40"/>
  <c r="L12" i="16"/>
  <c r="R12" i="16" s="1"/>
  <c r="Q12" i="36"/>
  <c r="E18" i="37"/>
  <c r="R12" i="34"/>
  <c r="L12" i="29"/>
  <c r="R12" i="29" s="1"/>
  <c r="R12" i="26"/>
  <c r="E18" i="27"/>
  <c r="Q12" i="23"/>
  <c r="E18" i="22"/>
  <c r="L12" i="21"/>
  <c r="R12" i="21" s="1"/>
  <c r="M13" i="24"/>
  <c r="M13" i="22"/>
  <c r="M13" i="31"/>
  <c r="M13" i="34"/>
  <c r="M13" i="21"/>
  <c r="L15" i="28"/>
  <c r="R15" i="28" s="1"/>
  <c r="L15" i="30"/>
  <c r="R15" i="30" s="1"/>
  <c r="L15" i="23"/>
  <c r="Q15" i="23" s="1"/>
  <c r="Q14" i="37"/>
  <c r="M13" i="42"/>
  <c r="L15" i="41"/>
  <c r="R15" i="41" s="1"/>
  <c r="L15" i="38"/>
  <c r="R15" i="38" s="1"/>
  <c r="M13" i="40"/>
  <c r="M13" i="16"/>
  <c r="L15" i="43"/>
  <c r="Q15" i="43" s="1"/>
  <c r="M13" i="33"/>
  <c r="M13" i="17"/>
  <c r="M13" i="32"/>
  <c r="L15" i="36"/>
  <c r="R15" i="36" s="1"/>
  <c r="L15" i="26"/>
  <c r="R15" i="26" s="1"/>
  <c r="L12" i="27"/>
  <c r="Q12" i="27" s="1"/>
  <c r="M13" i="38"/>
  <c r="L15" i="42"/>
  <c r="R15" i="42" s="1"/>
  <c r="M13" i="41"/>
  <c r="Q17" i="41"/>
  <c r="M13" i="23"/>
  <c r="Q12" i="32"/>
  <c r="M13" i="28"/>
  <c r="R17" i="30"/>
  <c r="L15" i="40"/>
  <c r="Q15" i="40" s="1"/>
  <c r="L15" i="24"/>
  <c r="R15" i="24" s="1"/>
  <c r="R17" i="42"/>
  <c r="Q12" i="38"/>
  <c r="Q17" i="27"/>
  <c r="E18" i="29"/>
  <c r="Q17" i="38"/>
  <c r="L15" i="21"/>
  <c r="Q15" i="21" s="1"/>
  <c r="R17" i="33"/>
  <c r="M13" i="36"/>
  <c r="E18" i="21"/>
  <c r="E12" i="20"/>
  <c r="M13" i="43"/>
  <c r="L15" i="32"/>
  <c r="Q15" i="32" s="1"/>
  <c r="L15" i="17"/>
  <c r="R15" i="17" s="1"/>
  <c r="R17" i="34"/>
  <c r="Q12" i="28"/>
  <c r="M13" i="26"/>
  <c r="Q17" i="40"/>
  <c r="L12" i="37"/>
  <c r="Q12" i="37" s="1"/>
  <c r="Q12" i="30"/>
  <c r="E15" i="37"/>
  <c r="M13" i="30"/>
  <c r="L17" i="37"/>
  <c r="Q17" i="37" s="1"/>
  <c r="L15" i="16"/>
  <c r="R15" i="16" s="1"/>
  <c r="R17" i="36"/>
  <c r="R12" i="33"/>
  <c r="L15" i="33"/>
  <c r="Q15" i="33" s="1"/>
  <c r="R12" i="17"/>
  <c r="Q17" i="32"/>
  <c r="L15" i="22"/>
  <c r="R15" i="22" s="1"/>
  <c r="Q12" i="24"/>
  <c r="L15" i="31"/>
  <c r="R15" i="31" s="1"/>
  <c r="Q17" i="23"/>
  <c r="L15" i="34"/>
  <c r="Q15" i="34" s="1"/>
  <c r="E18" i="16"/>
  <c r="Q17" i="24"/>
  <c r="Q17" i="29"/>
  <c r="L12" i="22"/>
  <c r="Q12" i="22" s="1"/>
  <c r="Q17" i="17"/>
  <c r="E15" i="20"/>
  <c r="R17" i="28"/>
  <c r="R17" i="26"/>
  <c r="Q17" i="43"/>
  <c r="Q17" i="31"/>
  <c r="R12" i="31"/>
  <c r="Q13" i="29"/>
  <c r="R13" i="29"/>
  <c r="R15" i="29"/>
  <c r="Q13" i="27"/>
  <c r="G18" i="20"/>
  <c r="R3" i="20"/>
  <c r="R17" i="20"/>
  <c r="Q17" i="20"/>
  <c r="R14" i="37"/>
  <c r="R13" i="27"/>
  <c r="R15" i="27"/>
  <c r="R13" i="39"/>
  <c r="Q13" i="39"/>
  <c r="Q12" i="39" l="1"/>
  <c r="Q15" i="39"/>
  <c r="R13" i="43"/>
  <c r="Q13" i="42"/>
  <c r="R13" i="41"/>
  <c r="R13" i="40"/>
  <c r="Q12" i="16"/>
  <c r="R13" i="16"/>
  <c r="Q13" i="38"/>
  <c r="R13" i="36"/>
  <c r="R13" i="34"/>
  <c r="R13" i="33"/>
  <c r="R13" i="31"/>
  <c r="Q13" i="30"/>
  <c r="Q12" i="29"/>
  <c r="R13" i="28"/>
  <c r="Q13" i="26"/>
  <c r="Q13" i="24"/>
  <c r="R13" i="23"/>
  <c r="R13" i="22"/>
  <c r="Q12" i="21"/>
  <c r="R13" i="21"/>
  <c r="R13" i="17"/>
  <c r="L12" i="20"/>
  <c r="R12" i="20" s="1"/>
  <c r="Q13" i="22"/>
  <c r="Q15" i="38"/>
  <c r="Q13" i="16"/>
  <c r="Q13" i="31"/>
  <c r="Q15" i="28"/>
  <c r="Q13" i="40"/>
  <c r="R15" i="23"/>
  <c r="Q15" i="30"/>
  <c r="Q13" i="33"/>
  <c r="Q13" i="34"/>
  <c r="R15" i="43"/>
  <c r="Q15" i="26"/>
  <c r="R13" i="42"/>
  <c r="R13" i="24"/>
  <c r="Q15" i="41"/>
  <c r="R12" i="27"/>
  <c r="M13" i="20"/>
  <c r="M13" i="37"/>
  <c r="Q15" i="36"/>
  <c r="Q13" i="17"/>
  <c r="Q13" i="32"/>
  <c r="R13" i="32"/>
  <c r="Q13" i="21"/>
  <c r="R13" i="38"/>
  <c r="Q15" i="42"/>
  <c r="Q13" i="28"/>
  <c r="R15" i="21"/>
  <c r="R15" i="40"/>
  <c r="Q13" i="41"/>
  <c r="Q13" i="23"/>
  <c r="Q13" i="36"/>
  <c r="E18" i="20"/>
  <c r="Q13" i="43"/>
  <c r="R12" i="37"/>
  <c r="Q15" i="24"/>
  <c r="R15" i="32"/>
  <c r="R13" i="26"/>
  <c r="L15" i="37"/>
  <c r="R15" i="37" s="1"/>
  <c r="R17" i="37"/>
  <c r="R13" i="30"/>
  <c r="R15" i="33"/>
  <c r="Q15" i="17"/>
  <c r="Q15" i="31"/>
  <c r="Q15" i="16"/>
  <c r="Q15" i="22"/>
  <c r="R12" i="22"/>
  <c r="R15" i="34"/>
  <c r="L15" i="20"/>
  <c r="R15" i="20" s="1"/>
  <c r="L2" i="14"/>
  <c r="P2" i="14" s="1"/>
  <c r="Q13" i="37" l="1"/>
  <c r="Q12" i="20"/>
  <c r="R13" i="20"/>
  <c r="R13" i="37"/>
  <c r="Q13" i="20"/>
  <c r="Q15" i="37"/>
  <c r="Q15" i="20"/>
  <c r="N2" i="14"/>
  <c r="L3" i="11"/>
  <c r="C12" i="11"/>
  <c r="C18" i="11" l="1"/>
  <c r="R2" i="14"/>
  <c r="N3" i="11"/>
  <c r="R3" i="11" l="1"/>
  <c r="L5" i="15"/>
  <c r="N5" i="15" s="1"/>
  <c r="L4" i="15" l="1"/>
  <c r="G17" i="15"/>
  <c r="N4" i="15" l="1"/>
  <c r="G12" i="15"/>
  <c r="G18" i="15" l="1"/>
  <c r="R4" i="15"/>
  <c r="H12" i="11" l="1"/>
  <c r="H18" i="11" s="1"/>
  <c r="L5" i="11"/>
  <c r="N5" i="11" s="1"/>
  <c r="Q5" i="11" l="1"/>
  <c r="R5" i="11"/>
  <c r="E17" i="11" l="1"/>
  <c r="L17" i="11" s="1"/>
  <c r="R17" i="11" l="1"/>
  <c r="Q17" i="11"/>
  <c r="E15" i="11"/>
  <c r="E12" i="11"/>
  <c r="E18" i="11" l="1"/>
  <c r="M13" i="11"/>
  <c r="L12" i="11"/>
  <c r="L15" i="11"/>
  <c r="J8" i="14"/>
  <c r="I8" i="14"/>
  <c r="I17" i="14" l="1"/>
  <c r="J17" i="14"/>
  <c r="J13" i="14" s="1"/>
  <c r="Q13" i="11"/>
  <c r="R13" i="11"/>
  <c r="R15" i="11"/>
  <c r="Q15" i="11"/>
  <c r="R12" i="11"/>
  <c r="Q12" i="11"/>
  <c r="L8" i="14"/>
  <c r="N8" i="14" l="1"/>
  <c r="I13" i="14"/>
  <c r="R8" i="14" l="1"/>
  <c r="E14" i="14"/>
  <c r="N5" i="14" s="1"/>
  <c r="L13" i="14"/>
  <c r="Q5" i="14" l="1"/>
  <c r="E17" i="14" s="1"/>
  <c r="E15" i="14" s="1"/>
  <c r="R5" i="14"/>
  <c r="L14" i="14"/>
  <c r="E12" i="14" l="1"/>
  <c r="L17" i="14"/>
  <c r="R14" i="14"/>
  <c r="Q14" i="14"/>
  <c r="L15" i="14"/>
  <c r="Q15" i="14" s="1"/>
  <c r="M13" i="14"/>
  <c r="R17" i="14" l="1"/>
  <c r="Q17" i="14"/>
  <c r="L12" i="14"/>
  <c r="E18" i="14"/>
  <c r="R15" i="14"/>
  <c r="Q13" i="14"/>
  <c r="R13" i="14"/>
  <c r="F3" i="19"/>
  <c r="R12" i="14" l="1"/>
  <c r="Q12" i="14"/>
  <c r="G3" i="19"/>
  <c r="F17" i="19"/>
  <c r="F12" i="19" s="1"/>
  <c r="F18" i="19" l="1"/>
  <c r="G5" i="19"/>
  <c r="L3" i="19"/>
  <c r="G17" i="19" l="1"/>
  <c r="L5" i="19"/>
  <c r="N5" i="19" s="1"/>
  <c r="N3" i="19"/>
  <c r="G12" i="19" l="1"/>
  <c r="Q5" i="19"/>
  <c r="R5" i="19"/>
  <c r="R3" i="19"/>
  <c r="G18" i="19" l="1"/>
  <c r="E17" i="19"/>
  <c r="E12" i="19" s="1"/>
  <c r="L12" i="19" l="1"/>
  <c r="Q12" i="19" s="1"/>
  <c r="L17" i="19"/>
  <c r="Q17" i="19" s="1"/>
  <c r="E15" i="19"/>
  <c r="E18" i="19"/>
  <c r="R12" i="19" l="1"/>
  <c r="L15" i="19"/>
  <c r="R15" i="19" s="1"/>
  <c r="M13" i="19"/>
  <c r="R17" i="19"/>
  <c r="Q5" i="18"/>
  <c r="R5" i="18"/>
  <c r="R13" i="19" l="1"/>
  <c r="Q15" i="19"/>
  <c r="Q13" i="19"/>
  <c r="E17" i="18"/>
  <c r="E15" i="18" s="1"/>
  <c r="L17" i="18" l="1"/>
  <c r="R17" i="18" s="1"/>
  <c r="E12" i="18"/>
  <c r="L15" i="18"/>
  <c r="M13" i="18"/>
  <c r="E18" i="18" l="1"/>
  <c r="L12" i="18"/>
  <c r="Q12" i="18" s="1"/>
  <c r="Q17" i="18"/>
  <c r="Q13" i="18"/>
  <c r="R13" i="18"/>
  <c r="Q15" i="18"/>
  <c r="R15" i="18"/>
  <c r="R12" i="18" l="1"/>
  <c r="R5" i="15" l="1"/>
  <c r="Q5" i="15"/>
  <c r="E17" i="15" l="1"/>
  <c r="E12" i="15" l="1"/>
  <c r="E15" i="15"/>
  <c r="L17" i="15"/>
  <c r="R17" i="15" l="1"/>
  <c r="Q17" i="15"/>
  <c r="L15" i="15"/>
  <c r="M13" i="15"/>
  <c r="L12" i="15"/>
  <c r="E18" i="15"/>
  <c r="Q12" i="15" l="1"/>
  <c r="R12" i="15"/>
  <c r="R13" i="15"/>
  <c r="Q13" i="15"/>
  <c r="Q15" i="15"/>
  <c r="R15" i="15"/>
  <c r="F32" i="49" l="1"/>
  <c r="O2" i="43" a="1"/>
  <c r="O2" i="43" l="1"/>
  <c r="P2" i="43" s="1"/>
  <c r="N2" i="43" s="1"/>
  <c r="R2" i="4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<sst xmlns="http://schemas.openxmlformats.org/spreadsheetml/2006/main" count="1164" uniqueCount="108">
  <si>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</si>
  <si>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</si>
  <si>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</si>
  <si>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</si>
  <si>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</si>
  <si>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</si>
  <si>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</si>
  <si>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</si>
  <si>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</si>
  <si>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</si>
  <si>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</si>
  <si>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</si>
  <si>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</si>
  <si>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</si>
  <si>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</si>
  <si>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</si>
  <si>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</si>
  <si>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</si>
  <si>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</si>
  <si>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</si>
  <si>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</si>
  <si>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</si>
  <si>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</si>
  <si>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</si>
  <si>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</si>
  <si>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</si>
  <si>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</si>
  <si>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</si>
  <si>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</si>
  <si>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</si>
  <si>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</si>
  <si>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</si>
  <si>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</si>
  <si>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</si>
  <si>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</si>
  <si>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</si>
  <si>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</si>
  <si>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</si>
  <si>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</si>
  <si>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</si>
  <si>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</si>
  <si>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</si>
  <si>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</si>
  <si>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</si>
  <si>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</si>
  <si>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</si>
  <si>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</si>
  <si>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</si>
  <si>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</si>
  <si>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</si>
  <si>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</si>
  <si>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</si>
  <si>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</si>
  <si>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</si>
  <si>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</si>
  <si>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</si>
  <si>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</si>
  <si>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</si>
  <si>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</si>
  <si>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</si>
  <si>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</si>
  <si>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</si>
  <si>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</si>
  <si>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</si>
  <si>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</si>
  <si>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</si>
  <si>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</si>
  <si>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</si>
  <si>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</si>
  <si>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</si>
  <si>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</si>
  <si>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</si>
  <si>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</si>
  <si>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</si>
  <si>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</si>
  <si>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</si>
  <si>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</si>
  <si>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</si>
  <si>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Forming yield for data inconsistent countries</t>
  </si>
  <si>
    <t>Balancing flows</t>
  </si>
  <si>
    <t>Production</t>
  </si>
  <si>
    <t>Use</t>
  </si>
  <si>
    <t>Stock</t>
  </si>
  <si>
    <t>Country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</si>
  <si>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</si>
  <si>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</si>
  <si>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</si>
  <si>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</si>
  <si>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</si>
  <si>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</si>
  <si>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</si>
  <si>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</si>
  <si>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</si>
  <si>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</si>
  <si>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</si>
  <si>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</si>
  <si>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</si>
  <si>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</si>
  <si>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</si>
  <si>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</si>
  <si>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</si>
  <si>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</si>
  <si>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</si>
  <si>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</si>
  <si>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</si>
  <si>
    <t>Collected process scrap</t>
  </si>
  <si>
    <t>Collected EoL scrap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</si>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</sst>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0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3" borderId="0" xfId="0" applyNumberFormat="1" applyFill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48</v>
          </cell>
          <cell r="D2">
            <v>6</v>
          </cell>
          <cell r="E2">
            <v>6</v>
          </cell>
          <cell r="F2">
            <v>9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30</v>
          </cell>
          <cell r="D3">
            <v>0</v>
          </cell>
          <cell r="E3">
            <v>39</v>
          </cell>
          <cell r="F3">
            <v>5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57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63</v>
          </cell>
          <cell r="D5">
            <v>41</v>
          </cell>
          <cell r="E5">
            <v>1</v>
          </cell>
          <cell r="F5">
            <v>31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541</v>
          </cell>
          <cell r="D6">
            <v>599</v>
          </cell>
          <cell r="E6">
            <v>1100</v>
          </cell>
          <cell r="F6">
            <v>1200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5</v>
          </cell>
          <cell r="E8">
            <v>44</v>
          </cell>
          <cell r="F8">
            <v>79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3</v>
          </cell>
          <cell r="D16">
            <v>2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45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6</v>
          </cell>
          <cell r="D19">
            <v>0</v>
          </cell>
          <cell r="E19">
            <v>21</v>
          </cell>
          <cell r="F19">
            <v>40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43</v>
          </cell>
          <cell r="D26">
            <v>15</v>
          </cell>
          <cell r="E26">
            <v>73</v>
          </cell>
          <cell r="F26">
            <v>12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266</v>
          </cell>
          <cell r="D27">
            <v>1100</v>
          </cell>
          <cell r="E27">
            <v>1100</v>
          </cell>
          <cell r="F27">
            <v>1600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279</v>
          </cell>
          <cell r="D29">
            <v>456</v>
          </cell>
          <cell r="E29">
            <v>502</v>
          </cell>
          <cell r="F29">
            <v>372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24</v>
          </cell>
          <cell r="D31">
            <v>14</v>
          </cell>
          <cell r="E31">
            <v>8</v>
          </cell>
          <cell r="F31">
            <v>15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234</v>
          </cell>
          <cell r="D2">
            <v>737</v>
          </cell>
          <cell r="E2">
            <v>1200</v>
          </cell>
          <cell r="F2">
            <v>1700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76</v>
          </cell>
          <cell r="D3">
            <v>13</v>
          </cell>
          <cell r="E3">
            <v>2</v>
          </cell>
          <cell r="F3">
            <v>26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133</v>
          </cell>
          <cell r="D4">
            <v>122</v>
          </cell>
          <cell r="E4">
            <v>221</v>
          </cell>
          <cell r="F4">
            <v>48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1500</v>
          </cell>
          <cell r="D5">
            <v>2000</v>
          </cell>
          <cell r="E5">
            <v>1900</v>
          </cell>
          <cell r="F5">
            <v>1700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611</v>
          </cell>
          <cell r="D7">
            <v>596</v>
          </cell>
          <cell r="E7">
            <v>359</v>
          </cell>
          <cell r="F7">
            <v>609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94</v>
          </cell>
          <cell r="D8">
            <v>148</v>
          </cell>
          <cell r="E8">
            <v>69</v>
          </cell>
          <cell r="F8">
            <v>78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15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91</v>
          </cell>
          <cell r="D16">
            <v>95</v>
          </cell>
          <cell r="E16">
            <v>167</v>
          </cell>
          <cell r="F16">
            <v>161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756</v>
          </cell>
          <cell r="D17">
            <v>747</v>
          </cell>
          <cell r="E17">
            <v>484</v>
          </cell>
          <cell r="F17">
            <v>458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148</v>
          </cell>
          <cell r="D18">
            <v>609</v>
          </cell>
          <cell r="E18">
            <v>857</v>
          </cell>
          <cell r="F18">
            <v>417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311</v>
          </cell>
          <cell r="D19">
            <v>365</v>
          </cell>
          <cell r="E19">
            <v>136</v>
          </cell>
          <cell r="F19">
            <v>158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4</v>
          </cell>
          <cell r="E23">
            <v>23</v>
          </cell>
          <cell r="F23">
            <v>43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43</v>
          </cell>
          <cell r="D24">
            <v>0</v>
          </cell>
          <cell r="E24">
            <v>21</v>
          </cell>
          <cell r="F24">
            <v>38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32</v>
          </cell>
          <cell r="D25">
            <v>3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92</v>
          </cell>
          <cell r="D26">
            <v>40</v>
          </cell>
          <cell r="E26">
            <v>113</v>
          </cell>
          <cell r="F26">
            <v>84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38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492</v>
          </cell>
          <cell r="D28">
            <v>510</v>
          </cell>
          <cell r="E28">
            <v>554</v>
          </cell>
          <cell r="F28">
            <v>580</v>
          </cell>
          <cell r="G28">
            <v>502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15</v>
          </cell>
          <cell r="D29">
            <v>35</v>
          </cell>
          <cell r="E29">
            <v>38</v>
          </cell>
          <cell r="F29">
            <v>71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>
            <v>569.5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83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C3" sqref="C3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88</v>
      </c>
    </row>
    <row r="2" spans="1:4">
      <c r="A2" t="s">
        <v>57</v>
      </c>
      <c r="B2" s="2">
        <v>0.99370000000000003</v>
      </c>
      <c r="C2" t="s">
        <v>94</v>
      </c>
    </row>
    <row r="3" spans="1:4">
      <c r="A3" t="s">
        <v>53</v>
      </c>
      <c r="B3" s="2">
        <v>0.99370000000000003</v>
      </c>
      <c r="C3" t="s">
        <v>94</v>
      </c>
    </row>
    <row r="4" spans="1:4">
      <c r="A4" t="s">
        <v>103</v>
      </c>
      <c r="B4" s="2">
        <v>0.89</v>
      </c>
      <c r="C4" t="s">
        <v>92</v>
      </c>
    </row>
    <row r="5" spans="1:4">
      <c r="A5" t="s">
        <v>52</v>
      </c>
      <c r="B5" s="2">
        <v>0.93799999999999994</v>
      </c>
      <c r="C5" t="s">
        <v>94</v>
      </c>
    </row>
    <row r="6" spans="1:4">
      <c r="A6" t="s">
        <v>54</v>
      </c>
      <c r="B6" s="2">
        <v>0.93799999999999994</v>
      </c>
      <c r="C6" t="s">
        <v>96</v>
      </c>
    </row>
    <row r="7" spans="1:4">
      <c r="A7" t="s">
        <v>55</v>
      </c>
      <c r="B7" s="2">
        <v>0.95699999999999996</v>
      </c>
      <c r="C7" t="s">
        <v>94</v>
      </c>
      <c r="D7" s="2"/>
    </row>
    <row r="8" spans="1:4">
      <c r="A8" t="s">
        <v>87</v>
      </c>
      <c r="B8" s="2">
        <v>0.97155049786628733</v>
      </c>
      <c r="C8" t="s">
        <v>89</v>
      </c>
    </row>
    <row r="9" spans="1:4">
      <c r="A9" t="s">
        <v>78</v>
      </c>
      <c r="B9" s="2">
        <v>0.95</v>
      </c>
      <c r="C9" t="s">
        <v>89</v>
      </c>
    </row>
    <row r="10" spans="1:4">
      <c r="A10" t="s">
        <v>97</v>
      </c>
      <c r="B10" s="2">
        <v>0.94</v>
      </c>
      <c r="C10" t="s">
        <v>92</v>
      </c>
      <c r="D10" s="2"/>
    </row>
    <row r="11" spans="1:4">
      <c r="A11" t="s">
        <v>98</v>
      </c>
      <c r="B11" s="2">
        <v>0.86</v>
      </c>
      <c r="C11" t="s">
        <v>92</v>
      </c>
      <c r="D11" s="2"/>
    </row>
    <row r="12" spans="1:4">
      <c r="A12" t="s">
        <v>100</v>
      </c>
      <c r="B12" s="45">
        <v>0.65</v>
      </c>
      <c r="C12" t="s">
        <v>101</v>
      </c>
    </row>
    <row r="13" spans="1:4">
      <c r="A13" t="s">
        <v>90</v>
      </c>
      <c r="B13" s="2">
        <v>0.94499999999999995</v>
      </c>
      <c r="C13" t="s">
        <v>91</v>
      </c>
      <c r="D13" s="46"/>
    </row>
    <row r="14" spans="1:4">
      <c r="A14" t="s">
        <v>99</v>
      </c>
      <c r="B14" s="2">
        <v>0.92</v>
      </c>
      <c r="C14" t="s">
        <v>91</v>
      </c>
    </row>
    <row r="15" spans="1:4">
      <c r="A15" t="s">
        <v>95</v>
      </c>
      <c r="B15" s="2">
        <v>0.98</v>
      </c>
      <c r="C15" t="s">
        <v>93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baseColWidth="10" defaultRowHeight="16"/>
  <cols>
    <col min="2" max="2" width="13.5703125" bestFit="1" customWidth="1"/>
  </cols>
  <sheetData>
    <row r="1" spans="1:27">
      <c r="A1">
        <v>21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102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348450.76220342546</v>
      </c>
      <c r="D3" s="1">
        <f>VLOOKUP($B3, '[1]Pro of iron ore'!$B$2:$X$31, $A$1, FALSE)*(1-VLOOKUP($B3, '[1]Foundry share'!$B$2:$X$31, $A$1, FALSE))</f>
        <v>217409.44992179537</v>
      </c>
      <c r="E3" s="47">
        <f>IF(VLOOKUP($B3, '[1]Iron content'!$B$2:$X$31, $A$1, FALSE)=0, parameters!$B$12, VLOOKUP($B3, '[1]Iron content'!$B$2:$X$31, $A$1, FALSE))</f>
        <v>0.62393162393162394</v>
      </c>
      <c r="F3" s="1">
        <f>VLOOKUP($B3, '[1]Exp of usable iron ore'!$B$2:$X$31, $A$1, FALSE)*$E3</f>
        <v>9163.05982905983</v>
      </c>
      <c r="G3" s="1">
        <f>VLOOKUP($B3, '[1]Pro of pig iron'!$B$2:$X$31, $A$1, FALSE)*(1-VLOOKUP($B3, '[1]Foundry share'!$B$2:$X$31, $A$1, FALSE))</f>
        <v>802622.08130169869</v>
      </c>
      <c r="H3" s="1">
        <f>VLOOKUP($B3, '[1]Exp of pig iron'!$B$2:$X$31, $A$1, FALSE)</f>
        <v>1</v>
      </c>
      <c r="I3" s="1">
        <f>VLOOKUP($B3, '[1]Imp of pig iron'!$B$2:$X$31, $A$1, FALSE)</f>
        <v>1000</v>
      </c>
      <c r="J3" s="1">
        <f>VLOOKUP($B3, '[1]Pro of DRI'!$B$2:$X$31, $A$1, FALSE)*(1-VLOOKUP($B3, '[1]Foundry share'!$B$2:$X$31, $A$1, FALSE))</f>
        <v>0</v>
      </c>
      <c r="K3" s="1">
        <f>VLOOKUP($B3, '[1]Exp of DRI'!$B$2:$X$31, $A$1, FALSE)</f>
        <v>0</v>
      </c>
      <c r="L3" s="1">
        <f>VLOOKUP($B3, '[1]Imp of DRI'!$B$2:$X$31, $A$1, FALSE)</f>
        <v>1365</v>
      </c>
      <c r="M3" s="1">
        <f>VLOOKUP($B3, '[1]Exp of scrap'!$B$2:$X$31, $A$1, FALSE)</f>
        <v>3</v>
      </c>
      <c r="N3" s="1">
        <f>VLOOKUP($B3, '[1]Imp of scrap'!$B$2:$X$31, $A$1, FALSE)</f>
        <v>184</v>
      </c>
      <c r="O3" s="1">
        <f>VLOOKUP($B3, '[1]Pro of BOF steel'!$B$2:$X$31, $A$1, FALSE)</f>
        <v>892891</v>
      </c>
      <c r="P3" s="1">
        <f>VLOOKUP($B3, '[1]Pro of OHF steel'!$B$2:$X$31, $A$1, FALSE)</f>
        <v>0</v>
      </c>
      <c r="Q3" s="1">
        <f>VLOOKUP($B3, '[1]Pro of EAF steel'!$B$2:$X$31, $A$1, FALSE)</f>
        <v>102528</v>
      </c>
      <c r="R3" s="1">
        <f>VLOOKUP($B3, '[1]Exp of ingots and semis'!$B$2:$X$31, $A$1, FALSE)</f>
        <v>38</v>
      </c>
      <c r="S3" s="1">
        <f>VLOOKUP($B3, '[1]Imp of ingots and semis'!$B$2:$X$31, $A$1, FALSE)</f>
        <v>3105</v>
      </c>
      <c r="T3" s="1">
        <f>VLOOKUP($B3, '[1]Pro of hr long'!$B$2:$X$31, $A$1, FALSE)+VLOOKUP($B3, '[1]Pro of seamless tubes'!$B$2:$X$31, $A$1, FALSE)</f>
        <v>584568</v>
      </c>
      <c r="U3" s="1">
        <f>VLOOKUP($B3, '[1]Exp of long'!$B$2:$X$31, $A$1, FALSE)</f>
        <v>15362</v>
      </c>
      <c r="V3" s="1">
        <f>VLOOKUP($B3, '[1]Imp of long'!$B$2:$X$31, $A$1, FALSE)</f>
        <v>1617</v>
      </c>
      <c r="W3" s="1">
        <f>VLOOKUP($B3, '[1]Pro of hr flat'!$B$2:$X$31, $A$1, FALSE)*parameters!$B$8</f>
        <v>356540.573257468</v>
      </c>
      <c r="X3" s="1">
        <f>VLOOKUP($B3, '[1]Exp of flat'!$B$2:$X$31, $A$1, FALSE)</f>
        <v>38444</v>
      </c>
      <c r="Y3" s="1">
        <f>VLOOKUP($B3, '[1]Imp of flat'!$B$2:$X$31, $A$1, FALSE)</f>
        <v>10324</v>
      </c>
      <c r="Z3" s="1">
        <f>VLOOKUP($B3, '[1]Indirect exp'!$B$2:$X$31, $A$1, FALSE)</f>
        <v>95787</v>
      </c>
      <c r="AA3" s="1">
        <f>VLOOKUP($B3, '[1]Indirect imp'!$B$2:$X$31, $A$1, FALSE)</f>
        <v>9404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176195.47373522201</v>
      </c>
      <c r="D4" s="1">
        <f>VLOOKUP($B4, '[1]Pro of iron ore'!$B$2:$X$31, $A$1, FALSE)*(1-VLOOKUP($B4, '[1]Foundry share'!$B$2:$X$31, $A$1, FALSE))</f>
        <v>109334.70091719349</v>
      </c>
      <c r="E4" s="47">
        <f>IF(VLOOKUP($B4, '[1]Iron content'!$B$2:$X$31, $A$1, FALSE)=0, parameters!$B$12, VLOOKUP($B4, '[1]Iron content'!$B$2:$X$31, $A$1, FALSE))</f>
        <v>0.62053070149518352</v>
      </c>
      <c r="F4" s="1">
        <f>VLOOKUP($B4, '[1]Exp of usable iron ore'!$B$2:$X$31, $A$1, FALSE)*$E4</f>
        <v>19367.383724366173</v>
      </c>
      <c r="G4" s="1">
        <f>VLOOKUP($B4, '[1]Pro of pig iron'!$B$2:$X$31, $A$1, FALSE)*(1-VLOOKUP($B4, '[1]Foundry share'!$B$2:$X$31, $A$1, FALSE))</f>
        <v>64347.8101683762</v>
      </c>
      <c r="H4" s="1">
        <f>VLOOKUP($B4, '[1]Exp of pig iron'!$B$2:$X$31, $A$1, FALSE)</f>
        <v>277</v>
      </c>
      <c r="I4" s="1">
        <f>VLOOKUP($B4, '[1]Imp of pig iron'!$B$2:$X$31, $A$1, FALSE)</f>
        <v>20</v>
      </c>
      <c r="J4" s="1">
        <f>VLOOKUP($B4, '[1]Pro of DRI'!$B$2:$X$31, $A$1, FALSE)*(1-VLOOKUP($B4, '[1]Foundry share'!$B$2:$X$31, $A$1, FALSE))</f>
        <v>29277.403245604037</v>
      </c>
      <c r="K4" s="1">
        <f>VLOOKUP($B4, '[1]Exp of DRI'!$B$2:$X$31, $A$1, FALSE)</f>
        <v>861</v>
      </c>
      <c r="L4" s="1">
        <f>VLOOKUP($B4, '[1]Imp of DRI'!$B$2:$X$31, $A$1, FALSE)</f>
        <v>58</v>
      </c>
      <c r="M4" s="1">
        <f>VLOOKUP($B4, '[1]Exp of scrap'!$B$2:$X$31, $A$1, FALSE)</f>
        <v>0</v>
      </c>
      <c r="N4" s="1">
        <f>VLOOKUP($B4, '[1]Imp of scrap'!$B$2:$X$31, $A$1, FALSE)</f>
        <v>7053</v>
      </c>
      <c r="O4" s="1">
        <f>VLOOKUP($B4, '[1]Pro of BOF steel'!$B$2:$X$31, $A$1, FALSE)</f>
        <v>48680</v>
      </c>
      <c r="P4" s="1">
        <f>VLOOKUP($B4, '[1]Pro of OHF steel'!$B$2:$X$31, $A$1, FALSE)</f>
        <v>0</v>
      </c>
      <c r="Q4" s="1">
        <f>VLOOKUP($B4, '[1]Pro of EAF steel'!$B$2:$X$31, $A$1, FALSE)</f>
        <v>62678</v>
      </c>
      <c r="R4" s="1">
        <f>VLOOKUP($B4, '[1]Exp of ingots and semis'!$B$2:$X$31, $A$1, FALSE)</f>
        <v>2717</v>
      </c>
      <c r="S4" s="1">
        <f>VLOOKUP($B4, '[1]Imp of ingots and semis'!$B$2:$X$31, $A$1, FALSE)</f>
        <v>377</v>
      </c>
      <c r="T4" s="1">
        <f>VLOOKUP($B4, '[1]Pro of hr long'!$B$2:$X$31, $A$1, FALSE)+VLOOKUP($B4, '[1]Pro of seamless tubes'!$B$2:$X$31, $A$1, FALSE)</f>
        <v>55082</v>
      </c>
      <c r="U4" s="1">
        <f>VLOOKUP($B4, '[1]Exp of long'!$B$2:$X$31, $A$1, FALSE)</f>
        <v>1540</v>
      </c>
      <c r="V4" s="1">
        <f>VLOOKUP($B4, '[1]Imp of long'!$B$2:$X$31, $A$1, FALSE)</f>
        <v>1112</v>
      </c>
      <c r="W4" s="1">
        <f>VLOOKUP($B4, '[1]Pro of hr flat'!$B$2:$X$31, $A$1, FALSE)*parameters!$B$8</f>
        <v>48169.473684210527</v>
      </c>
      <c r="X4" s="1">
        <f>VLOOKUP($B4, '[1]Exp of flat'!$B$2:$X$31, $A$1, FALSE)</f>
        <v>7541</v>
      </c>
      <c r="Y4" s="1">
        <f>VLOOKUP($B4, '[1]Imp of flat'!$B$2:$X$31, $A$1, FALSE)</f>
        <v>6470</v>
      </c>
      <c r="Z4" s="1">
        <f>VLOOKUP($B4, '[1]Indirect exp'!$B$2:$X$31, $A$1, FALSE)</f>
        <v>5561</v>
      </c>
      <c r="AA4" s="1">
        <f>VLOOKUP($B4, '[1]Indirect imp'!$B$2:$X$31, $A$1, FALSE)</f>
        <v>5444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</v>
      </c>
      <c r="D5" s="1">
        <f>VLOOKUP($B5, '[1]Pro of iron ore'!$B$2:$X$31, $A$1, FALSE)*(1-VLOOKUP($B5, '[1]Foundry share'!$B$2:$X$31, $A$1, FALSE))</f>
        <v>0</v>
      </c>
      <c r="E5" s="47">
        <f>IF(VLOOKUP($B5, '[1]Iron content'!$B$2:$X$31, $A$1, FALSE)=0, parameters!$B$12, VLOOKUP($B5, '[1]Iron content'!$B$2:$X$31, $A$1, FALSE))</f>
        <v>0.65</v>
      </c>
      <c r="F5" s="1">
        <f>VLOOKUP($B5, '[1]Exp of usable iron ore'!$B$2:$X$31, $A$1, FALSE)*$E5</f>
        <v>0</v>
      </c>
      <c r="G5" s="1">
        <f>VLOOKUP($B5, '[1]Pro of pig iron'!$B$2:$X$31, $A$1, FALSE)*(1-VLOOKUP($B5, '[1]Foundry share'!$B$2:$X$31, $A$1, FALSE))</f>
        <v>74907</v>
      </c>
      <c r="H5" s="1">
        <f>VLOOKUP($B5, '[1]Exp of pig iron'!$B$2:$X$31, $A$1, FALSE)</f>
        <v>44</v>
      </c>
      <c r="I5" s="1">
        <f>VLOOKUP($B5, '[1]Imp of pig iron'!$B$2:$X$31, $A$1, FALSE)</f>
        <v>164</v>
      </c>
      <c r="J5" s="1">
        <f>VLOOKUP($B5, '[1]Pro of DRI'!$B$2:$X$31, $A$1, FALSE)*(1-VLOOKUP($B5, '[1]Foundry share'!$B$2:$X$31, $A$1, FALSE))</f>
        <v>0</v>
      </c>
      <c r="K5" s="1">
        <f>VLOOKUP($B5, '[1]Exp of DRI'!$B$2:$X$31, $A$1, FALSE)</f>
        <v>0</v>
      </c>
      <c r="L5" s="1">
        <f>VLOOKUP($B5, '[1]Imp of DRI'!$B$2:$X$31, $A$1, FALSE)</f>
        <v>19</v>
      </c>
      <c r="M5" s="1">
        <f>VLOOKUP($B5, '[1]Exp of scrap'!$B$2:$X$31, $A$1, FALSE)</f>
        <v>7657</v>
      </c>
      <c r="N5" s="1">
        <f>VLOOKUP($B5, '[1]Imp of scrap'!$B$2:$X$31, $A$1, FALSE)</f>
        <v>107</v>
      </c>
      <c r="O5" s="1">
        <f>VLOOKUP($B5, '[1]Pro of BOF steel'!$B$2:$X$31, $A$1, FALSE)</f>
        <v>74983</v>
      </c>
      <c r="P5" s="1">
        <f>VLOOKUP($B5, '[1]Pro of OHF steel'!$B$2:$X$31, $A$1, FALSE)</f>
        <v>0</v>
      </c>
      <c r="Q5" s="1">
        <f>VLOOKUP($B5, '[1]Pro of EAF steel'!$B$2:$X$31, $A$1, FALSE)</f>
        <v>24301</v>
      </c>
      <c r="R5" s="1">
        <f>VLOOKUP($B5, '[1]Exp of ingots and semis'!$B$2:$X$31, $A$1, FALSE)</f>
        <v>3493</v>
      </c>
      <c r="S5" s="1">
        <f>VLOOKUP($B5, '[1]Imp of ingots and semis'!$B$2:$X$31, $A$1, FALSE)</f>
        <v>333</v>
      </c>
      <c r="T5" s="1">
        <f>VLOOKUP($B5, '[1]Pro of hr long'!$B$2:$X$31, $A$1, FALSE)+VLOOKUP($B5, '[1]Pro of seamless tubes'!$B$2:$X$31, $A$1, FALSE)</f>
        <v>29181</v>
      </c>
      <c r="U5" s="1">
        <f>VLOOKUP($B5, '[1]Exp of long'!$B$2:$X$31, $A$1, FALSE)</f>
        <v>4270</v>
      </c>
      <c r="V5" s="1">
        <f>VLOOKUP($B5, '[1]Imp of long'!$B$2:$X$31, $A$1, FALSE)</f>
        <v>1111</v>
      </c>
      <c r="W5" s="1">
        <f>VLOOKUP($B5, '[1]Pro of hr flat'!$B$2:$X$31, $A$1, FALSE)*parameters!$B$8</f>
        <v>57009.611664295873</v>
      </c>
      <c r="X5" s="1">
        <f>VLOOKUP($B5, '[1]Exp of flat'!$B$2:$X$31, $A$1, FALSE)</f>
        <v>23696</v>
      </c>
      <c r="Y5" s="1">
        <f>VLOOKUP($B5, '[1]Imp of flat'!$B$2:$X$31, $A$1, FALSE)</f>
        <v>4678</v>
      </c>
      <c r="Z5" s="1">
        <f>VLOOKUP($B5, '[1]Indirect exp'!$B$2:$X$31, $A$1, FALSE)</f>
        <v>21729</v>
      </c>
      <c r="AA5" s="1">
        <f>VLOOKUP($B5, '[1]Indirect imp'!$B$2:$X$31, $A$1, FALSE)</f>
        <v>7879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46900</v>
      </c>
      <c r="D6" s="1">
        <f>VLOOKUP($B6, '[1]Pro of iron ore'!$B$2:$X$31, $A$1, FALSE)*(1-VLOOKUP($B6, '[1]Foundry share'!$B$2:$X$31, $A$1, FALSE))</f>
        <v>29800</v>
      </c>
      <c r="E6" s="47">
        <f>IF(VLOOKUP($B6, '[1]Iron content'!$B$2:$X$31, $A$1, FALSE)=0, parameters!$B$12, VLOOKUP($B6, '[1]Iron content'!$B$2:$X$31, $A$1, FALSE))</f>
        <v>0.6353944562899787</v>
      </c>
      <c r="F6" s="1">
        <f>VLOOKUP($B6, '[1]Exp of usable iron ore'!$B$2:$X$31, $A$1, FALSE)*$E6</f>
        <v>7204.7377398720682</v>
      </c>
      <c r="G6" s="1">
        <f>VLOOKUP($B6, '[1]Pro of pig iron'!$B$2:$X$31, $A$1, FALSE)*(1-VLOOKUP($B6, '[1]Foundry share'!$B$2:$X$31, $A$1, FALSE))</f>
        <v>22301</v>
      </c>
      <c r="H6" s="1">
        <f>VLOOKUP($B6, '[1]Exp of pig iron'!$B$2:$X$31, $A$1, FALSE)</f>
        <v>11</v>
      </c>
      <c r="I6" s="1">
        <f>VLOOKUP($B6, '[1]Imp of pig iron'!$B$2:$X$31, $A$1, FALSE)</f>
        <v>5005</v>
      </c>
      <c r="J6" s="1">
        <f>VLOOKUP($B6, '[1]Pro of DRI'!$B$2:$X$31, $A$1, FALSE)*(1-VLOOKUP($B6, '[1]Foundry share'!$B$2:$X$31, $A$1, FALSE))</f>
        <v>3240</v>
      </c>
      <c r="K6" s="1">
        <f>VLOOKUP($B6, '[1]Exp of DRI'!$B$2:$X$31, $A$1, FALSE)</f>
        <v>647</v>
      </c>
      <c r="L6" s="1">
        <f>VLOOKUP($B6, '[1]Imp of DRI'!$B$2:$X$31, $A$1, FALSE)</f>
        <v>1762</v>
      </c>
      <c r="M6" s="1">
        <f>VLOOKUP($B6, '[1]Exp of scrap'!$B$2:$X$31, $A$1, FALSE)</f>
        <v>17685</v>
      </c>
      <c r="N6" s="1">
        <f>VLOOKUP($B6, '[1]Imp of scrap'!$B$2:$X$31, $A$1, FALSE)</f>
        <v>4268</v>
      </c>
      <c r="O6" s="1">
        <f>VLOOKUP($B6, '[1]Pro of BOF steel'!$B$2:$X$31, $A$1, FALSE)</f>
        <v>26590</v>
      </c>
      <c r="P6" s="1">
        <f>VLOOKUP($B6, '[1]Pro of OHF steel'!$B$2:$X$31, $A$1, FALSE)</f>
        <v>0</v>
      </c>
      <c r="Q6" s="1">
        <f>VLOOKUP($B6, '[1]Pro of EAF steel'!$B$2:$X$31, $A$1, FALSE)</f>
        <v>61171</v>
      </c>
      <c r="R6" s="1">
        <f>VLOOKUP($B6, '[1]Exp of ingots and semis'!$B$2:$X$31, $A$1, FALSE)</f>
        <v>76</v>
      </c>
      <c r="S6" s="1">
        <f>VLOOKUP($B6, '[1]Imp of ingots and semis'!$B$2:$X$31, $A$1, FALSE)</f>
        <v>7191</v>
      </c>
      <c r="T6" s="1">
        <f>VLOOKUP($B6, '[1]Pro of hr long'!$B$2:$X$31, $A$1, FALSE)+VLOOKUP($B6, '[1]Pro of seamless tubes'!$B$2:$X$31, $A$1, FALSE)</f>
        <v>27958</v>
      </c>
      <c r="U6" s="1">
        <f>VLOOKUP($B6, '[1]Exp of long'!$B$2:$X$31, $A$1, FALSE)</f>
        <v>1454</v>
      </c>
      <c r="V6" s="1">
        <f>VLOOKUP($B6, '[1]Imp of long'!$B$2:$X$31, $A$1, FALSE)</f>
        <v>4694</v>
      </c>
      <c r="W6" s="1">
        <f>VLOOKUP($B6, '[1]Pro of hr flat'!$B$2:$X$31, $A$1, FALSE)*parameters!$B$8</f>
        <v>57096.079658605973</v>
      </c>
      <c r="X6" s="1">
        <f>VLOOKUP($B6, '[1]Exp of flat'!$B$2:$X$31, $A$1, FALSE)</f>
        <v>4782</v>
      </c>
      <c r="Y6" s="1">
        <f>VLOOKUP($B6, '[1]Imp of flat'!$B$2:$X$31, $A$1, FALSE)</f>
        <v>9062</v>
      </c>
      <c r="Z6" s="1">
        <f>VLOOKUP($B6, '[1]Indirect exp'!$B$2:$X$31, $A$1, FALSE)</f>
        <v>20865</v>
      </c>
      <c r="AA6" s="1">
        <f>VLOOKUP($B6, '[1]Indirect imp'!$B$2:$X$31, $A$1, FALSE)</f>
        <v>49001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97531</v>
      </c>
      <c r="D7" s="1">
        <f>VLOOKUP($B7, '[1]Pro of iron ore'!$B$2:$X$31, $A$1, FALSE)*(1-VLOOKUP($B7, '[1]Foundry share'!$B$2:$X$31, $A$1, FALSE))</f>
        <v>64287</v>
      </c>
      <c r="E7" s="47">
        <f>IF(VLOOKUP($B7, '[1]Iron content'!$B$2:$X$31, $A$1, FALSE)=0, parameters!$B$12, VLOOKUP($B7, '[1]Iron content'!$B$2:$X$31, $A$1, FALSE))</f>
        <v>0.65914427207759585</v>
      </c>
      <c r="F7" s="1">
        <f>VLOOKUP($B7, '[1]Exp of usable iron ore'!$B$2:$X$31, $A$1, FALSE)*$E7</f>
        <v>14750.330520552439</v>
      </c>
      <c r="G7" s="1">
        <f>VLOOKUP($B7, '[1]Pro of pig iron'!$B$2:$X$31, $A$1, FALSE)*(1-VLOOKUP($B7, '[1]Foundry share'!$B$2:$X$31, $A$1, FALSE))</f>
        <v>51075</v>
      </c>
      <c r="H7" s="1">
        <f>VLOOKUP($B7, '[1]Exp of pig iron'!$B$2:$X$31, $A$1, FALSE)</f>
        <v>4253</v>
      </c>
      <c r="I7" s="1">
        <f>VLOOKUP($B7, '[1]Imp of pig iron'!$B$2:$X$31, $A$1, FALSE)</f>
        <v>0</v>
      </c>
      <c r="J7" s="1">
        <f>VLOOKUP($B7, '[1]Pro of DRI'!$B$2:$X$31, $A$1, FALSE)*(1-VLOOKUP($B7, '[1]Foundry share'!$B$2:$X$31, $A$1, FALSE))</f>
        <v>8030</v>
      </c>
      <c r="K7" s="1">
        <f>VLOOKUP($B7, '[1]Exp of DRI'!$B$2:$X$31, $A$1, FALSE)</f>
        <v>3933</v>
      </c>
      <c r="L7" s="1">
        <f>VLOOKUP($B7, '[1]Imp of DRI'!$B$2:$X$31, $A$1, FALSE)</f>
        <v>0</v>
      </c>
      <c r="M7" s="1">
        <f>VLOOKUP($B7, '[1]Exp of scrap'!$B$2:$X$31, $A$1, FALSE)</f>
        <v>3721</v>
      </c>
      <c r="N7" s="1">
        <f>VLOOKUP($B7, '[1]Imp of scrap'!$B$2:$X$31, $A$1, FALSE)</f>
        <v>1040</v>
      </c>
      <c r="O7" s="1">
        <f>VLOOKUP($B7, '[1]Pro of BOF steel'!$B$2:$X$31, $A$1, FALSE)</f>
        <v>46860</v>
      </c>
      <c r="P7" s="1">
        <f>VLOOKUP($B7, '[1]Pro of OHF steel'!$B$2:$X$31, $A$1, FALSE)</f>
        <v>1360</v>
      </c>
      <c r="Q7" s="1">
        <f>VLOOKUP($B7, '[1]Pro of EAF steel'!$B$2:$X$31, $A$1, FALSE)</f>
        <v>23500</v>
      </c>
      <c r="R7" s="1">
        <f>VLOOKUP($B7, '[1]Exp of ingots and semis'!$B$2:$X$31, $A$1, FALSE)</f>
        <v>15272</v>
      </c>
      <c r="S7" s="1">
        <f>VLOOKUP($B7, '[1]Imp of ingots and semis'!$B$2:$X$31, $A$1, FALSE)</f>
        <v>390</v>
      </c>
      <c r="T7" s="1">
        <f>VLOOKUP($B7, '[1]Pro of hr long'!$B$2:$X$31, $A$1, FALSE)+VLOOKUP($B7, '[1]Pro of seamless tubes'!$B$2:$X$31, $A$1, FALSE)</f>
        <v>22174</v>
      </c>
      <c r="U7" s="1">
        <f>VLOOKUP($B7, '[1]Exp of long'!$B$2:$X$31, $A$1, FALSE)</f>
        <v>4434</v>
      </c>
      <c r="V7" s="1">
        <f>VLOOKUP($B7, '[1]Imp of long'!$B$2:$X$31, $A$1, FALSE)</f>
        <v>1573</v>
      </c>
      <c r="W7" s="1">
        <f>VLOOKUP($B7, '[1]Pro of hr flat'!$B$2:$X$31, $A$1, FALSE)*parameters!$B$8</f>
        <v>26966.35561877667</v>
      </c>
      <c r="X7" s="1">
        <f>VLOOKUP($B7, '[1]Exp of flat'!$B$2:$X$31, $A$1, FALSE)</f>
        <v>7631</v>
      </c>
      <c r="Y7" s="1">
        <f>VLOOKUP($B7, '[1]Imp of flat'!$B$2:$X$31, $A$1, FALSE)</f>
        <v>3772</v>
      </c>
      <c r="Z7" s="1">
        <f>VLOOKUP($B7, '[1]Indirect exp'!$B$2:$X$31, $A$1, FALSE)</f>
        <v>2499</v>
      </c>
      <c r="AA7" s="1">
        <f>VLOOKUP($B7, '[1]Indirect imp'!$B$2:$X$31, $A$1, FALSE)</f>
        <v>8763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IF(VLOOKUP($B8, '[1]Iron content'!$B$2:$X$31, $A$1, FALSE)=0, parameters!$B$12, VLOOKUP($B8, '[1]Iron content'!$B$2:$X$31, $A$1, FALSE))</f>
        <v>0.65</v>
      </c>
      <c r="F8" s="1">
        <f>VLOOKUP($B8, '[1]Exp of usable iron ore'!$B$2:$X$31, $A$1, FALSE)*$E8</f>
        <v>0</v>
      </c>
      <c r="G8" s="1">
        <f>VLOOKUP($B8, '[1]Pro of pig iron'!$B$2:$X$31, $A$1, FALSE)*(1-VLOOKUP($B8, '[1]Foundry share'!$B$2:$X$31, $A$1, FALSE))</f>
        <v>47521</v>
      </c>
      <c r="H8" s="1">
        <f>VLOOKUP($B8, '[1]Exp of pig iron'!$B$2:$X$31, $A$1, FALSE)</f>
        <v>78</v>
      </c>
      <c r="I8" s="1">
        <f>VLOOKUP($B8, '[1]Imp of pig iron'!$B$2:$X$31, $A$1, FALSE)</f>
        <v>169</v>
      </c>
      <c r="J8" s="1">
        <f>VLOOKUP($B8, '[1]Pro of DRI'!$B$2:$X$31, $A$1, FALSE)*(1-VLOOKUP($B8, '[1]Foundry share'!$B$2:$X$31, $A$1, FALSE))</f>
        <v>0</v>
      </c>
      <c r="K8" s="1">
        <f>VLOOKUP($B8, '[1]Exp of DRI'!$B$2:$X$31, $A$1, FALSE)</f>
        <v>0</v>
      </c>
      <c r="L8" s="1">
        <f>VLOOKUP($B8, '[1]Imp of DRI'!$B$2:$X$31, $A$1, FALSE)</f>
        <v>406</v>
      </c>
      <c r="M8" s="1">
        <f>VLOOKUP($B8, '[1]Exp of scrap'!$B$2:$X$31, $A$1, FALSE)</f>
        <v>226</v>
      </c>
      <c r="N8" s="1">
        <f>VLOOKUP($B8, '[1]Imp of scrap'!$B$2:$X$31, $A$1, FALSE)</f>
        <v>6502</v>
      </c>
      <c r="O8" s="1">
        <f>VLOOKUP($B8, '[1]Pro of BOF steel'!$B$2:$X$31, $A$1, FALSE)</f>
        <v>48716</v>
      </c>
      <c r="P8" s="1">
        <f>VLOOKUP($B8, '[1]Pro of OHF steel'!$B$2:$X$31, $A$1, FALSE)</f>
        <v>0</v>
      </c>
      <c r="Q8" s="1">
        <f>VLOOKUP($B8, '[1]Pro of EAF steel'!$B$2:$X$31, $A$1, FALSE)</f>
        <v>22696</v>
      </c>
      <c r="R8" s="1">
        <f>VLOOKUP($B8, '[1]Exp of ingots and semis'!$B$2:$X$31, $A$1, FALSE)</f>
        <v>342</v>
      </c>
      <c r="S8" s="1">
        <f>VLOOKUP($B8, '[1]Imp of ingots and semis'!$B$2:$X$31, $A$1, FALSE)</f>
        <v>2233</v>
      </c>
      <c r="T8" s="1">
        <f>VLOOKUP($B8, '[1]Pro of hr long'!$B$2:$X$31, $A$1, FALSE)+VLOOKUP($B8, '[1]Pro of seamless tubes'!$B$2:$X$31, $A$1, FALSE)</f>
        <v>20408</v>
      </c>
      <c r="U8" s="1">
        <f>VLOOKUP($B8, '[1]Exp of long'!$B$2:$X$31, $A$1, FALSE)</f>
        <v>3695</v>
      </c>
      <c r="V8" s="1">
        <f>VLOOKUP($B8, '[1]Imp of long'!$B$2:$X$31, $A$1, FALSE)</f>
        <v>4070</v>
      </c>
      <c r="W8" s="1">
        <f>VLOOKUP($B8, '[1]Pro of hr flat'!$B$2:$X$31, $A$1, FALSE)*parameters!$B$8</f>
        <v>46369.190611664293</v>
      </c>
      <c r="X8" s="1">
        <f>VLOOKUP($B8, '[1]Exp of flat'!$B$2:$X$31, $A$1, FALSE)</f>
        <v>23999</v>
      </c>
      <c r="Y8" s="1">
        <f>VLOOKUP($B8, '[1]Imp of flat'!$B$2:$X$31, $A$1, FALSE)</f>
        <v>9318</v>
      </c>
      <c r="Z8" s="1">
        <f>VLOOKUP($B8, '[1]Indirect exp'!$B$2:$X$31, $A$1, FALSE)</f>
        <v>17938</v>
      </c>
      <c r="AA8" s="1">
        <f>VLOOKUP($B8, '[1]Indirect imp'!$B$2:$X$31, $A$1, FALSE)</f>
        <v>5190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0</v>
      </c>
      <c r="D9" s="1">
        <f>VLOOKUP($B9, '[1]Pro of iron ore'!$B$2:$X$31, $A$1, FALSE)*(1-VLOOKUP($B9, '[1]Foundry share'!$B$2:$X$31, $A$1, FALSE))</f>
        <v>0</v>
      </c>
      <c r="E9" s="47">
        <f>IF(VLOOKUP($B9, '[1]Iron content'!$B$2:$X$31, $A$1, FALSE)=0, parameters!$B$12, VLOOKUP($B9, '[1]Iron content'!$B$2:$X$31, $A$1, FALSE))</f>
        <v>0.65</v>
      </c>
      <c r="F9" s="1">
        <f>VLOOKUP($B9, '[1]Exp of usable iron ore'!$B$2:$X$31, $A$1, FALSE)*$E9</f>
        <v>280.15000000000003</v>
      </c>
      <c r="G9" s="1">
        <f>VLOOKUP($B9, '[1]Pro of pig iron'!$B$2:$X$31, $A$1, FALSE)*(1-VLOOKUP($B9, '[1]Foundry share'!$B$2:$X$31, $A$1, FALSE))</f>
        <v>25520</v>
      </c>
      <c r="H9" s="1">
        <f>VLOOKUP($B9, '[1]Exp of pig iron'!$B$2:$X$31, $A$1, FALSE)</f>
        <v>191</v>
      </c>
      <c r="I9" s="1">
        <f>VLOOKUP($B9, '[1]Imp of pig iron'!$B$2:$X$31, $A$1, FALSE)</f>
        <v>428</v>
      </c>
      <c r="J9" s="1">
        <f>VLOOKUP($B9, '[1]Pro of DRI'!$B$2:$X$31, $A$1, FALSE)*(1-VLOOKUP($B9, '[1]Foundry share'!$B$2:$X$31, $A$1, FALSE))</f>
        <v>470</v>
      </c>
      <c r="K9" s="1">
        <f>VLOOKUP($B9, '[1]Exp of DRI'!$B$2:$X$31, $A$1, FALSE)</f>
        <v>0</v>
      </c>
      <c r="L9" s="1">
        <f>VLOOKUP($B9, '[1]Imp of DRI'!$B$2:$X$31, $A$1, FALSE)</f>
        <v>767</v>
      </c>
      <c r="M9" s="1">
        <f>VLOOKUP($B9, '[1]Exp of scrap'!$B$2:$X$31, $A$1, FALSE)</f>
        <v>7940</v>
      </c>
      <c r="N9" s="1">
        <f>VLOOKUP($B9, '[1]Imp of scrap'!$B$2:$X$31, $A$1, FALSE)</f>
        <v>3990</v>
      </c>
      <c r="O9" s="1">
        <f>VLOOKUP($B9, '[1]Pro of BOF steel'!$B$2:$X$31, $A$1, FALSE)</f>
        <v>27722</v>
      </c>
      <c r="P9" s="1">
        <f>VLOOKUP($B9, '[1]Pro of OHF steel'!$B$2:$X$31, $A$1, FALSE)</f>
        <v>0</v>
      </c>
      <c r="Q9" s="1">
        <f>VLOOKUP($B9, '[1]Pro of EAF steel'!$B$2:$X$31, $A$1, FALSE)</f>
        <v>11905</v>
      </c>
      <c r="R9" s="1">
        <f>VLOOKUP($B9, '[1]Exp of ingots and semis'!$B$2:$X$31, $A$1, FALSE)</f>
        <v>1485</v>
      </c>
      <c r="S9" s="1">
        <f>VLOOKUP($B9, '[1]Imp of ingots and semis'!$B$2:$X$31, $A$1, FALSE)</f>
        <v>1017</v>
      </c>
      <c r="T9" s="1">
        <f>VLOOKUP($B9, '[1]Pro of hr long'!$B$2:$X$31, $A$1, FALSE)+VLOOKUP($B9, '[1]Pro of seamless tubes'!$B$2:$X$31, $A$1, FALSE)</f>
        <v>13033</v>
      </c>
      <c r="U9" s="1">
        <f>VLOOKUP($B9, '[1]Exp of long'!$B$2:$X$31, $A$1, FALSE)</f>
        <v>6397</v>
      </c>
      <c r="V9" s="1">
        <f>VLOOKUP($B9, '[1]Imp of long'!$B$2:$X$31, $A$1, FALSE)</f>
        <v>6492</v>
      </c>
      <c r="W9" s="1">
        <f>VLOOKUP($B9, '[1]Pro of hr flat'!$B$2:$X$31, $A$1, FALSE)*parameters!$B$8</f>
        <v>21716.096728307253</v>
      </c>
      <c r="X9" s="1">
        <f>VLOOKUP($B9, '[1]Exp of flat'!$B$2:$X$31, $A$1, FALSE)</f>
        <v>13738</v>
      </c>
      <c r="Y9" s="1">
        <f>VLOOKUP($B9, '[1]Imp of flat'!$B$2:$X$31, $A$1, FALSE)</f>
        <v>13161</v>
      </c>
      <c r="Z9" s="1">
        <f>VLOOKUP($B9, '[1]Indirect exp'!$B$2:$X$31, $A$1, FALSE)</f>
        <v>32899</v>
      </c>
      <c r="AA9" s="1">
        <f>VLOOKUP($B9, '[1]Indirect imp'!$B$2:$X$31, $A$1, FALSE)</f>
        <v>25675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16382</v>
      </c>
      <c r="D10" s="1">
        <f>VLOOKUP($B10, '[1]Pro of iron ore'!$B$2:$X$31, $A$1, FALSE)*(1-VLOOKUP($B10, '[1]Foundry share'!$B$2:$X$31, $A$1, FALSE))</f>
        <v>9110</v>
      </c>
      <c r="E10" s="47">
        <f>IF(VLOOKUP($B10, '[1]Iron content'!$B$2:$X$31, $A$1, FALSE)=0, parameters!$B$12, VLOOKUP($B10, '[1]Iron content'!$B$2:$X$31, $A$1, FALSE))</f>
        <v>0.55609815651324623</v>
      </c>
      <c r="F10" s="1">
        <f>VLOOKUP($B10, '[1]Exp of usable iron ore'!$B$2:$X$31, $A$1, FALSE)*$E10</f>
        <v>0</v>
      </c>
      <c r="G10" s="1">
        <f>VLOOKUP($B10, '[1]Pro of pig iron'!$B$2:$X$31, $A$1, FALSE)*(1-VLOOKUP($B10, '[1]Foundry share'!$B$2:$X$31, $A$1, FALSE))</f>
        <v>9869</v>
      </c>
      <c r="H10" s="1">
        <f>VLOOKUP($B10, '[1]Exp of pig iron'!$B$2:$X$31, $A$1, FALSE)</f>
        <v>2</v>
      </c>
      <c r="I10" s="1">
        <f>VLOOKUP($B10, '[1]Imp of pig iron'!$B$2:$X$31, $A$1, FALSE)</f>
        <v>1232</v>
      </c>
      <c r="J10" s="1">
        <f>VLOOKUP($B10, '[1]Pro of DRI'!$B$2:$X$31, $A$1, FALSE)*(1-VLOOKUP($B10, '[1]Foundry share'!$B$2:$X$31, $A$1, FALSE))</f>
        <v>0</v>
      </c>
      <c r="K10" s="1">
        <f>VLOOKUP($B10, '[1]Exp of DRI'!$B$2:$X$31, $A$1, FALSE)</f>
        <v>0</v>
      </c>
      <c r="L10" s="1">
        <f>VLOOKUP($B10, '[1]Imp of DRI'!$B$2:$X$31, $A$1, FALSE)</f>
        <v>398</v>
      </c>
      <c r="M10" s="1">
        <f>VLOOKUP($B10, '[1]Exp of scrap'!$B$2:$X$31, $A$1, FALSE)</f>
        <v>152</v>
      </c>
      <c r="N10" s="1">
        <f>VLOOKUP($B10, '[1]Imp of scrap'!$B$2:$X$31, $A$1, FALSE)</f>
        <v>18811</v>
      </c>
      <c r="O10" s="1">
        <f>VLOOKUP($B10, '[1]Pro of BOF steel'!$B$2:$X$31, $A$1, FALSE)</f>
        <v>10859</v>
      </c>
      <c r="P10" s="1">
        <f>VLOOKUP($B10, '[1]Pro of OHF steel'!$B$2:$X$31, $A$1, FALSE)</f>
        <v>0</v>
      </c>
      <c r="Q10" s="1">
        <f>VLOOKUP($B10, '[1]Pro of EAF steel'!$B$2:$X$31, $A$1, FALSE)</f>
        <v>22884</v>
      </c>
      <c r="R10" s="1">
        <f>VLOOKUP($B10, '[1]Exp of ingots and semis'!$B$2:$X$31, $A$1, FALSE)</f>
        <v>1336</v>
      </c>
      <c r="S10" s="1">
        <f>VLOOKUP($B10, '[1]Imp of ingots and semis'!$B$2:$X$31, $A$1, FALSE)</f>
        <v>3406</v>
      </c>
      <c r="T10" s="1">
        <f>VLOOKUP($B10, '[1]Pro of hr long'!$B$2:$X$31, $A$1, FALSE)+VLOOKUP($B10, '[1]Pro of seamless tubes'!$B$2:$X$31, $A$1, FALSE)</f>
        <v>20233</v>
      </c>
      <c r="U10" s="1">
        <f>VLOOKUP($B10, '[1]Exp of long'!$B$2:$X$31, $A$1, FALSE)</f>
        <v>10554</v>
      </c>
      <c r="V10" s="1">
        <f>VLOOKUP($B10, '[1]Imp of long'!$B$2:$X$31, $A$1, FALSE)</f>
        <v>1076</v>
      </c>
      <c r="W10" s="1">
        <f>VLOOKUP($B10, '[1]Pro of hr flat'!$B$2:$X$31, $A$1, FALSE)*parameters!$B$8</f>
        <v>13104.273115220483</v>
      </c>
      <c r="X10" s="1">
        <f>VLOOKUP($B10, '[1]Exp of flat'!$B$2:$X$31, $A$1, FALSE)</f>
        <v>5747</v>
      </c>
      <c r="Y10" s="1">
        <f>VLOOKUP($B10, '[1]Imp of flat'!$B$2:$X$31, $A$1, FALSE)</f>
        <v>7479</v>
      </c>
      <c r="Z10" s="1">
        <f>VLOOKUP($B10, '[1]Indirect exp'!$B$2:$X$31, $A$1, FALSE)</f>
        <v>8647</v>
      </c>
      <c r="AA10" s="1">
        <f>VLOOKUP($B10, '[1]Indirect imp'!$B$2:$X$31, $A$1, FALSE)</f>
        <v>3228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404900</v>
      </c>
      <c r="D11" s="1">
        <f>VLOOKUP($B11, '[1]Pro of iron ore'!$B$2:$X$31, $A$1, FALSE)*(1-VLOOKUP($B11, '[1]Foundry share'!$B$2:$X$31, $A$1, FALSE))</f>
        <v>258000</v>
      </c>
      <c r="E11" s="47">
        <f>IF(VLOOKUP($B11, '[1]Iron content'!$B$2:$X$31, $A$1, FALSE)=0, parameters!$B$12, VLOOKUP($B11, '[1]Iron content'!$B$2:$X$31, $A$1, FALSE))</f>
        <v>0.63719436897999504</v>
      </c>
      <c r="F11" s="1">
        <f>VLOOKUP($B11, '[1]Exp of usable iron ore'!$B$2:$X$31, $A$1, FALSE)*$E11</f>
        <v>216921.99061496666</v>
      </c>
      <c r="G11" s="1">
        <f>VLOOKUP($B11, '[1]Pro of pig iron'!$B$2:$X$31, $A$1, FALSE)*(1-VLOOKUP($B11, '[1]Foundry share'!$B$2:$X$31, $A$1, FALSE))</f>
        <v>26280</v>
      </c>
      <c r="H11" s="1">
        <f>VLOOKUP($B11, '[1]Exp of pig iron'!$B$2:$X$31, $A$1, FALSE)</f>
        <v>2865</v>
      </c>
      <c r="I11" s="1">
        <f>VLOOKUP($B11, '[1]Imp of pig iron'!$B$2:$X$31, $A$1, FALSE)</f>
        <v>0</v>
      </c>
      <c r="J11" s="1">
        <f>VLOOKUP($B11, '[1]Pro of DRI'!$B$2:$X$31, $A$1, FALSE)*(1-VLOOKUP($B11, '[1]Foundry share'!$B$2:$X$31, $A$1, FALSE))</f>
        <v>0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699</v>
      </c>
      <c r="N11" s="1">
        <f>VLOOKUP($B11, '[1]Imp of scrap'!$B$2:$X$31, $A$1, FALSE)</f>
        <v>174</v>
      </c>
      <c r="O11" s="1">
        <f>VLOOKUP($B11, '[1]Pro of BOF steel'!$B$2:$X$31, $A$1, FALSE)</f>
        <v>24764</v>
      </c>
      <c r="P11" s="1">
        <f>VLOOKUP($B11, '[1]Pro of OHF steel'!$B$2:$X$31, $A$1, FALSE)</f>
        <v>533</v>
      </c>
      <c r="Q11" s="1">
        <f>VLOOKUP($B11, '[1]Pro of EAF steel'!$B$2:$X$31, $A$1, FALSE)</f>
        <v>7272</v>
      </c>
      <c r="R11" s="1">
        <f>VLOOKUP($B11, '[1]Exp of ingots and semis'!$B$2:$X$31, $A$1, FALSE)</f>
        <v>8642</v>
      </c>
      <c r="S11" s="1">
        <f>VLOOKUP($B11, '[1]Imp of ingots and semis'!$B$2:$X$31, $A$1, FALSE)</f>
        <v>211</v>
      </c>
      <c r="T11" s="1">
        <f>VLOOKUP($B11, '[1]Pro of hr long'!$B$2:$X$31, $A$1, FALSE)+VLOOKUP($B11, '[1]Pro of seamless tubes'!$B$2:$X$31, $A$1, FALSE)</f>
        <v>10329</v>
      </c>
      <c r="U11" s="1">
        <f>VLOOKUP($B11, '[1]Exp of long'!$B$2:$X$31, $A$1, FALSE)</f>
        <v>1333</v>
      </c>
      <c r="V11" s="1">
        <f>VLOOKUP($B11, '[1]Imp of long'!$B$2:$X$31, $A$1, FALSE)</f>
        <v>599</v>
      </c>
      <c r="W11" s="1">
        <f>VLOOKUP($B11, '[1]Pro of hr flat'!$B$2:$X$31, $A$1, FALSE)*parameters!$B$8</f>
        <v>20378.271692745377</v>
      </c>
      <c r="X11" s="1">
        <f>VLOOKUP($B11, '[1]Exp of flat'!$B$2:$X$31, $A$1, FALSE)</f>
        <v>2188</v>
      </c>
      <c r="Y11" s="1">
        <f>VLOOKUP($B11, '[1]Imp of flat'!$B$2:$X$31, $A$1, FALSE)</f>
        <v>1353</v>
      </c>
      <c r="Z11" s="1">
        <f>VLOOKUP($B11, '[1]Indirect exp'!$B$2:$X$31, $A$1, FALSE)</f>
        <v>2360</v>
      </c>
      <c r="AA11" s="1">
        <f>VLOOKUP($B11, '[1]Indirect imp'!$B$2:$X$31, $A$1, FALSE)</f>
        <v>2717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29198.850855817131</v>
      </c>
      <c r="D12" s="1">
        <f>VLOOKUP($B12, '[1]Pro of iron ore'!$B$2:$X$31, $A$1, FALSE)*(1-VLOOKUP($B12, '[1]Foundry share'!$B$2:$X$31, $A$1, FALSE))</f>
        <v>19146.498158862349</v>
      </c>
      <c r="E12" s="47">
        <f>IF(VLOOKUP($B12, '[1]Iron content'!$B$2:$X$31, $A$1, FALSE)=0, parameters!$B$12, VLOOKUP($B12, '[1]Iron content'!$B$2:$X$31, $A$1, FALSE))</f>
        <v>0.6557277974193938</v>
      </c>
      <c r="F12" s="1">
        <f>VLOOKUP($B12, '[1]Exp of usable iron ore'!$B$2:$X$31, $A$1, FALSE)*$E12</f>
        <v>8394.6272625630791</v>
      </c>
      <c r="G12" s="1">
        <f>VLOOKUP($B12, '[1]Pro of pig iron'!$B$2:$X$31, $A$1, FALSE)*(1-VLOOKUP($B12, '[1]Foundry share'!$B$2:$X$31, $A$1, FALSE))</f>
        <v>2232.2875733604492</v>
      </c>
      <c r="H12" s="1">
        <f>VLOOKUP($B12, '[1]Exp of pig iron'!$B$2:$X$31, $A$1, FALSE)</f>
        <v>1</v>
      </c>
      <c r="I12" s="1">
        <f>VLOOKUP($B12, '[1]Imp of pig iron'!$B$2:$X$31, $A$1, FALSE)</f>
        <v>0</v>
      </c>
      <c r="J12" s="1">
        <f>VLOOKUP($B12, '[1]Pro of DRI'!$B$2:$X$31, $A$1, FALSE)*(1-VLOOKUP($B12, '[1]Foundry share'!$B$2:$X$31, $A$1, FALSE))</f>
        <v>25165.733662998704</v>
      </c>
      <c r="K12" s="1">
        <f>VLOOKUP($B12, '[1]Exp of DRI'!$B$2:$X$31, $A$1, FALSE)</f>
        <v>325</v>
      </c>
      <c r="L12" s="1">
        <f>VLOOKUP($B12, '[1]Imp of DRI'!$B$2:$X$31, $A$1, FALSE)</f>
        <v>0</v>
      </c>
      <c r="M12" s="1">
        <f>VLOOKUP($B12, '[1]Exp of scrap'!$B$2:$X$31, $A$1, FALSE)</f>
        <v>208</v>
      </c>
      <c r="N12" s="1">
        <f>VLOOKUP($B12, '[1]Imp of scrap'!$B$2:$X$31, $A$1, FALSE)</f>
        <v>8</v>
      </c>
      <c r="O12" s="1">
        <f>VLOOKUP($B12, '[1]Pro of BOF steel'!$B$2:$X$31, $A$1, FALSE)</f>
        <v>2535</v>
      </c>
      <c r="P12" s="1">
        <f>VLOOKUP($B12, '[1]Pro of OHF steel'!$B$2:$X$31, $A$1, FALSE)</f>
        <v>0</v>
      </c>
      <c r="Q12" s="1">
        <f>VLOOKUP($B12, '[1]Pro of EAF steel'!$B$2:$X$31, $A$1, FALSE)</f>
        <v>23075</v>
      </c>
      <c r="R12" s="1">
        <f>VLOOKUP($B12, '[1]Exp of ingots and semis'!$B$2:$X$31, $A$1, FALSE)</f>
        <v>752</v>
      </c>
      <c r="S12" s="1">
        <f>VLOOKUP($B12, '[1]Imp of ingots and semis'!$B$2:$X$31, $A$1, FALSE)</f>
        <v>0</v>
      </c>
      <c r="T12" s="1">
        <f>VLOOKUP($B12, '[1]Pro of hr long'!$B$2:$X$31, $A$1, FALSE)+VLOOKUP($B12, '[1]Pro of seamless tubes'!$B$2:$X$31, $A$1, FALSE)</f>
        <v>10269</v>
      </c>
      <c r="U12" s="1">
        <f>VLOOKUP($B12, '[1]Exp of long'!$B$2:$X$31, $A$1, FALSE)</f>
        <v>190</v>
      </c>
      <c r="V12" s="1">
        <f>VLOOKUP($B12, '[1]Imp of long'!$B$2:$X$31, $A$1, FALSE)</f>
        <v>58</v>
      </c>
      <c r="W12" s="1">
        <f>VLOOKUP($B12, '[1]Pro of hr flat'!$B$2:$X$31, $A$1, FALSE)*parameters!$B$8</f>
        <v>7928.8236130867708</v>
      </c>
      <c r="X12" s="1">
        <f>VLOOKUP($B12, '[1]Exp of flat'!$B$2:$X$31, $A$1, FALSE)</f>
        <v>171</v>
      </c>
      <c r="Y12" s="1">
        <f>VLOOKUP($B12, '[1]Imp of flat'!$B$2:$X$31, $A$1, FALSE)</f>
        <v>209</v>
      </c>
      <c r="Z12" s="1">
        <f>VLOOKUP($B12, '[1]Indirect exp'!$B$2:$X$31, $A$1, FALSE)</f>
        <v>45</v>
      </c>
      <c r="AA12" s="1">
        <f>VLOOKUP($B12, '[1]Indirect imp'!$B$2:$X$31, $A$1, FALSE)</f>
        <v>842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IF(VLOOKUP($B13, '[1]Iron content'!$B$2:$X$31, $A$1, FALSE)=0, parameters!$B$12, VLOOKUP($B13, '[1]Iron content'!$B$2:$X$31, $A$1, FALSE))</f>
        <v>0.65</v>
      </c>
      <c r="F13" s="1">
        <f>VLOOKUP($B13, '[1]Exp of usable iron ore'!$B$2:$X$31, $A$1, FALSE)*$E13</f>
        <v>0</v>
      </c>
      <c r="G13" s="1">
        <f>VLOOKUP($B13, '[1]Pro of pig iron'!$B$2:$X$31, $A$1, FALSE)*(1-VLOOKUP($B13, '[1]Foundry share'!$B$2:$X$31, $A$1, FALSE))</f>
        <v>4606</v>
      </c>
      <c r="H13" s="1">
        <f>VLOOKUP($B13, '[1]Exp of pig iron'!$B$2:$X$31, $A$1, FALSE)</f>
        <v>54</v>
      </c>
      <c r="I13" s="1">
        <f>VLOOKUP($B13, '[1]Imp of pig iron'!$B$2:$X$31, $A$1, FALSE)</f>
        <v>1412</v>
      </c>
      <c r="J13" s="1">
        <f>VLOOKUP($B13, '[1]Pro of DRI'!$B$2:$X$31, $A$1, FALSE)*(1-VLOOKUP($B13, '[1]Foundry share'!$B$2:$X$31, $A$1, FALSE))</f>
        <v>0</v>
      </c>
      <c r="K13" s="1">
        <f>VLOOKUP($B13, '[1]Exp of DRI'!$B$2:$X$31, $A$1, FALSE)</f>
        <v>0</v>
      </c>
      <c r="L13" s="1">
        <f>VLOOKUP($B13, '[1]Imp of DRI'!$B$2:$X$31, $A$1, FALSE)</f>
        <v>1014</v>
      </c>
      <c r="M13" s="1">
        <f>VLOOKUP($B13, '[1]Exp of scrap'!$B$2:$X$31, $A$1, FALSE)</f>
        <v>490</v>
      </c>
      <c r="N13" s="1">
        <f>VLOOKUP($B13, '[1]Imp of scrap'!$B$2:$X$31, $A$1, FALSE)</f>
        <v>5355</v>
      </c>
      <c r="O13" s="1">
        <f>VLOOKUP($B13, '[1]Pro of BOF steel'!$B$2:$X$31, $A$1, FALSE)</f>
        <v>4207</v>
      </c>
      <c r="P13" s="1">
        <f>VLOOKUP($B13, '[1]Pro of OHF steel'!$B$2:$X$31, $A$1, FALSE)</f>
        <v>0</v>
      </c>
      <c r="Q13" s="1">
        <f>VLOOKUP($B13, '[1]Pro of EAF steel'!$B$2:$X$31, $A$1, FALSE)</f>
        <v>19030</v>
      </c>
      <c r="R13" s="1">
        <f>VLOOKUP($B13, '[1]Exp of ingots and semis'!$B$2:$X$31, $A$1, FALSE)</f>
        <v>765</v>
      </c>
      <c r="S13" s="1">
        <f>VLOOKUP($B13, '[1]Imp of ingots and semis'!$B$2:$X$31, $A$1, FALSE)</f>
        <v>4808</v>
      </c>
      <c r="T13" s="1">
        <f>VLOOKUP($B13, '[1]Pro of hr long'!$B$2:$X$31, $A$1, FALSE)+VLOOKUP($B13, '[1]Pro of seamless tubes'!$B$2:$X$31, $A$1, FALSE)</f>
        <v>12918</v>
      </c>
      <c r="U13" s="1">
        <f>VLOOKUP($B13, '[1]Exp of long'!$B$2:$X$31, $A$1, FALSE)</f>
        <v>6425</v>
      </c>
      <c r="V13" s="1">
        <f>VLOOKUP($B13, '[1]Imp of long'!$B$2:$X$31, $A$1, FALSE)</f>
        <v>2598</v>
      </c>
      <c r="W13" s="1">
        <f>VLOOKUP($B13, '[1]Pro of hr flat'!$B$2:$X$31, $A$1, FALSE)*parameters!$B$8</f>
        <v>10966.862019914652</v>
      </c>
      <c r="X13" s="1">
        <f>VLOOKUP($B13, '[1]Exp of flat'!$B$2:$X$31, $A$1, FALSE)</f>
        <v>6649</v>
      </c>
      <c r="Y13" s="1">
        <f>VLOOKUP($B13, '[1]Imp of flat'!$B$2:$X$31, $A$1, FALSE)</f>
        <v>12236</v>
      </c>
      <c r="Z13" s="1">
        <f>VLOOKUP($B13, '[1]Indirect exp'!$B$2:$X$31, $A$1, FALSE)</f>
        <v>13341</v>
      </c>
      <c r="AA13" s="1">
        <f>VLOOKUP($B13, '[1]Indirect imp'!$B$2:$X$31, $A$1, FALSE)</f>
        <v>8528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63205</v>
      </c>
      <c r="D14" s="1">
        <f>VLOOKUP($B14, '[1]Pro of iron ore'!$B$2:$X$31, $A$1, FALSE)*(1-VLOOKUP($B14, '[1]Foundry share'!$B$2:$X$31, $A$1, FALSE))</f>
        <v>39500</v>
      </c>
      <c r="E14" s="47">
        <f>IF(VLOOKUP($B14, '[1]Iron content'!$B$2:$X$31, $A$1, FALSE)=0, parameters!$B$12, VLOOKUP($B14, '[1]Iron content'!$B$2:$X$31, $A$1, FALSE))</f>
        <v>0.62495055770904195</v>
      </c>
      <c r="F14" s="1">
        <f>VLOOKUP($B14, '[1]Exp of usable iron ore'!$B$2:$X$31, $A$1, FALSE)*$E14</f>
        <v>24936.777153706193</v>
      </c>
      <c r="G14" s="1">
        <f>VLOOKUP($B14, '[1]Pro of pig iron'!$B$2:$X$31, $A$1, FALSE)*(1-VLOOKUP($B14, '[1]Foundry share'!$B$2:$X$31, $A$1, FALSE))</f>
        <v>20064</v>
      </c>
      <c r="H14" s="1">
        <f>VLOOKUP($B14, '[1]Exp of pig iron'!$B$2:$X$31, $A$1, FALSE)</f>
        <v>2580</v>
      </c>
      <c r="I14" s="1">
        <f>VLOOKUP($B14, '[1]Imp of pig iron'!$B$2:$X$31, $A$1, FALSE)</f>
        <v>1</v>
      </c>
      <c r="J14" s="1">
        <f>VLOOKUP($B14, '[1]Pro of DRI'!$B$2:$X$31, $A$1, FALSE)*(1-VLOOKUP($B14, '[1]Foundry share'!$B$2:$X$31, $A$1, FALSE))</f>
        <v>0</v>
      </c>
      <c r="K14" s="1">
        <f>VLOOKUP($B14, '[1]Exp of DRI'!$B$2:$X$31, $A$1, FALSE)</f>
        <v>0</v>
      </c>
      <c r="L14" s="1">
        <f>VLOOKUP($B14, '[1]Imp of DRI'!$B$2:$X$31, $A$1, FALSE)</f>
        <v>3</v>
      </c>
      <c r="M14" s="1">
        <f>VLOOKUP($B14, '[1]Exp of scrap'!$B$2:$X$31, $A$1, FALSE)</f>
        <v>42</v>
      </c>
      <c r="N14" s="1">
        <f>VLOOKUP($B14, '[1]Imp of scrap'!$B$2:$X$31, $A$1, FALSE)</f>
        <v>50</v>
      </c>
      <c r="O14" s="1">
        <f>VLOOKUP($B14, '[1]Pro of BOF steel'!$B$2:$X$31, $A$1, FALSE)</f>
        <v>14836</v>
      </c>
      <c r="P14" s="1">
        <f>VLOOKUP($B14, '[1]Pro of OHF steel'!$B$2:$X$31, $A$1, FALSE)</f>
        <v>4806</v>
      </c>
      <c r="Q14" s="1">
        <f>VLOOKUP($B14, '[1]Pro of EAF steel'!$B$2:$X$31, $A$1, FALSE)</f>
        <v>1203</v>
      </c>
      <c r="R14" s="1">
        <f>VLOOKUP($B14, '[1]Exp of ingots and semis'!$B$2:$X$31, $A$1, FALSE)</f>
        <v>7122</v>
      </c>
      <c r="S14" s="1">
        <f>VLOOKUP($B14, '[1]Imp of ingots and semis'!$B$2:$X$31, $A$1, FALSE)</f>
        <v>48</v>
      </c>
      <c r="T14" s="1">
        <f>VLOOKUP($B14, '[1]Pro of hr long'!$B$2:$X$31, $A$1, FALSE)+VLOOKUP($B14, '[1]Pro of seamless tubes'!$B$2:$X$31, $A$1, FALSE)</f>
        <v>5736</v>
      </c>
      <c r="U14" s="1">
        <f>VLOOKUP($B14, '[1]Exp of long'!$B$2:$X$31, $A$1, FALSE)</f>
        <v>2689</v>
      </c>
      <c r="V14" s="1">
        <f>VLOOKUP($B14, '[1]Imp of long'!$B$2:$X$31, $A$1, FALSE)</f>
        <v>521</v>
      </c>
      <c r="W14" s="1">
        <f>VLOOKUP($B14, '[1]Pro of hr flat'!$B$2:$X$31, $A$1, FALSE)*parameters!$B$8</f>
        <v>6752.2759601706966</v>
      </c>
      <c r="X14" s="1">
        <f>VLOOKUP($B14, '[1]Exp of flat'!$B$2:$X$31, $A$1, FALSE)</f>
        <v>5128</v>
      </c>
      <c r="Y14" s="1">
        <f>VLOOKUP($B14, '[1]Imp of flat'!$B$2:$X$31, $A$1, FALSE)</f>
        <v>851</v>
      </c>
      <c r="Z14" s="1">
        <f>VLOOKUP($B14, '[1]Indirect exp'!$B$2:$X$31, $A$1, FALSE)</f>
        <v>881</v>
      </c>
      <c r="AA14" s="1">
        <f>VLOOKUP($B14, '[1]Indirect imp'!$B$2:$X$31, $A$1, FALSE)</f>
        <v>2382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11300</v>
      </c>
      <c r="D15" s="1">
        <f>VLOOKUP($B15, '[1]Pro of iron ore'!$B$2:$X$31, $A$1, FALSE)*(1-VLOOKUP($B15, '[1]Foundry share'!$B$2:$X$31, $A$1, FALSE))</f>
        <v>7141</v>
      </c>
      <c r="E15" s="47">
        <f>IF(VLOOKUP($B15, '[1]Iron content'!$B$2:$X$31, $A$1, FALSE)=0, parameters!$B$12, VLOOKUP($B15, '[1]Iron content'!$B$2:$X$31, $A$1, FALSE))</f>
        <v>0.6319469026548673</v>
      </c>
      <c r="F15" s="1">
        <f>VLOOKUP($B15, '[1]Exp of usable iron ore'!$B$2:$X$31, $A$1, FALSE)*$E15</f>
        <v>691.9818584070797</v>
      </c>
      <c r="G15" s="1">
        <f>VLOOKUP($B15, '[1]Pro of pig iron'!$B$2:$X$31, $A$1, FALSE)*(1-VLOOKUP($B15, '[1]Foundry share'!$B$2:$X$31, $A$1, FALSE))</f>
        <v>3845</v>
      </c>
      <c r="H15" s="1">
        <f>VLOOKUP($B15, '[1]Exp of pig iron'!$B$2:$X$31, $A$1, FALSE)</f>
        <v>0</v>
      </c>
      <c r="I15" s="1">
        <f>VLOOKUP($B15, '[1]Imp of pig iron'!$B$2:$X$31, $A$1, FALSE)</f>
        <v>345</v>
      </c>
      <c r="J15" s="1">
        <f>VLOOKUP($B15, '[1]Pro of DRI'!$B$2:$X$31, $A$1, FALSE)*(1-VLOOKUP($B15, '[1]Foundry share'!$B$2:$X$31, $A$1, FALSE))</f>
        <v>5974</v>
      </c>
      <c r="K15" s="1">
        <f>VLOOKUP($B15, '[1]Exp of DRI'!$B$2:$X$31, $A$1, FALSE)</f>
        <v>34</v>
      </c>
      <c r="L15" s="1">
        <f>VLOOKUP($B15, '[1]Imp of DRI'!$B$2:$X$31, $A$1, FALSE)</f>
        <v>466</v>
      </c>
      <c r="M15" s="1">
        <f>VLOOKUP($B15, '[1]Exp of scrap'!$B$2:$X$31, $A$1, FALSE)</f>
        <v>842</v>
      </c>
      <c r="N15" s="1">
        <f>VLOOKUP($B15, '[1]Imp of scrap'!$B$2:$X$31, $A$1, FALSE)</f>
        <v>1472</v>
      </c>
      <c r="O15" s="1">
        <f>VLOOKUP($B15, '[1]Pro of BOF steel'!$B$2:$X$31, $A$1, FALSE)</f>
        <v>4242</v>
      </c>
      <c r="P15" s="1">
        <f>VLOOKUP($B15, '[1]Pro of OHF steel'!$B$2:$X$31, $A$1, FALSE)</f>
        <v>0</v>
      </c>
      <c r="Q15" s="1">
        <f>VLOOKUP($B15, '[1]Pro of EAF steel'!$B$2:$X$31, $A$1, FALSE)</f>
        <v>14145</v>
      </c>
      <c r="R15" s="1">
        <f>VLOOKUP($B15, '[1]Exp of ingots and semis'!$B$2:$X$31, $A$1, FALSE)</f>
        <v>1682</v>
      </c>
      <c r="S15" s="1">
        <f>VLOOKUP($B15, '[1]Imp of ingots and semis'!$B$2:$X$31, $A$1, FALSE)</f>
        <v>2121</v>
      </c>
      <c r="T15" s="1">
        <f>VLOOKUP($B15, '[1]Pro of hr long'!$B$2:$X$31, $A$1, FALSE)+VLOOKUP($B15, '[1]Pro of seamless tubes'!$B$2:$X$31, $A$1, FALSE)</f>
        <v>9208</v>
      </c>
      <c r="U15" s="1">
        <f>VLOOKUP($B15, '[1]Exp of long'!$B$2:$X$31, $A$1, FALSE)</f>
        <v>1526</v>
      </c>
      <c r="V15" s="1">
        <f>VLOOKUP($B15, '[1]Imp of long'!$B$2:$X$31, $A$1, FALSE)</f>
        <v>1431</v>
      </c>
      <c r="W15" s="1">
        <f>VLOOKUP($B15, '[1]Pro of hr flat'!$B$2:$X$31, $A$1, FALSE)*parameters!$B$8</f>
        <v>7853.0426742532009</v>
      </c>
      <c r="X15" s="1">
        <f>VLOOKUP($B15, '[1]Exp of flat'!$B$2:$X$31, $A$1, FALSE)</f>
        <v>891</v>
      </c>
      <c r="Y15" s="1">
        <f>VLOOKUP($B15, '[1]Imp of flat'!$B$2:$X$31, $A$1, FALSE)</f>
        <v>7402</v>
      </c>
      <c r="Z15" s="1">
        <f>VLOOKUP($B15, '[1]Indirect exp'!$B$2:$X$31, $A$1, FALSE)</f>
        <v>17248</v>
      </c>
      <c r="AA15" s="1">
        <f>VLOOKUP($B15, '[1]Indirect imp'!$B$2:$X$31, $A$1, FALSE)</f>
        <v>8137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6106</v>
      </c>
      <c r="D16" s="1">
        <f>VLOOKUP($B16, '[1]Pro of iron ore'!$B$2:$X$31, $A$1, FALSE)*(1-VLOOKUP($B16, '[1]Foundry share'!$B$2:$X$31, $A$1, FALSE))</f>
        <v>3236</v>
      </c>
      <c r="E16" s="47">
        <f>IF(VLOOKUP($B16, '[1]Iron content'!$B$2:$X$31, $A$1, FALSE)=0, parameters!$B$12, VLOOKUP($B16, '[1]Iron content'!$B$2:$X$31, $A$1, FALSE))</f>
        <v>0.52997052079921392</v>
      </c>
      <c r="F16" s="1">
        <f>VLOOKUP($B16, '[1]Exp of usable iron ore'!$B$2:$X$31, $A$1, FALSE)*$E16</f>
        <v>1073.7202751392074</v>
      </c>
      <c r="G16" s="1">
        <f>VLOOKUP($B16, '[1]Pro of pig iron'!$B$2:$X$31, $A$1, FALSE)*(1-VLOOKUP($B16, '[1]Foundry share'!$B$2:$X$31, $A$1, FALSE))</f>
        <v>9836</v>
      </c>
      <c r="H16" s="1">
        <f>VLOOKUP($B16, '[1]Exp of pig iron'!$B$2:$X$31, $A$1, FALSE)</f>
        <v>0</v>
      </c>
      <c r="I16" s="1">
        <f>VLOOKUP($B16, '[1]Imp of pig iron'!$B$2:$X$31, $A$1, FALSE)</f>
        <v>95</v>
      </c>
      <c r="J16" s="1">
        <f>VLOOKUP($B16, '[1]Pro of DRI'!$B$2:$X$31, $A$1, FALSE)*(1-VLOOKUP($B16, '[1]Foundry share'!$B$2:$X$31, $A$1, FALSE))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4853</v>
      </c>
      <c r="O16" s="1">
        <f>VLOOKUP($B16, '[1]Pro of BOF steel'!$B$2:$X$31, $A$1, FALSE)</f>
        <v>9746</v>
      </c>
      <c r="P16" s="1">
        <f>VLOOKUP($B16, '[1]Pro of OHF steel'!$B$2:$X$31, $A$1, FALSE)</f>
        <v>0</v>
      </c>
      <c r="Q16" s="1">
        <f>VLOOKUP($B16, '[1]Pro of EAF steel'!$B$2:$X$31, $A$1, FALSE)</f>
        <v>7723</v>
      </c>
      <c r="R16" s="1">
        <f>VLOOKUP($B16, '[1]Exp of ingots and semis'!$B$2:$X$31, $A$1, FALSE)</f>
        <v>930</v>
      </c>
      <c r="S16" s="1">
        <f>VLOOKUP($B16, '[1]Imp of ingots and semis'!$B$2:$X$31, $A$1, FALSE)</f>
        <v>76</v>
      </c>
      <c r="T16" s="1">
        <f>VLOOKUP($B16, '[1]Pro of hr long'!$B$2:$X$31, $A$1, FALSE)+VLOOKUP($B16, '[1]Pro of seamless tubes'!$B$2:$X$31, $A$1, FALSE)</f>
        <v>11271</v>
      </c>
      <c r="U16" s="1">
        <f>VLOOKUP($B16, '[1]Exp of long'!$B$2:$X$31, $A$1, FALSE)</f>
        <v>679</v>
      </c>
      <c r="V16" s="1">
        <f>VLOOKUP($B16, '[1]Imp of long'!$B$2:$X$31, $A$1, FALSE)</f>
        <v>1956</v>
      </c>
      <c r="W16" s="1">
        <f>VLOOKUP($B16, '[1]Pro of hr flat'!$B$2:$X$31, $A$1, FALSE)*parameters!$B$8</f>
        <v>4012.5035561877667</v>
      </c>
      <c r="X16" s="1">
        <f>VLOOKUP($B16, '[1]Exp of flat'!$B$2:$X$31, $A$1, FALSE)</f>
        <v>2980</v>
      </c>
      <c r="Y16" s="1">
        <f>VLOOKUP($B16, '[1]Imp of flat'!$B$2:$X$31, $A$1, FALSE)</f>
        <v>12967</v>
      </c>
      <c r="Z16" s="1">
        <f>VLOOKUP($B16, '[1]Indirect exp'!$B$2:$X$31, $A$1, FALSE)</f>
        <v>1471</v>
      </c>
      <c r="AA16" s="1">
        <f>VLOOKUP($B16, '[1]Indirect imp'!$B$2:$X$31, $A$1, FALSE)</f>
        <v>2402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IF(VLOOKUP($B17, '[1]Iron content'!$B$2:$X$31, $A$1, FALSE)=0, parameters!$B$12, VLOOKUP($B17, '[1]Iron content'!$B$2:$X$31, $A$1, FALSE))</f>
        <v>0.65</v>
      </c>
      <c r="F17" s="1">
        <f>VLOOKUP($B17, '[1]Exp of usable iron ore'!$B$2:$X$31, $A$1, FALSE)*$E17</f>
        <v>18.850000000000001</v>
      </c>
      <c r="G17" s="1">
        <f>VLOOKUP($B17, '[1]Pro of pig iron'!$B$2:$X$31, $A$1, FALSE)*(1-VLOOKUP($B17, '[1]Foundry share'!$B$2:$X$31, $A$1, FALSE))</f>
        <v>9877</v>
      </c>
      <c r="H17" s="1">
        <f>VLOOKUP($B17, '[1]Exp of pig iron'!$B$2:$X$31, $A$1, FALSE)</f>
        <v>126</v>
      </c>
      <c r="I17" s="1">
        <f>VLOOKUP($B17, '[1]Imp of pig iron'!$B$2:$X$31, $A$1, FALSE)</f>
        <v>151</v>
      </c>
      <c r="J17" s="1">
        <f>VLOOKUP($B17, '[1]Pro of DRI'!$B$2:$X$31, $A$1, FALSE)*(1-VLOOKUP($B17, '[1]Foundry share'!$B$2:$X$31, $A$1, FALSE))</f>
        <v>0</v>
      </c>
      <c r="K17" s="1">
        <f>VLOOKUP($B17, '[1]Exp of DRI'!$B$2:$X$31, $A$1, FALSE)</f>
        <v>0</v>
      </c>
      <c r="L17" s="1">
        <f>VLOOKUP($B17, '[1]Imp of DRI'!$B$2:$X$31, $A$1, FALSE)</f>
        <v>361</v>
      </c>
      <c r="M17" s="1">
        <f>VLOOKUP($B17, '[1]Exp of scrap'!$B$2:$X$31, $A$1, FALSE)</f>
        <v>6594</v>
      </c>
      <c r="N17" s="1">
        <f>VLOOKUP($B17, '[1]Imp of scrap'!$B$2:$X$31, $A$1, FALSE)</f>
        <v>1525</v>
      </c>
      <c r="O17" s="1">
        <f>VLOOKUP($B17, '[1]Pro of BOF steel'!$B$2:$X$31, $A$1, FALSE)</f>
        <v>10061</v>
      </c>
      <c r="P17" s="1">
        <f>VLOOKUP($B17, '[1]Pro of OHF steel'!$B$2:$X$31, $A$1, FALSE)</f>
        <v>0</v>
      </c>
      <c r="Q17" s="1">
        <f>VLOOKUP($B17, '[1]Pro of EAF steel'!$B$2:$X$31, $A$1, FALSE)</f>
        <v>4388</v>
      </c>
      <c r="R17" s="1">
        <f>VLOOKUP($B17, '[1]Exp of ingots and semis'!$B$2:$X$31, $A$1, FALSE)</f>
        <v>1468</v>
      </c>
      <c r="S17" s="1">
        <f>VLOOKUP($B17, '[1]Imp of ingots and semis'!$B$2:$X$31, $A$1, FALSE)</f>
        <v>1465</v>
      </c>
      <c r="T17" s="1">
        <f>VLOOKUP($B17, '[1]Pro of hr long'!$B$2:$X$31, $A$1, FALSE)+VLOOKUP($B17, '[1]Pro of seamless tubes'!$B$2:$X$31, $A$1, FALSE)</f>
        <v>3942</v>
      </c>
      <c r="U17" s="1">
        <f>VLOOKUP($B17, '[1]Exp of long'!$B$2:$X$31, $A$1, FALSE)</f>
        <v>2036</v>
      </c>
      <c r="V17" s="1">
        <f>VLOOKUP($B17, '[1]Imp of long'!$B$2:$X$31, $A$1, FALSE)</f>
        <v>3403</v>
      </c>
      <c r="W17" s="1">
        <f>VLOOKUP($B17, '[1]Pro of hr flat'!$B$2:$X$31, $A$1, FALSE)*parameters!$B$8</f>
        <v>9482.3328591749651</v>
      </c>
      <c r="X17" s="1">
        <f>VLOOKUP($B17, '[1]Exp of flat'!$B$2:$X$31, $A$1, FALSE)</f>
        <v>9482</v>
      </c>
      <c r="Y17" s="1">
        <f>VLOOKUP($B17, '[1]Imp of flat'!$B$2:$X$31, $A$1, FALSE)</f>
        <v>8367</v>
      </c>
      <c r="Z17" s="1">
        <f>VLOOKUP($B17, '[1]Indirect exp'!$B$2:$X$31, $A$1, FALSE)</f>
        <v>8632</v>
      </c>
      <c r="AA17" s="1">
        <f>VLOOKUP($B17, '[1]Indirect imp'!$B$2:$X$31, $A$1, FALSE)</f>
        <v>13756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IF(VLOOKUP($B18, '[1]Iron content'!$B$2:$X$31, $A$1, FALSE)=0, parameters!$B$12, VLOOKUP($B18, '[1]Iron content'!$B$2:$X$31, $A$1, FALSE))</f>
        <v>0.65</v>
      </c>
      <c r="F18" s="1">
        <f>VLOOKUP($B18, '[1]Exp of usable iron ore'!$B$2:$X$31, $A$1, FALSE)*$E18</f>
        <v>0</v>
      </c>
      <c r="G18" s="1">
        <f>VLOOKUP($B18, '[1]Pro of pig iron'!$B$2:$X$31, $A$1, FALSE)*(1-VLOOKUP($B18, '[1]Foundry share'!$B$2:$X$31, $A$1, FALSE))</f>
        <v>3880</v>
      </c>
      <c r="H18" s="1">
        <f>VLOOKUP($B18, '[1]Exp of pig iron'!$B$2:$X$31, $A$1, FALSE)</f>
        <v>7</v>
      </c>
      <c r="I18" s="1">
        <f>VLOOKUP($B18, '[1]Imp of pig iron'!$B$2:$X$31, $A$1, FALSE)</f>
        <v>266</v>
      </c>
      <c r="J18" s="1">
        <f>VLOOKUP($B18, '[1]Pro of DRI'!$B$2:$X$31, $A$1, FALSE)*(1-VLOOKUP($B18, '[1]Foundry share'!$B$2:$X$31, $A$1, FALSE))</f>
        <v>0</v>
      </c>
      <c r="K18" s="1">
        <f>VLOOKUP($B18, '[1]Exp of DRI'!$B$2:$X$31, $A$1, FALSE)</f>
        <v>0</v>
      </c>
      <c r="L18" s="1">
        <f>VLOOKUP($B18, '[1]Imp of DRI'!$B$2:$X$31, $A$1, FALSE)</f>
        <v>434</v>
      </c>
      <c r="M18" s="1">
        <f>VLOOKUP($B18, '[1]Exp of scrap'!$B$2:$X$31, $A$1, FALSE)</f>
        <v>562</v>
      </c>
      <c r="N18" s="1">
        <f>VLOOKUP($B18, '[1]Imp of scrap'!$B$2:$X$31, $A$1, FALSE)</f>
        <v>4011</v>
      </c>
      <c r="O18" s="1">
        <f>VLOOKUP($B18, '[1]Pro of BOF steel'!$B$2:$X$31, $A$1, FALSE)</f>
        <v>4240</v>
      </c>
      <c r="P18" s="1">
        <f>VLOOKUP($B18, '[1]Pro of OHF steel'!$B$2:$X$31, $A$1, FALSE)</f>
        <v>0</v>
      </c>
      <c r="Q18" s="1">
        <f>VLOOKUP($B18, '[1]Pro of EAF steel'!$B$2:$X$31, $A$1, FALSE)</f>
        <v>9348</v>
      </c>
      <c r="R18" s="1">
        <f>VLOOKUP($B18, '[1]Exp of ingots and semis'!$B$2:$X$31, $A$1, FALSE)</f>
        <v>142</v>
      </c>
      <c r="S18" s="1">
        <f>VLOOKUP($B18, '[1]Imp of ingots and semis'!$B$2:$X$31, $A$1, FALSE)</f>
        <v>1215</v>
      </c>
      <c r="T18" s="1">
        <f>VLOOKUP($B18, '[1]Pro of hr long'!$B$2:$X$31, $A$1, FALSE)+VLOOKUP($B18, '[1]Pro of seamless tubes'!$B$2:$X$31, $A$1, FALSE)</f>
        <v>8984</v>
      </c>
      <c r="U18" s="1">
        <f>VLOOKUP($B18, '[1]Exp of long'!$B$2:$X$31, $A$1, FALSE)</f>
        <v>5648</v>
      </c>
      <c r="V18" s="1">
        <f>VLOOKUP($B18, '[1]Imp of long'!$B$2:$X$31, $A$1, FALSE)</f>
        <v>1439</v>
      </c>
      <c r="W18" s="1">
        <f>VLOOKUP($B18, '[1]Pro of hr flat'!$B$2:$X$31, $A$1, FALSE)*parameters!$B$8</f>
        <v>4266.0782361308675</v>
      </c>
      <c r="X18" s="1">
        <f>VLOOKUP($B18, '[1]Exp of flat'!$B$2:$X$31, $A$1, FALSE)</f>
        <v>2581</v>
      </c>
      <c r="Y18" s="1">
        <f>VLOOKUP($B18, '[1]Imp of flat'!$B$2:$X$31, $A$1, FALSE)</f>
        <v>6964</v>
      </c>
      <c r="Z18" s="1">
        <f>VLOOKUP($B18, '[1]Indirect exp'!$B$2:$X$31, $A$1, FALSE)</f>
        <v>9480</v>
      </c>
      <c r="AA18" s="1">
        <f>VLOOKUP($B18, '[1]Indirect imp'!$B$2:$X$31, $A$1, FALSE)</f>
        <v>8532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58472</v>
      </c>
      <c r="D19" s="1">
        <f>VLOOKUP($B19, '[1]Pro of iron ore'!$B$2:$X$31, $A$1, FALSE)*(1-VLOOKUP($B19, '[1]Foundry share'!$B$2:$X$31, $A$1, FALSE))</f>
        <v>35200</v>
      </c>
      <c r="E19" s="47">
        <f>IF(VLOOKUP($B19, '[1]Iron content'!$B$2:$X$31, $A$1, FALSE)=0, parameters!$B$12, VLOOKUP($B19, '[1]Iron content'!$B$2:$X$31, $A$1, FALSE))</f>
        <v>0.60199753728280203</v>
      </c>
      <c r="F19" s="1">
        <f>VLOOKUP($B19, '[1]Exp of usable iron ore'!$B$2:$X$31, $A$1, FALSE)*$E19</f>
        <v>31401.395539745521</v>
      </c>
      <c r="G19" s="1">
        <f>VLOOKUP($B19, '[1]Pro of pig iron'!$B$2:$X$31, $A$1, FALSE)*(1-VLOOKUP($B19, '[1]Foundry share'!$B$2:$X$31, $A$1, FALSE))</f>
        <v>6320</v>
      </c>
      <c r="H19" s="1">
        <f>VLOOKUP($B19, '[1]Exp of pig iron'!$B$2:$X$31, $A$1, FALSE)</f>
        <v>55</v>
      </c>
      <c r="I19" s="1">
        <f>VLOOKUP($B19, '[1]Imp of pig iron'!$B$2:$X$31, $A$1, FALSE)</f>
        <v>22</v>
      </c>
      <c r="J19" s="1">
        <f>VLOOKUP($B19, '[1]Pro of DRI'!$B$2:$X$31, $A$1, FALSE)*(1-VLOOKUP($B19, '[1]Foundry share'!$B$2:$X$31, $A$1, FALSE))</f>
        <v>1440</v>
      </c>
      <c r="K19" s="1">
        <f>VLOOKUP($B19, '[1]Exp of DRI'!$B$2:$X$31, $A$1, FALSE)</f>
        <v>1</v>
      </c>
      <c r="L19" s="1">
        <f>VLOOKUP($B19, '[1]Imp of DRI'!$B$2:$X$31, $A$1, FALSE)</f>
        <v>15</v>
      </c>
      <c r="M19" s="1">
        <f>VLOOKUP($B19, '[1]Exp of scrap'!$B$2:$X$31, $A$1, FALSE)</f>
        <v>4352</v>
      </c>
      <c r="N19" s="1">
        <f>VLOOKUP($B19, '[1]Imp of scrap'!$B$2:$X$31, $A$1, FALSE)</f>
        <v>2135</v>
      </c>
      <c r="O19" s="1">
        <f>VLOOKUP($B19, '[1]Pro of BOF steel'!$B$2:$X$31, $A$1, FALSE)</f>
        <v>7225</v>
      </c>
      <c r="P19" s="1">
        <f>VLOOKUP($B19, '[1]Pro of OHF steel'!$B$2:$X$31, $A$1, FALSE)</f>
        <v>0</v>
      </c>
      <c r="Q19" s="1">
        <f>VLOOKUP($B19, '[1]Pro of EAF steel'!$B$2:$X$31, $A$1, FALSE)</f>
        <v>5675</v>
      </c>
      <c r="R19" s="1">
        <f>VLOOKUP($B19, '[1]Exp of ingots and semis'!$B$2:$X$31, $A$1, FALSE)</f>
        <v>397</v>
      </c>
      <c r="S19" s="1">
        <f>VLOOKUP($B19, '[1]Imp of ingots and semis'!$B$2:$X$31, $A$1, FALSE)</f>
        <v>2455</v>
      </c>
      <c r="T19" s="1">
        <f>VLOOKUP($B19, '[1]Pro of hr long'!$B$2:$X$31, $A$1, FALSE)+VLOOKUP($B19, '[1]Pro of seamless tubes'!$B$2:$X$31, $A$1, FALSE)</f>
        <v>3400</v>
      </c>
      <c r="U19" s="1">
        <f>VLOOKUP($B19, '[1]Exp of long'!$B$2:$X$31, $A$1, FALSE)</f>
        <v>3127</v>
      </c>
      <c r="V19" s="1">
        <f>VLOOKUP($B19, '[1]Imp of long'!$B$2:$X$31, $A$1, FALSE)</f>
        <v>2334</v>
      </c>
      <c r="W19" s="1">
        <f>VLOOKUP($B19, '[1]Pro of hr flat'!$B$2:$X$31, $A$1, FALSE)*parameters!$B$8</f>
        <v>10784.21052631579</v>
      </c>
      <c r="X19" s="1">
        <f>VLOOKUP($B19, '[1]Exp of flat'!$B$2:$X$31, $A$1, FALSE)</f>
        <v>3452</v>
      </c>
      <c r="Y19" s="1">
        <f>VLOOKUP($B19, '[1]Imp of flat'!$B$2:$X$31, $A$1, FALSE)</f>
        <v>2872</v>
      </c>
      <c r="Z19" s="1">
        <f>VLOOKUP($B19, '[1]Indirect exp'!$B$2:$X$31, $A$1, FALSE)</f>
        <v>6324</v>
      </c>
      <c r="AA19" s="1">
        <f>VLOOKUP($B19, '[1]Indirect imp'!$B$2:$X$31, $A$1, FALSE)</f>
        <v>11554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3450</v>
      </c>
      <c r="D20" s="1">
        <f>VLOOKUP($B20, '[1]Pro of iron ore'!$B$2:$X$31, $A$1, FALSE)*(1-VLOOKUP($B20, '[1]Foundry share'!$B$2:$X$31, $A$1, FALSE))</f>
        <v>1730</v>
      </c>
      <c r="E20" s="47">
        <f>IF(VLOOKUP($B20, '[1]Iron content'!$B$2:$X$31, $A$1, FALSE)=0, parameters!$B$12, VLOOKUP($B20, '[1]Iron content'!$B$2:$X$31, $A$1, FALSE))</f>
        <v>0.50144927536231887</v>
      </c>
      <c r="F20" s="1">
        <f>VLOOKUP($B20, '[1]Exp of usable iron ore'!$B$2:$X$31, $A$1, FALSE)*$E20</f>
        <v>1410.0753623188407</v>
      </c>
      <c r="G20" s="1">
        <f>VLOOKUP($B20, '[1]Pro of pig iron'!$B$2:$X$31, $A$1, FALSE)*(1-VLOOKUP($B20, '[1]Foundry share'!$B$2:$X$31, $A$1, FALSE))</f>
        <v>2900</v>
      </c>
      <c r="H20" s="1">
        <f>VLOOKUP($B20, '[1]Exp of pig iron'!$B$2:$X$31, $A$1, FALSE)</f>
        <v>107</v>
      </c>
      <c r="I20" s="1">
        <f>VLOOKUP($B20, '[1]Imp of pig iron'!$B$2:$X$31, $A$1, FALSE)</f>
        <v>59</v>
      </c>
      <c r="J20" s="1">
        <f>VLOOKUP($B20, '[1]Pro of DRI'!$B$2:$X$31, $A$1, FALSE)*(1-VLOOKUP($B20, '[1]Foundry share'!$B$2:$X$31, $A$1, FALSE))</f>
        <v>120</v>
      </c>
      <c r="K20" s="1">
        <f>VLOOKUP($B20, '[1]Exp of DRI'!$B$2:$X$31, $A$1, FALSE)</f>
        <v>1</v>
      </c>
      <c r="L20" s="1">
        <f>VLOOKUP($B20, '[1]Imp of DRI'!$B$2:$X$31, $A$1, FALSE)</f>
        <v>30</v>
      </c>
      <c r="M20" s="1">
        <f>VLOOKUP($B20, '[1]Exp of scrap'!$B$2:$X$31, $A$1, FALSE)</f>
        <v>49</v>
      </c>
      <c r="N20" s="1">
        <f>VLOOKUP($B20, '[1]Imp of scrap'!$B$2:$X$31, $A$1, FALSE)</f>
        <v>2614</v>
      </c>
      <c r="O20" s="1">
        <f>VLOOKUP($B20, '[1]Pro of BOF steel'!$B$2:$X$31, $A$1, FALSE)</f>
        <v>5120</v>
      </c>
      <c r="P20" s="1">
        <f>VLOOKUP($B20, '[1]Pro of OHF steel'!$B$2:$X$31, $A$1, FALSE)</f>
        <v>0</v>
      </c>
      <c r="Q20" s="1">
        <f>VLOOKUP($B20, '[1]Pro of EAF steel'!$B$2:$X$31, $A$1, FALSE)</f>
        <v>3440</v>
      </c>
      <c r="R20" s="1">
        <f>VLOOKUP($B20, '[1]Exp of ingots and semis'!$B$2:$X$31, $A$1, FALSE)</f>
        <v>781</v>
      </c>
      <c r="S20" s="1">
        <f>VLOOKUP($B20, '[1]Imp of ingots and semis'!$B$2:$X$31, $A$1, FALSE)</f>
        <v>4768</v>
      </c>
      <c r="T20" s="1">
        <f>VLOOKUP($B20, '[1]Pro of hr long'!$B$2:$X$31, $A$1, FALSE)+VLOOKUP($B20, '[1]Pro of seamless tubes'!$B$2:$X$31, $A$1, FALSE)</f>
        <v>5182</v>
      </c>
      <c r="U20" s="1">
        <f>VLOOKUP($B20, '[1]Exp of long'!$B$2:$X$31, $A$1, FALSE)</f>
        <v>177</v>
      </c>
      <c r="V20" s="1">
        <f>VLOOKUP($B20, '[1]Imp of long'!$B$2:$X$31, $A$1, FALSE)</f>
        <v>1837</v>
      </c>
      <c r="W20" s="1">
        <f>VLOOKUP($B20, '[1]Pro of hr flat'!$B$2:$X$31, $A$1, FALSE)*parameters!$B$8</f>
        <v>5641.7937411095309</v>
      </c>
      <c r="X20" s="1">
        <f>VLOOKUP($B20, '[1]Exp of flat'!$B$2:$X$31, $A$1, FALSE)</f>
        <v>2795</v>
      </c>
      <c r="Y20" s="1">
        <f>VLOOKUP($B20, '[1]Imp of flat'!$B$2:$X$31, $A$1, FALSE)</f>
        <v>6101</v>
      </c>
      <c r="Z20" s="1">
        <f>VLOOKUP($B20, '[1]Indirect exp'!$B$2:$X$31, $A$1, FALSE)</f>
        <v>1275</v>
      </c>
      <c r="AA20" s="1">
        <f>VLOOKUP($B20, '[1]Indirect imp'!$B$2:$X$31, $A$1, FALSE)</f>
        <v>4134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IF(VLOOKUP($B21, '[1]Iron content'!$B$2:$X$31, $A$1, FALSE)=0, parameters!$B$12, VLOOKUP($B21, '[1]Iron content'!$B$2:$X$31, $A$1, FALSE))</f>
        <v>0.65</v>
      </c>
      <c r="F21" s="1">
        <f>VLOOKUP($B21, '[1]Exp of usable iron ore'!$B$2:$X$31, $A$1, FALSE)*$E21</f>
        <v>0</v>
      </c>
      <c r="G21" s="1">
        <f>VLOOKUP($B21, '[1]Pro of pig iron'!$B$2:$X$31, $A$1, FALSE)*(1-VLOOKUP($B21, '[1]Foundry share'!$B$2:$X$31, $A$1, FALSE))</f>
        <v>4386</v>
      </c>
      <c r="H21" s="1">
        <f>VLOOKUP($B21, '[1]Exp of pig iron'!$B$2:$X$31, $A$1, FALSE)</f>
        <v>76</v>
      </c>
      <c r="I21" s="1">
        <f>VLOOKUP($B21, '[1]Imp of pig iron'!$B$2:$X$31, $A$1, FALSE)</f>
        <v>222</v>
      </c>
      <c r="J21" s="1">
        <f>VLOOKUP($B21, '[1]Pro of DRI'!$B$2:$X$31, $A$1, FALSE)*(1-VLOOKUP($B21, '[1]Foundry share'!$B$2:$X$31, $A$1, FALSE))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2128</v>
      </c>
      <c r="N21" s="1">
        <f>VLOOKUP($B21, '[1]Imp of scrap'!$B$2:$X$31, $A$1, FALSE)</f>
        <v>770</v>
      </c>
      <c r="O21" s="1">
        <f>VLOOKUP($B21, '[1]Pro of BOF steel'!$B$2:$X$31, $A$1, FALSE)</f>
        <v>4920</v>
      </c>
      <c r="P21" s="1">
        <f>VLOOKUP($B21, '[1]Pro of OHF steel'!$B$2:$X$31, $A$1, FALSE)</f>
        <v>0</v>
      </c>
      <c r="Q21" s="1">
        <f>VLOOKUP($B21, '[1]Pro of EAF steel'!$B$2:$X$31, $A$1, FALSE)</f>
        <v>4037</v>
      </c>
      <c r="R21" s="1">
        <f>VLOOKUP($B21, '[1]Exp of ingots and semis'!$B$2:$X$31, $A$1, FALSE)</f>
        <v>766</v>
      </c>
      <c r="S21" s="1">
        <f>VLOOKUP($B21, '[1]Imp of ingots and semis'!$B$2:$X$31, $A$1, FALSE)</f>
        <v>521</v>
      </c>
      <c r="T21" s="1">
        <f>VLOOKUP($B21, '[1]Pro of hr long'!$B$2:$X$31, $A$1, FALSE)+VLOOKUP($B21, '[1]Pro of seamless tubes'!$B$2:$X$31, $A$1, FALSE)</f>
        <v>5279</v>
      </c>
      <c r="U21" s="1">
        <f>VLOOKUP($B21, '[1]Exp of long'!$B$2:$X$31, $A$1, FALSE)</f>
        <v>2589</v>
      </c>
      <c r="V21" s="1">
        <f>VLOOKUP($B21, '[1]Imp of long'!$B$2:$X$31, $A$1, FALSE)</f>
        <v>2476</v>
      </c>
      <c r="W21" s="1">
        <f>VLOOKUP($B21, '[1]Pro of hr flat'!$B$2:$X$31, $A$1, FALSE)*parameters!$B$8</f>
        <v>2676.6216216216217</v>
      </c>
      <c r="X21" s="1">
        <f>VLOOKUP($B21, '[1]Exp of flat'!$B$2:$X$31, $A$1, FALSE)</f>
        <v>1855</v>
      </c>
      <c r="Y21" s="1">
        <f>VLOOKUP($B21, '[1]Imp of flat'!$B$2:$X$31, $A$1, FALSE)</f>
        <v>7029</v>
      </c>
      <c r="Z21" s="1">
        <f>VLOOKUP($B21, '[1]Indirect exp'!$B$2:$X$31, $A$1, FALSE)</f>
        <v>9865</v>
      </c>
      <c r="AA21" s="1">
        <f>VLOOKUP($B21, '[1]Indirect imp'!$B$2:$X$31, $A$1, FALSE)</f>
        <v>6944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600</v>
      </c>
      <c r="D22" s="1">
        <f>VLOOKUP($B22, '[1]Pro of iron ore'!$B$2:$X$31, $A$1, FALSE)*(1-VLOOKUP($B22, '[1]Foundry share'!$B$2:$X$31, $A$1, FALSE))</f>
        <v>372</v>
      </c>
      <c r="E22" s="47">
        <f>IF(VLOOKUP($B22, '[1]Iron content'!$B$2:$X$31, $A$1, FALSE)=0, parameters!$B$12, VLOOKUP($B22, '[1]Iron content'!$B$2:$X$31, $A$1, FALSE))</f>
        <v>0.62</v>
      </c>
      <c r="F22" s="1">
        <f>VLOOKUP($B22, '[1]Exp of usable iron ore'!$B$2:$X$31, $A$1, FALSE)*$E22</f>
        <v>9.92</v>
      </c>
      <c r="G22" s="1">
        <f>VLOOKUP($B22, '[1]Pro of pig iron'!$B$2:$X$31, $A$1, FALSE)*(1-VLOOKUP($B22, '[1]Foundry share'!$B$2:$X$31, $A$1, FALSE))</f>
        <v>170</v>
      </c>
      <c r="H22" s="1">
        <f>VLOOKUP($B22, '[1]Exp of pig iron'!$B$2:$X$31, $A$1, FALSE)</f>
        <v>0</v>
      </c>
      <c r="I22" s="1">
        <f>VLOOKUP($B22, '[1]Imp of pig iron'!$B$2:$X$31, $A$1, FALSE)</f>
        <v>0</v>
      </c>
      <c r="J22" s="1">
        <f>VLOOKUP($B22, '[1]Pro of DRI'!$B$2:$X$31, $A$1, FALSE)*(1-VLOOKUP($B22, '[1]Foundry share'!$B$2:$X$31, $A$1, FALSE))</f>
        <v>4426</v>
      </c>
      <c r="K22" s="1">
        <f>VLOOKUP($B22, '[1]Exp of DRI'!$B$2:$X$31, $A$1, FALSE)</f>
        <v>0</v>
      </c>
      <c r="L22" s="1">
        <f>VLOOKUP($B22, '[1]Imp of DRI'!$B$2:$X$31, $A$1, FALSE)</f>
        <v>0</v>
      </c>
      <c r="M22" s="1">
        <f>VLOOKUP($B22, '[1]Exp of scrap'!$B$2:$X$31, $A$1, FALSE)</f>
        <v>302</v>
      </c>
      <c r="N22" s="1">
        <f>VLOOKUP($B22, '[1]Imp of scrap'!$B$2:$X$31, $A$1, FALSE)</f>
        <v>1654</v>
      </c>
      <c r="O22" s="1">
        <f>VLOOKUP($B22, '[1]Pro of BOF steel'!$B$2:$X$31, $A$1, FALSE)</f>
        <v>184</v>
      </c>
      <c r="P22" s="1">
        <f>VLOOKUP($B22, '[1]Pro of OHF steel'!$B$2:$X$31, $A$1, FALSE)</f>
        <v>0</v>
      </c>
      <c r="Q22" s="1">
        <f>VLOOKUP($B22, '[1]Pro of EAF steel'!$B$2:$X$31, $A$1, FALSE)</f>
        <v>7073</v>
      </c>
      <c r="R22" s="1">
        <f>VLOOKUP($B22, '[1]Exp of ingots and semis'!$B$2:$X$31, $A$1, FALSE)</f>
        <v>2</v>
      </c>
      <c r="S22" s="1">
        <f>VLOOKUP($B22, '[1]Imp of ingots and semis'!$B$2:$X$31, $A$1, FALSE)</f>
        <v>27</v>
      </c>
      <c r="T22" s="1">
        <f>VLOOKUP($B22, '[1]Pro of hr long'!$B$2:$X$31, $A$1, FALSE)+VLOOKUP($B22, '[1]Pro of seamless tubes'!$B$2:$X$31, $A$1, FALSE)</f>
        <v>7258</v>
      </c>
      <c r="U22" s="1">
        <f>VLOOKUP($B22, '[1]Exp of long'!$B$2:$X$31, $A$1, FALSE)</f>
        <v>345</v>
      </c>
      <c r="V22" s="1">
        <f>VLOOKUP($B22, '[1]Imp of long'!$B$2:$X$31, $A$1, FALSE)</f>
        <v>31</v>
      </c>
      <c r="W22" s="1">
        <f>VLOOKUP($B22, '[1]Pro of hr flat'!$B$2:$X$31, $A$1, FALSE)*parameters!$B$8</f>
        <v>1129.9132290184921</v>
      </c>
      <c r="X22" s="1">
        <f>VLOOKUP($B22, '[1]Exp of flat'!$B$2:$X$31, $A$1, FALSE)</f>
        <v>777</v>
      </c>
      <c r="Y22" s="1">
        <f>VLOOKUP($B22, '[1]Imp of flat'!$B$2:$X$31, $A$1, FALSE)</f>
        <v>117</v>
      </c>
      <c r="Z22" s="1">
        <f>VLOOKUP($B22, '[1]Indirect exp'!$B$2:$X$31, $A$1, FALSE)</f>
        <v>170</v>
      </c>
      <c r="AA22" s="1">
        <f>VLOOKUP($B22, '[1]Indirect imp'!$B$2:$X$31, $A$1, FALSE)</f>
        <v>1702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IF(VLOOKUP($B23, '[1]Iron content'!$B$2:$X$31, $A$1, FALSE)=0, parameters!$B$12, VLOOKUP($B23, '[1]Iron content'!$B$2:$X$31, $A$1, FALSE))</f>
        <v>0.65</v>
      </c>
      <c r="F23" s="1">
        <f>VLOOKUP($B23, '[1]Exp of usable iron ore'!$B$2:$X$31, $A$1, FALSE)*$E23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214</v>
      </c>
      <c r="J23" s="1">
        <f>VLOOKUP($B23, '[1]Pro of DRI'!$B$2:$X$31, $A$1, FALSE)*(1-VLOOKUP($B23, '[1]Foundry share'!$B$2:$X$31, $A$1, FALSE))</f>
        <v>4548.4526924897837</v>
      </c>
      <c r="K23" s="1">
        <f>VLOOKUP($B23, '[1]Exp of DRI'!$B$2:$X$31, $A$1, FALSE)</f>
        <v>28</v>
      </c>
      <c r="L23" s="1">
        <f>VLOOKUP($B23, '[1]Imp of DRI'!$B$2:$X$31, $A$1, FALSE)</f>
        <v>3847.7271622015496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8191</v>
      </c>
      <c r="R23" s="1">
        <f>VLOOKUP($B23, '[1]Exp of ingots and semis'!$B$2:$X$31, $A$1, FALSE)</f>
        <v>165</v>
      </c>
      <c r="S23" s="1">
        <f>VLOOKUP($B23, '[1]Imp of ingots and semis'!$B$2:$X$31, $A$1, FALSE)</f>
        <v>344</v>
      </c>
      <c r="T23" s="1">
        <f>VLOOKUP($B23, '[1]Pro of hr long'!$B$2:$X$31, $A$1, FALSE)+VLOOKUP($B23, '[1]Pro of seamless tubes'!$B$2:$X$31, $A$1, FALSE)</f>
        <v>4530</v>
      </c>
      <c r="U23" s="1">
        <f>VLOOKUP($B23, '[1]Exp of long'!$B$2:$X$31, $A$1, FALSE)</f>
        <v>985</v>
      </c>
      <c r="V23" s="1">
        <f>VLOOKUP($B23, '[1]Imp of long'!$B$2:$X$31, $A$1, FALSE)</f>
        <v>1781</v>
      </c>
      <c r="W23" s="1">
        <f>VLOOKUP($B23, '[1]Pro of hr flat'!$B$2:$X$31, $A$1, FALSE)*parameters!$B$8</f>
        <v>2934.0825035561879</v>
      </c>
      <c r="X23" s="1">
        <f>VLOOKUP($B23, '[1]Exp of flat'!$B$2:$X$31, $A$1, FALSE)</f>
        <v>914</v>
      </c>
      <c r="Y23" s="1">
        <f>VLOOKUP($B23, '[1]Imp of flat'!$B$2:$X$31, $A$1, FALSE)</f>
        <v>4521</v>
      </c>
      <c r="Z23" s="1">
        <f>VLOOKUP($B23, '[1]Indirect exp'!$B$2:$X$31, $A$1, FALSE)</f>
        <v>342</v>
      </c>
      <c r="AA23" s="1">
        <f>VLOOKUP($B23, '[1]Indirect imp'!$B$2:$X$31, $A$1, FALSE)</f>
        <v>4073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3243</v>
      </c>
      <c r="D24" s="1">
        <f>VLOOKUP($B24, '[1]Pro of iron ore'!$B$2:$X$31, $A$1, FALSE)*(1-VLOOKUP($B24, '[1]Foundry share'!$B$2:$X$31, $A$1, FALSE))</f>
        <v>897</v>
      </c>
      <c r="E24" s="47">
        <f>IF(VLOOKUP($B24, '[1]Iron content'!$B$2:$X$31, $A$1, FALSE)=0, parameters!$B$12, VLOOKUP($B24, '[1]Iron content'!$B$2:$X$31, $A$1, FALSE))</f>
        <v>0.27659574468085107</v>
      </c>
      <c r="F24" s="1">
        <f>VLOOKUP($B24, '[1]Exp of usable iron ore'!$B$2:$X$31, $A$1, FALSE)*$E24</f>
        <v>0</v>
      </c>
      <c r="G24" s="1">
        <f>VLOOKUP($B24, '[1]Pro of pig iron'!$B$2:$X$31, $A$1, FALSE)*(1-VLOOKUP($B24, '[1]Foundry share'!$B$2:$X$31, $A$1, FALSE))</f>
        <v>5750</v>
      </c>
      <c r="H24" s="1">
        <f>VLOOKUP($B24, '[1]Exp of pig iron'!$B$2:$X$31, $A$1, FALSE)</f>
        <v>0</v>
      </c>
      <c r="I24" s="1">
        <f>VLOOKUP($B24, '[1]Imp of pig iron'!$B$2:$X$31, $A$1, FALSE)</f>
        <v>23</v>
      </c>
      <c r="J24" s="1">
        <f>VLOOKUP($B24, '[1]Pro of DRI'!$B$2:$X$31, $A$1, FALSE)*(1-VLOOKUP($B24, '[1]Foundry share'!$B$2:$X$31, $A$1, FALSE))</f>
        <v>0</v>
      </c>
      <c r="K24" s="1">
        <f>VLOOKUP($B24, '[1]Exp of DRI'!$B$2:$X$31, $A$1, FALSE)</f>
        <v>0</v>
      </c>
      <c r="L24" s="1">
        <f>VLOOKUP($B24, '[1]Imp of DRI'!$B$2:$X$31, $A$1, FALSE)</f>
        <v>171</v>
      </c>
      <c r="M24" s="1">
        <f>VLOOKUP($B24, '[1]Exp of scrap'!$B$2:$X$31, $A$1, FALSE)</f>
        <v>1135</v>
      </c>
      <c r="N24" s="1">
        <f>VLOOKUP($B24, '[1]Imp of scrap'!$B$2:$X$31, $A$1, FALSE)</f>
        <v>1153</v>
      </c>
      <c r="O24" s="1">
        <f>VLOOKUP($B24, '[1]Pro of BOF steel'!$B$2:$X$31, $A$1, FALSE)</f>
        <v>6714</v>
      </c>
      <c r="P24" s="1">
        <f>VLOOKUP($B24, '[1]Pro of OHF steel'!$B$2:$X$31, $A$1, FALSE)</f>
        <v>0</v>
      </c>
      <c r="Q24" s="1">
        <f>VLOOKUP($B24, '[1]Pro of EAF steel'!$B$2:$X$31, $A$1, FALSE)</f>
        <v>709</v>
      </c>
      <c r="R24" s="1">
        <f>VLOOKUP($B24, '[1]Exp of ingots and semis'!$B$2:$X$31, $A$1, FALSE)</f>
        <v>207</v>
      </c>
      <c r="S24" s="1">
        <f>VLOOKUP($B24, '[1]Imp of ingots and semis'!$B$2:$X$31, $A$1, FALSE)</f>
        <v>91</v>
      </c>
      <c r="T24" s="1">
        <f>VLOOKUP($B24, '[1]Pro of hr long'!$B$2:$X$31, $A$1, FALSE)+VLOOKUP($B24, '[1]Pro of seamless tubes'!$B$2:$X$31, $A$1, FALSE)</f>
        <v>1972</v>
      </c>
      <c r="U24" s="1">
        <f>VLOOKUP($B24, '[1]Exp of long'!$B$2:$X$31, $A$1, FALSE)</f>
        <v>1435</v>
      </c>
      <c r="V24" s="1">
        <f>VLOOKUP($B24, '[1]Imp of long'!$B$2:$X$31, $A$1, FALSE)</f>
        <v>1520</v>
      </c>
      <c r="W24" s="1">
        <f>VLOOKUP($B24, '[1]Pro of hr flat'!$B$2:$X$31, $A$1, FALSE)*parameters!$B$8</f>
        <v>5122.0142247510666</v>
      </c>
      <c r="X24" s="1">
        <f>VLOOKUP($B24, '[1]Exp of flat'!$B$2:$X$31, $A$1, FALSE)</f>
        <v>4633</v>
      </c>
      <c r="Y24" s="1">
        <f>VLOOKUP($B24, '[1]Imp of flat'!$B$2:$X$31, $A$1, FALSE)</f>
        <v>2000</v>
      </c>
      <c r="Z24" s="1">
        <f>VLOOKUP($B24, '[1]Indirect exp'!$B$2:$X$31, $A$1, FALSE)</f>
        <v>3977</v>
      </c>
      <c r="AA24" s="1">
        <f>VLOOKUP($B24, '[1]Indirect imp'!$B$2:$X$31, $A$1, FALSE)</f>
        <v>4367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IF(VLOOKUP($B25, '[1]Iron content'!$B$2:$X$31, $A$1, FALSE)=0, parameters!$B$12, VLOOKUP($B25, '[1]Iron content'!$B$2:$X$31, $A$1, FALSE))</f>
        <v>0.65</v>
      </c>
      <c r="F25" s="1">
        <f>VLOOKUP($B25, '[1]Exp of usable iron ore'!$B$2:$X$31, $A$1, FALSE)*$E25</f>
        <v>0</v>
      </c>
      <c r="G25" s="1">
        <f>VLOOKUP($B25, '[1]Pro of pig iron'!$B$2:$X$31, $A$1, FALSE)*(1-VLOOKUP($B25, '[1]Foundry share'!$B$2:$X$31, $A$1, FALSE))</f>
        <v>4818</v>
      </c>
      <c r="H25" s="1">
        <f>VLOOKUP($B25, '[1]Exp of pig iron'!$B$2:$X$31, $A$1, FALSE)</f>
        <v>84</v>
      </c>
      <c r="I25" s="1">
        <f>VLOOKUP($B25, '[1]Imp of pig iron'!$B$2:$X$31, $A$1, FALSE)</f>
        <v>253</v>
      </c>
      <c r="J25" s="1">
        <f>VLOOKUP($B25, '[1]Pro of DRI'!$B$2:$X$31, $A$1, FALSE)*(1-VLOOKUP($B25, '[1]Foundry share'!$B$2:$X$31, $A$1, FALSE))</f>
        <v>0</v>
      </c>
      <c r="K25" s="1">
        <f>VLOOKUP($B25, '[1]Exp of DRI'!$B$2:$X$31, $A$1, FALSE)</f>
        <v>226</v>
      </c>
      <c r="L25" s="1">
        <f>VLOOKUP($B25, '[1]Imp of DRI'!$B$2:$X$31, $A$1, FALSE)</f>
        <v>343</v>
      </c>
      <c r="M25" s="1">
        <f>VLOOKUP($B25, '[1]Exp of scrap'!$B$2:$X$31, $A$1, FALSE)</f>
        <v>3766</v>
      </c>
      <c r="N25" s="1">
        <f>VLOOKUP($B25, '[1]Imp of scrap'!$B$2:$X$31, $A$1, FALSE)</f>
        <v>4494</v>
      </c>
      <c r="O25" s="1">
        <f>VLOOKUP($B25, '[1]Pro of BOF steel'!$B$2:$X$31, $A$1, FALSE)</f>
        <v>5655</v>
      </c>
      <c r="P25" s="1">
        <f>VLOOKUP($B25, '[1]Pro of OHF steel'!$B$2:$X$31, $A$1, FALSE)</f>
        <v>0</v>
      </c>
      <c r="Q25" s="1">
        <f>VLOOKUP($B25, '[1]Pro of EAF steel'!$B$2:$X$31, $A$1, FALSE)</f>
        <v>2104</v>
      </c>
      <c r="R25" s="1">
        <f>VLOOKUP($B25, '[1]Exp of ingots and semis'!$B$2:$X$31, $A$1, FALSE)</f>
        <v>125</v>
      </c>
      <c r="S25" s="1">
        <f>VLOOKUP($B25, '[1]Imp of ingots and semis'!$B$2:$X$31, $A$1, FALSE)</f>
        <v>2487</v>
      </c>
      <c r="T25" s="1">
        <f>VLOOKUP($B25, '[1]Pro of hr long'!$B$2:$X$31, $A$1, FALSE)+VLOOKUP($B25, '[1]Pro of seamless tubes'!$B$2:$X$31, $A$1, FALSE)</f>
        <v>557</v>
      </c>
      <c r="U25" s="1">
        <f>VLOOKUP($B25, '[1]Exp of long'!$B$2:$X$31, $A$1, FALSE)</f>
        <v>1412</v>
      </c>
      <c r="V25" s="1">
        <f>VLOOKUP($B25, '[1]Imp of long'!$B$2:$X$31, $A$1, FALSE)</f>
        <v>1921</v>
      </c>
      <c r="W25" s="1">
        <f>VLOOKUP($B25, '[1]Pro of hr flat'!$B$2:$X$31, $A$1, FALSE)*parameters!$B$8</f>
        <v>8735.21052631579</v>
      </c>
      <c r="X25" s="1">
        <f>VLOOKUP($B25, '[1]Exp of flat'!$B$2:$X$31, $A$1, FALSE)</f>
        <v>15032</v>
      </c>
      <c r="Y25" s="1">
        <f>VLOOKUP($B25, '[1]Imp of flat'!$B$2:$X$31, $A$1, FALSE)</f>
        <v>8014</v>
      </c>
      <c r="Z25" s="1">
        <f>VLOOKUP($B25, '[1]Indirect exp'!$B$2:$X$31, $A$1, FALSE)</f>
        <v>8248</v>
      </c>
      <c r="AA25" s="1">
        <f>VLOOKUP($B25, '[1]Indirect imp'!$B$2:$X$31, $A$1, FALSE)</f>
        <v>8826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</v>
      </c>
      <c r="D26" s="1">
        <f>VLOOKUP($B26, '[1]Pro of iron ore'!$B$2:$X$31, $A$1, FALSE)*(1-VLOOKUP($B26, '[1]Foundry share'!$B$2:$X$31, $A$1, FALSE))</f>
        <v>0</v>
      </c>
      <c r="E26" s="47">
        <f>IF(VLOOKUP($B26, '[1]Iron content'!$B$2:$X$31, $A$1, FALSE)=0, parameters!$B$12, VLOOKUP($B26, '[1]Iron content'!$B$2:$X$31, $A$1, FALSE))</f>
        <v>0.65</v>
      </c>
      <c r="F26" s="1">
        <f>VLOOKUP($B26, '[1]Exp of usable iron ore'!$B$2:$X$31, $A$1, FALSE)*$E26</f>
        <v>0</v>
      </c>
      <c r="G26" s="1">
        <f>VLOOKUP($B26, '[1]Pro of pig iron'!$B$2:$X$31, $A$1, FALSE)*(1-VLOOKUP($B26, '[1]Foundry share'!$B$2:$X$31, $A$1, FALSE))</f>
        <v>5622</v>
      </c>
      <c r="H26" s="1">
        <f>VLOOKUP($B26, '[1]Exp of pig iron'!$B$2:$X$31, $A$1, FALSE)</f>
        <v>6</v>
      </c>
      <c r="I26" s="1">
        <f>VLOOKUP($B26, '[1]Imp of pig iron'!$B$2:$X$31, $A$1, FALSE)</f>
        <v>50</v>
      </c>
      <c r="J26" s="1">
        <f>VLOOKUP($B26, '[1]Pro of DRI'!$B$2:$X$31, $A$1, FALSE)*(1-VLOOKUP($B26, '[1]Foundry share'!$B$2:$X$31, $A$1, FALSE))</f>
        <v>0</v>
      </c>
      <c r="K26" s="1">
        <f>VLOOKUP($B26, '[1]Exp of DRI'!$B$2:$X$31, $A$1, FALSE)</f>
        <v>0</v>
      </c>
      <c r="L26" s="1">
        <f>VLOOKUP($B26, '[1]Imp of DRI'!$B$2:$X$31, $A$1, FALSE)</f>
        <v>0</v>
      </c>
      <c r="M26" s="1">
        <f>VLOOKUP($B26, '[1]Exp of scrap'!$B$2:$X$31, $A$1, FALSE)</f>
        <v>8053</v>
      </c>
      <c r="N26" s="1">
        <f>VLOOKUP($B26, '[1]Imp of scrap'!$B$2:$X$31, $A$1, FALSE)</f>
        <v>296</v>
      </c>
      <c r="O26" s="1">
        <f>VLOOKUP($B26, '[1]Pro of BOF steel'!$B$2:$X$31, $A$1, FALSE)</f>
        <v>5687</v>
      </c>
      <c r="P26" s="1">
        <f>VLOOKUP($B26, '[1]Pro of OHF steel'!$B$2:$X$31, $A$1, FALSE)</f>
        <v>0</v>
      </c>
      <c r="Q26" s="1">
        <f>VLOOKUP($B26, '[1]Pro of EAF steel'!$B$2:$X$31, $A$1, FALSE)</f>
        <v>1531</v>
      </c>
      <c r="R26" s="1">
        <f>VLOOKUP($B26, '[1]Exp of ingots and semis'!$B$2:$X$31, $A$1, FALSE)</f>
        <v>756</v>
      </c>
      <c r="S26" s="1">
        <f>VLOOKUP($B26, '[1]Imp of ingots and semis'!$B$2:$X$31, $A$1, FALSE)</f>
        <v>611</v>
      </c>
      <c r="T26" s="1">
        <f>VLOOKUP($B26, '[1]Pro of hr long'!$B$2:$X$31, $A$1, FALSE)+VLOOKUP($B26, '[1]Pro of seamless tubes'!$B$2:$X$31, $A$1, FALSE)</f>
        <v>2785</v>
      </c>
      <c r="U26" s="1">
        <f>VLOOKUP($B26, '[1]Exp of long'!$B$2:$X$31, $A$1, FALSE)</f>
        <v>1383</v>
      </c>
      <c r="V26" s="1">
        <f>VLOOKUP($B26, '[1]Imp of long'!$B$2:$X$31, $A$1, FALSE)</f>
        <v>2106</v>
      </c>
      <c r="W26" s="1">
        <f>VLOOKUP($B26, '[1]Pro of hr flat'!$B$2:$X$31, $A$1, FALSE)*parameters!$B$8</f>
        <v>3605.4238975817925</v>
      </c>
      <c r="X26" s="1">
        <f>VLOOKUP($B26, '[1]Exp of flat'!$B$2:$X$31, $A$1, FALSE)</f>
        <v>1571</v>
      </c>
      <c r="Y26" s="1">
        <f>VLOOKUP($B26, '[1]Imp of flat'!$B$2:$X$31, $A$1, FALSE)</f>
        <v>3648</v>
      </c>
      <c r="Z26" s="1">
        <f>VLOOKUP($B26, '[1]Indirect exp'!$B$2:$X$31, $A$1, FALSE)</f>
        <v>5972</v>
      </c>
      <c r="AA26" s="1">
        <f>VLOOKUP($B26, '[1]Indirect imp'!$B$2:$X$31, $A$1, FALSE)</f>
        <v>11928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IF(VLOOKUP($B27, '[1]Iron content'!$B$2:$X$31, $A$1, FALSE)=0, parameters!$B$12, VLOOKUP($B27, '[1]Iron content'!$B$2:$X$31, $A$1, FALSE))</f>
        <v>0.65</v>
      </c>
      <c r="F27" s="1">
        <f>VLOOKUP($B27, '[1]Exp of usable iron ore'!$B$2:$X$31, $A$1, FALSE)*$E27</f>
        <v>13733.85</v>
      </c>
      <c r="G27" s="1">
        <f>VLOOKUP($B27, '[1]Pro of pig iron'!$B$2:$X$31, $A$1, FALSE)*(1-VLOOKUP($B27, '[1]Foundry share'!$B$2:$X$31, $A$1, FALSE))</f>
        <v>5465.85845464063</v>
      </c>
      <c r="H27" s="1">
        <f>VLOOKUP($B27, '[1]Exp of pig iron'!$B$2:$X$31, $A$1, FALSE)</f>
        <v>523</v>
      </c>
      <c r="I27" s="1">
        <f>VLOOKUP($B27, '[1]Imp of pig iron'!$B$2:$X$31, $A$1, FALSE)</f>
        <v>554</v>
      </c>
      <c r="J27" s="1">
        <f>VLOOKUP($B27, '[1]Pro of DRI'!$B$2:$X$31, $A$1, FALSE)*(1-VLOOKUP($B27, '[1]Foundry share'!$B$2:$X$31, $A$1, FALSE))</f>
        <v>0</v>
      </c>
      <c r="K27" s="1">
        <f>VLOOKUP($B27, '[1]Exp of DRI'!$B$2:$X$31, $A$1, FALSE)</f>
        <v>65</v>
      </c>
      <c r="L27" s="1">
        <f>VLOOKUP($B27, '[1]Imp of DRI'!$B$2:$X$31, $A$1, FALSE)</f>
        <v>85</v>
      </c>
      <c r="M27" s="1">
        <f>VLOOKUP($B27, '[1]Exp of scrap'!$B$2:$X$31, $A$1, FALSE)</f>
        <v>6342</v>
      </c>
      <c r="N27" s="1">
        <f>VLOOKUP($B27, '[1]Imp of scrap'!$B$2:$X$31, $A$1, FALSE)</f>
        <v>3204</v>
      </c>
      <c r="O27" s="1">
        <f>VLOOKUP($B27, '[1]Pro of BOF steel'!$B$2:$X$31, $A$1, FALSE)</f>
        <v>6657</v>
      </c>
      <c r="P27" s="1">
        <f>VLOOKUP($B27, '[1]Pro of OHF steel'!$B$2:$X$31, $A$1, FALSE)</f>
        <v>0</v>
      </c>
      <c r="Q27" s="1">
        <f>VLOOKUP($B27, '[1]Pro of EAF steel'!$B$2:$X$31, $A$1, FALSE)</f>
        <v>0</v>
      </c>
      <c r="R27" s="1">
        <f>VLOOKUP($B27, '[1]Exp of ingots and semis'!$B$2:$X$31, $A$1, FALSE)</f>
        <v>336</v>
      </c>
      <c r="S27" s="1">
        <f>VLOOKUP($B27, '[1]Imp of ingots and semis'!$B$2:$X$31, $A$1, FALSE)</f>
        <v>352</v>
      </c>
      <c r="T27" s="1">
        <f>VLOOKUP($B27, '[1]Pro of hr long'!$B$2:$X$31, $A$1, FALSE)+VLOOKUP($B27, '[1]Pro of seamless tubes'!$B$2:$X$31, $A$1, FALSE)</f>
        <v>142</v>
      </c>
      <c r="U27" s="1">
        <f>VLOOKUP($B27, '[1]Exp of long'!$B$2:$X$31, $A$1, FALSE)</f>
        <v>882</v>
      </c>
      <c r="V27" s="1">
        <f>VLOOKUP($B27, '[1]Imp of long'!$B$2:$X$31, $A$1, FALSE)</f>
        <v>3570</v>
      </c>
      <c r="W27" s="1">
        <f>VLOOKUP($B27, '[1]Pro of hr flat'!$B$2:$X$31, $A$1, FALSE)*parameters!$B$8</f>
        <v>5954.633001422475</v>
      </c>
      <c r="X27" s="1">
        <f>VLOOKUP($B27, '[1]Exp of flat'!$B$2:$X$31, $A$1, FALSE)</f>
        <v>8222</v>
      </c>
      <c r="Y27" s="1">
        <f>VLOOKUP($B27, '[1]Imp of flat'!$B$2:$X$31, $A$1, FALSE)</f>
        <v>4742</v>
      </c>
      <c r="Z27" s="1">
        <f>VLOOKUP($B27, '[1]Indirect exp'!$B$2:$X$31, $A$1, FALSE)</f>
        <v>7133</v>
      </c>
      <c r="AA27" s="1">
        <f>VLOOKUP($B27, '[1]Indirect imp'!$B$2:$X$31, $A$1, FALSE)</f>
        <v>8210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917046</v>
      </c>
      <c r="D28" s="1">
        <f>VLOOKUP($B28, '[1]Pro of iron ore'!$B$2:$X$31, $A$1, FALSE)*(1-VLOOKUP($B28, '[1]Foundry share'!$B$2:$X$31, $A$1, FALSE))</f>
        <v>567957</v>
      </c>
      <c r="E28" s="47">
        <f>IF(VLOOKUP($B28, '[1]Iron content'!$B$2:$X$31, $A$1, FALSE)=0, parameters!$B$12, VLOOKUP($B28, '[1]Iron content'!$B$2:$X$31, $A$1, FALSE))</f>
        <v>0.61933316322191034</v>
      </c>
      <c r="F28" s="1">
        <f>VLOOKUP($B28, '[1]Exp of usable iron ore'!$B$2:$X$31, $A$1, FALSE)*$E28</f>
        <v>517901.25508207874</v>
      </c>
      <c r="G28" s="1">
        <f>VLOOKUP($B28, '[1]Pro of pig iron'!$B$2:$X$31, $A$1, FALSE)*(1-VLOOKUP($B28, '[1]Foundry share'!$B$2:$X$31, $A$1, FALSE))</f>
        <v>3664</v>
      </c>
      <c r="H28" s="1">
        <f>VLOOKUP($B28, '[1]Exp of pig iron'!$B$2:$X$31, $A$1, FALSE)</f>
        <v>0</v>
      </c>
      <c r="I28" s="1">
        <f>VLOOKUP($B28, '[1]Imp of pig iron'!$B$2:$X$31, $A$1, FALSE)</f>
        <v>21</v>
      </c>
      <c r="J28" s="1">
        <f>VLOOKUP($B28, '[1]Pro of DRI'!$B$2:$X$31, $A$1, FALSE)*(1-VLOOKUP($B28, '[1]Foundry share'!$B$2:$X$31, $A$1, FALSE))</f>
        <v>0</v>
      </c>
      <c r="K28" s="1">
        <f>VLOOKUP($B28, '[1]Exp of DRI'!$B$2:$X$31, $A$1, FALSE)</f>
        <v>0</v>
      </c>
      <c r="L28" s="1">
        <f>VLOOKUP($B28, '[1]Imp of DRI'!$B$2:$X$31, $A$1, FALSE)</f>
        <v>1</v>
      </c>
      <c r="M28" s="1">
        <f>VLOOKUP($B28, '[1]Exp of scrap'!$B$2:$X$31, $A$1, FALSE)</f>
        <v>2231</v>
      </c>
      <c r="N28" s="1">
        <f>VLOOKUP($B28, '[1]Imp of scrap'!$B$2:$X$31, $A$1, FALSE)</f>
        <v>116</v>
      </c>
      <c r="O28" s="1">
        <f>VLOOKUP($B28, '[1]Pro of BOF steel'!$B$2:$X$31, $A$1, FALSE)</f>
        <v>4023</v>
      </c>
      <c r="P28" s="1">
        <f>VLOOKUP($B28, '[1]Pro of OHF steel'!$B$2:$X$31, $A$1, FALSE)</f>
        <v>0</v>
      </c>
      <c r="Q28" s="1">
        <f>VLOOKUP($B28, '[1]Pro of EAF steel'!$B$2:$X$31, $A$1, FALSE)</f>
        <v>1470</v>
      </c>
      <c r="R28" s="1">
        <f>VLOOKUP($B28, '[1]Exp of ingots and semis'!$B$2:$X$31, $A$1, FALSE)</f>
        <v>66</v>
      </c>
      <c r="S28" s="1">
        <f>VLOOKUP($B28, '[1]Imp of ingots and semis'!$B$2:$X$31, $A$1, FALSE)</f>
        <v>2</v>
      </c>
      <c r="T28" s="1">
        <f>VLOOKUP($B28, '[1]Pro of hr long'!$B$2:$X$31, $A$1, FALSE)+VLOOKUP($B28, '[1]Pro of seamless tubes'!$B$2:$X$31, $A$1, FALSE)</f>
        <v>1978</v>
      </c>
      <c r="U28" s="1">
        <f>VLOOKUP($B28, '[1]Exp of long'!$B$2:$X$31, $A$1, FALSE)</f>
        <v>152</v>
      </c>
      <c r="V28" s="1">
        <f>VLOOKUP($B28, '[1]Imp of long'!$B$2:$X$31, $A$1, FALSE)</f>
        <v>785</v>
      </c>
      <c r="W28" s="1">
        <f>VLOOKUP($B28, '[1]Pro of hr flat'!$B$2:$X$31, $A$1, FALSE)*parameters!$B$8</f>
        <v>2897.1635846372687</v>
      </c>
      <c r="X28" s="1">
        <f>VLOOKUP($B28, '[1]Exp of flat'!$B$2:$X$31, $A$1, FALSE)</f>
        <v>886</v>
      </c>
      <c r="Y28" s="1">
        <f>VLOOKUP($B28, '[1]Imp of flat'!$B$2:$X$31, $A$1, FALSE)</f>
        <v>569</v>
      </c>
      <c r="Z28" s="1">
        <f>VLOOKUP($B28, '[1]Indirect exp'!$B$2:$X$31, $A$1, FALSE)</f>
        <v>460</v>
      </c>
      <c r="AA28" s="1">
        <f>VLOOKUP($B28, '[1]Indirect imp'!$B$2:$X$31, $A$1, FALSE)</f>
        <v>5460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72407</v>
      </c>
      <c r="D29" s="1">
        <f>VLOOKUP($B29, '[1]Pro of iron ore'!$B$2:$X$31, $A$1, FALSE)*(1-VLOOKUP($B29, '[1]Foundry share'!$B$2:$X$31, $A$1, FALSE))</f>
        <v>46100</v>
      </c>
      <c r="E29" s="47">
        <f>IF(VLOOKUP($B29, '[1]Iron content'!$B$2:$X$31, $A$1, FALSE)=0, parameters!$B$12, VLOOKUP($B29, '[1]Iron content'!$B$2:$X$31, $A$1, FALSE))</f>
        <v>0.6366787741516704</v>
      </c>
      <c r="F29" s="1">
        <f>VLOOKUP($B29, '[1]Exp of usable iron ore'!$B$2:$X$31, $A$1, FALSE)*$E29</f>
        <v>42523.775325590068</v>
      </c>
      <c r="G29" s="1">
        <f>VLOOKUP($B29, '[1]Pro of pig iron'!$B$2:$X$31, $A$1, FALSE)*(1-VLOOKUP($B29, '[1]Foundry share'!$B$2:$X$31, $A$1, FALSE))</f>
        <v>3791</v>
      </c>
      <c r="H29" s="1">
        <f>VLOOKUP($B29, '[1]Exp of pig iron'!$B$2:$X$31, $A$1, FALSE)</f>
        <v>534</v>
      </c>
      <c r="I29" s="1">
        <f>VLOOKUP($B29, '[1]Imp of pig iron'!$B$2:$X$31, $A$1, FALSE)</f>
        <v>0</v>
      </c>
      <c r="J29" s="1">
        <f>VLOOKUP($B29, '[1]Pro of DRI'!$B$2:$X$31, $A$1, FALSE)*(1-VLOOKUP($B29, '[1]Foundry share'!$B$2:$X$31, $A$1, FALSE))</f>
        <v>661</v>
      </c>
      <c r="K29" s="1">
        <f>VLOOKUP($B29, '[1]Exp of DRI'!$B$2:$X$31, $A$1, FALSE)</f>
        <v>38</v>
      </c>
      <c r="L29" s="1">
        <f>VLOOKUP($B29, '[1]Imp of DRI'!$B$2:$X$31, $A$1, FALSE)</f>
        <v>0</v>
      </c>
      <c r="M29" s="1">
        <f>VLOOKUP($B29, '[1]Exp of scrap'!$B$2:$X$31, $A$1, FALSE)</f>
        <v>525</v>
      </c>
      <c r="N29" s="1">
        <f>VLOOKUP($B29, '[1]Imp of scrap'!$B$2:$X$31, $A$1, FALSE)</f>
        <v>125</v>
      </c>
      <c r="O29" s="1">
        <f>VLOOKUP($B29, '[1]Pro of BOF steel'!$B$2:$X$31, $A$1, FALSE)</f>
        <v>3330</v>
      </c>
      <c r="P29" s="1">
        <f>VLOOKUP($B29, '[1]Pro of OHF steel'!$B$2:$X$31, $A$1, FALSE)</f>
        <v>0</v>
      </c>
      <c r="Q29" s="1">
        <f>VLOOKUP($B29, '[1]Pro of EAF steel'!$B$2:$X$31, $A$1, FALSE)</f>
        <v>2822</v>
      </c>
      <c r="R29" s="1">
        <f>VLOOKUP($B29, '[1]Exp of ingots and semis'!$B$2:$X$31, $A$1, FALSE)</f>
        <v>395</v>
      </c>
      <c r="S29" s="1">
        <f>VLOOKUP($B29, '[1]Imp of ingots and semis'!$B$2:$X$31, $A$1, FALSE)</f>
        <v>11</v>
      </c>
      <c r="T29" s="1">
        <f>VLOOKUP($B29, '[1]Pro of hr long'!$B$2:$X$31, $A$1, FALSE)+VLOOKUP($B29, '[1]Pro of seamless tubes'!$B$2:$X$31, $A$1, FALSE)</f>
        <v>1600</v>
      </c>
      <c r="U29" s="1">
        <f>VLOOKUP($B29, '[1]Exp of long'!$B$2:$X$31, $A$1, FALSE)</f>
        <v>834</v>
      </c>
      <c r="V29" s="1">
        <f>VLOOKUP($B29, '[1]Imp of long'!$B$2:$X$31, $A$1, FALSE)</f>
        <v>172</v>
      </c>
      <c r="W29" s="1">
        <f>VLOOKUP($B29, '[1]Pro of hr flat'!$B$2:$X$31, $A$1, FALSE)*parameters!$B$8</f>
        <v>2331.7211948790896</v>
      </c>
      <c r="X29" s="1">
        <f>VLOOKUP($B29, '[1]Exp of flat'!$B$2:$X$31, $A$1, FALSE)</f>
        <v>1142</v>
      </c>
      <c r="Y29" s="1">
        <f>VLOOKUP($B29, '[1]Imp of flat'!$B$2:$X$31, $A$1, FALSE)</f>
        <v>800</v>
      </c>
      <c r="Z29" s="1">
        <f>VLOOKUP($B29, '[1]Indirect exp'!$B$2:$X$31, $A$1, FALSE)</f>
        <v>1790</v>
      </c>
      <c r="AA29" s="1">
        <f>VLOOKUP($B29, '[1]Indirect imp'!$B$2:$X$31, $A$1, FALSE)</f>
        <v>1897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4160</v>
      </c>
      <c r="D30" s="1">
        <f>VLOOKUP($B30, '[1]Pro of iron ore'!$B$2:$X$31, $A$1, FALSE)*(1-VLOOKUP($B30, '[1]Foundry share'!$B$2:$X$31, $A$1, FALSE))</f>
        <v>2600</v>
      </c>
      <c r="E30" s="47">
        <f>IF(VLOOKUP($B30, '[1]Iron content'!$B$2:$X$31, $A$1, FALSE)=0, parameters!$B$12, VLOOKUP($B30, '[1]Iron content'!$B$2:$X$31, $A$1, FALSE))</f>
        <v>0.625</v>
      </c>
      <c r="F30" s="1">
        <f>VLOOKUP($B30, '[1]Exp of usable iron ore'!$B$2:$X$31, $A$1, FALSE)*$E30</f>
        <v>17121.875</v>
      </c>
      <c r="G30" s="1">
        <f>VLOOKUP($B30, '[1]Pro of pig iron'!$B$2:$X$31, $A$1, FALSE)*(1-VLOOKUP($B30, '[1]Foundry share'!$B$2:$X$31, $A$1, FALSE))</f>
        <v>3872</v>
      </c>
      <c r="H30" s="1">
        <f>VLOOKUP($B30, '[1]Exp of pig iron'!$B$2:$X$31, $A$1, FALSE)</f>
        <v>0</v>
      </c>
      <c r="I30" s="1">
        <f>VLOOKUP($B30, '[1]Imp of pig iron'!$B$2:$X$31, $A$1, FALSE)</f>
        <v>32</v>
      </c>
      <c r="J30" s="1">
        <f>VLOOKUP($B30, '[1]Pro of DRI'!$B$2:$X$31, $A$1, FALSE)*(1-VLOOKUP($B30, '[1]Foundry share'!$B$2:$X$31, $A$1, FALSE))</f>
        <v>595</v>
      </c>
      <c r="K30" s="1">
        <f>VLOOKUP($B30, '[1]Exp of DRI'!$B$2:$X$31, $A$1, FALSE)</f>
        <v>573</v>
      </c>
      <c r="L30" s="1">
        <f>VLOOKUP($B30, '[1]Imp of DRI'!$B$2:$X$31, $A$1, FALSE)</f>
        <v>84</v>
      </c>
      <c r="M30" s="1">
        <f>VLOOKUP($B30, '[1]Exp of scrap'!$B$2:$X$31, $A$1, FALSE)</f>
        <v>400</v>
      </c>
      <c r="N30" s="1">
        <f>VLOOKUP($B30, '[1]Imp of scrap'!$B$2:$X$31, $A$1, FALSE)</f>
        <v>1532</v>
      </c>
      <c r="O30" s="1">
        <f>VLOOKUP($B30, '[1]Pro of BOF steel'!$B$2:$X$31, $A$1, FALSE)</f>
        <v>4389</v>
      </c>
      <c r="P30" s="1">
        <f>VLOOKUP($B30, '[1]Pro of OHF steel'!$B$2:$X$31, $A$1, FALSE)</f>
        <v>0</v>
      </c>
      <c r="Q30" s="1">
        <f>VLOOKUP($B30, '[1]Pro of EAF steel'!$B$2:$X$31, $A$1, FALSE)</f>
        <v>2559</v>
      </c>
      <c r="R30" s="1">
        <f>VLOOKUP($B30, '[1]Exp of ingots and semis'!$B$2:$X$31, $A$1, FALSE)</f>
        <v>2149</v>
      </c>
      <c r="S30" s="1">
        <f>VLOOKUP($B30, '[1]Imp of ingots and semis'!$B$2:$X$31, $A$1, FALSE)</f>
        <v>442</v>
      </c>
      <c r="T30" s="1">
        <f>VLOOKUP($B30, '[1]Pro of hr long'!$B$2:$X$31, $A$1, FALSE)+VLOOKUP($B30, '[1]Pro of seamless tubes'!$B$2:$X$31, $A$1, FALSE)</f>
        <v>5071</v>
      </c>
      <c r="U30" s="1">
        <f>VLOOKUP($B30, '[1]Exp of long'!$B$2:$X$31, $A$1, FALSE)</f>
        <v>2060</v>
      </c>
      <c r="V30" s="1">
        <f>VLOOKUP($B30, '[1]Imp of long'!$B$2:$X$31, $A$1, FALSE)</f>
        <v>1738</v>
      </c>
      <c r="W30" s="1">
        <f>VLOOKUP($B30, '[1]Pro of hr flat'!$B$2:$X$31, $A$1, FALSE)*parameters!$B$8</f>
        <v>226.37126600284495</v>
      </c>
      <c r="X30" s="1">
        <f>VLOOKUP($B30, '[1]Exp of flat'!$B$2:$X$31, $A$1, FALSE)</f>
        <v>688</v>
      </c>
      <c r="Y30" s="1">
        <f>VLOOKUP($B30, '[1]Imp of flat'!$B$2:$X$31, $A$1, FALSE)</f>
        <v>4766</v>
      </c>
      <c r="Z30" s="1">
        <f>VLOOKUP($B30, '[1]Indirect exp'!$B$2:$X$31, $A$1, FALSE)</f>
        <v>1977</v>
      </c>
      <c r="AA30" s="1">
        <f>VLOOKUP($B30, '[1]Indirect imp'!$B$2:$X$31, $A$1, FALSE)</f>
        <v>2553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18</v>
      </c>
      <c r="D31" s="1">
        <f>VLOOKUP($B31, '[1]Pro of iron ore'!$B$2:$X$31, $A$1, FALSE)*(1-VLOOKUP($B31, '[1]Foundry share'!$B$2:$X$31, $A$1, FALSE))</f>
        <v>11</v>
      </c>
      <c r="E31" s="47">
        <f>IF(VLOOKUP($B31, '[1]Iron content'!$B$2:$X$31, $A$1, FALSE)=0, parameters!$B$12, VLOOKUP($B31, '[1]Iron content'!$B$2:$X$31, $A$1, FALSE))</f>
        <v>0.61111111111111116</v>
      </c>
      <c r="F31" s="1">
        <f>VLOOKUP($B31, '[1]Exp of usable iron ore'!$B$2:$X$31, $A$1, FALSE)*$E31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0</v>
      </c>
      <c r="I31" s="1">
        <f>VLOOKUP($B31, '[1]Imp of pig iron'!$B$2:$X$31, $A$1, FALSE)</f>
        <v>170</v>
      </c>
      <c r="J31" s="1">
        <f>VLOOKUP($B31, '[1]Pro of DRI'!$B$2:$X$31, $A$1, FALSE)*(1-VLOOKUP($B31, '[1]Foundry share'!$B$2:$X$31, $A$1, FALSE))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364</v>
      </c>
      <c r="N31" s="1">
        <f>VLOOKUP($B31, '[1]Imp of scrap'!$B$2:$X$31, $A$1, FALSE)</f>
        <v>1033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4246</v>
      </c>
      <c r="R31" s="1">
        <f>VLOOKUP($B31, '[1]Exp of ingots and semis'!$B$2:$X$31, $A$1, FALSE)</f>
        <v>120</v>
      </c>
      <c r="S31" s="1">
        <f>VLOOKUP($B31, '[1]Imp of ingots and semis'!$B$2:$X$31, $A$1, FALSE)</f>
        <v>4175</v>
      </c>
      <c r="T31" s="1">
        <f>VLOOKUP($B31, '[1]Pro of hr long'!$B$2:$X$31, $A$1, FALSE)+VLOOKUP($B31, '[1]Pro of seamless tubes'!$B$2:$X$31, $A$1, FALSE)</f>
        <v>5043</v>
      </c>
      <c r="U31" s="1">
        <f>VLOOKUP($B31, '[1]Exp of long'!$B$2:$X$31, $A$1, FALSE)</f>
        <v>789</v>
      </c>
      <c r="V31" s="1">
        <f>VLOOKUP($B31, '[1]Imp of long'!$B$2:$X$31, $A$1, FALSE)</f>
        <v>2652</v>
      </c>
      <c r="W31" s="1">
        <f>VLOOKUP($B31, '[1]Pro of hr flat'!$B$2:$X$31, $A$1, FALSE)*parameters!$B$8</f>
        <v>2677.5931721194879</v>
      </c>
      <c r="X31" s="1">
        <f>VLOOKUP($B31, '[1]Exp of flat'!$B$2:$X$31, $A$1, FALSE)</f>
        <v>324</v>
      </c>
      <c r="Y31" s="1">
        <f>VLOOKUP($B31, '[1]Imp of flat'!$B$2:$X$31, $A$1, FALSE)</f>
        <v>9270</v>
      </c>
      <c r="Z31" s="1">
        <f>VLOOKUP($B31, '[1]Indirect exp'!$B$2:$X$31, $A$1, FALSE)</f>
        <v>4485</v>
      </c>
      <c r="AA31" s="1">
        <f>VLOOKUP($B31, '[1]Indirect imp'!$B$2:$X$31, $A$1, FALSE)</f>
        <v>3170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38235</v>
      </c>
      <c r="D32" s="1">
        <f>VLOOKUP($B32, '[1]Pro of iron ore'!$B$2:$X$31, $A$1, FALSE)*(1-VLOOKUP($B32, '[1]Foundry share'!$B$2:$X$31, $A$1, FALSE))</f>
        <v>27100</v>
      </c>
      <c r="E32" s="47">
        <f>IF(VLOOKUP($B32, '[1]Iron content'!$B$2:$X$31, $A$1, FALSE)=0, parameters!$B$12, VLOOKUP($B32, '[1]Iron content'!$B$2:$X$31, $A$1, FALSE))</f>
        <v>0.70877468288217604</v>
      </c>
      <c r="F32" s="1">
        <f>VLOOKUP($B32, '[1]Exp of usable iron ore'!$B$2:$X$31, $A$1, FALSE)*$E32</f>
        <v>15777.324440957238</v>
      </c>
      <c r="G32" s="1">
        <f>VLOOKUP($B32, '[1]Pro of pig iron'!$B$2:$X$31, $A$1, FALSE)*(1-VLOOKUP($B32, '[1]Foundry share'!$B$2:$X$31, $A$1, FALSE))</f>
        <v>3172</v>
      </c>
      <c r="H32" s="1">
        <f>VLOOKUP($B32, '[1]Exp of pig iron'!$B$2:$X$31, $A$1, FALSE)</f>
        <v>0</v>
      </c>
      <c r="I32" s="1">
        <f>VLOOKUP($B32, '[1]Imp of pig iron'!$B$2:$X$31, $A$1, FALSE)</f>
        <v>50</v>
      </c>
      <c r="J32" s="1">
        <f>VLOOKUP($B32, '[1]Pro of DRI'!$B$2:$X$31, $A$1, FALSE)*(1-VLOOKUP($B32, '[1]Foundry share'!$B$2:$X$31, $A$1, FALSE))</f>
        <v>110</v>
      </c>
      <c r="K32" s="1">
        <f>VLOOKUP($B32, '[1]Exp of DRI'!$B$2:$X$31, $A$1, FALSE)</f>
        <v>2</v>
      </c>
      <c r="L32" s="1">
        <f>VLOOKUP($B32, '[1]Imp of DRI'!$B$2:$X$31, $A$1, FALSE)</f>
        <v>24</v>
      </c>
      <c r="M32" s="1">
        <f>VLOOKUP($B32, '[1]Exp of scrap'!$B$2:$X$31, $A$1, FALSE)</f>
        <v>1491</v>
      </c>
      <c r="N32" s="1">
        <f>VLOOKUP($B32, '[1]Imp of scrap'!$B$2:$X$31, $A$1, FALSE)</f>
        <v>202</v>
      </c>
      <c r="O32" s="1">
        <f>VLOOKUP($B32, '[1]Pro of BOF steel'!$B$2:$X$31, $A$1, FALSE)</f>
        <v>3124</v>
      </c>
      <c r="P32" s="1">
        <f>VLOOKUP($B32, '[1]Pro of OHF steel'!$B$2:$X$31, $A$1, FALSE)</f>
        <v>0</v>
      </c>
      <c r="Q32" s="1">
        <f>VLOOKUP($B32, '[1]Pro of EAF steel'!$B$2:$X$31, $A$1, FALSE)</f>
        <v>1596</v>
      </c>
      <c r="R32" s="1">
        <f>VLOOKUP($B32, '[1]Exp of ingots and semis'!$B$2:$X$31, $A$1, FALSE)</f>
        <v>470</v>
      </c>
      <c r="S32" s="1">
        <f>VLOOKUP($B32, '[1]Imp of ingots and semis'!$B$2:$X$31, $A$1, FALSE)</f>
        <v>186</v>
      </c>
      <c r="T32" s="1">
        <f>VLOOKUP($B32, '[1]Pro of hr long'!$B$2:$X$31, $A$1, FALSE)+VLOOKUP($B32, '[1]Pro of seamless tubes'!$B$2:$X$31, $A$1, FALSE)</f>
        <v>846</v>
      </c>
      <c r="U32" s="1">
        <f>VLOOKUP($B32, '[1]Exp of long'!$B$2:$X$31, $A$1, FALSE)</f>
        <v>445</v>
      </c>
      <c r="V32" s="1">
        <f>VLOOKUP($B32, '[1]Imp of long'!$B$2:$X$31, $A$1, FALSE)</f>
        <v>922</v>
      </c>
      <c r="W32" s="1">
        <f>VLOOKUP($B32, '[1]Pro of hr flat'!$B$2:$X$31, $A$1, FALSE)*parameters!$B$8</f>
        <v>3065.2418207681367</v>
      </c>
      <c r="X32" s="1">
        <f>VLOOKUP($B32, '[1]Exp of flat'!$B$2:$X$31, $A$1, FALSE)</f>
        <v>2638</v>
      </c>
      <c r="Y32" s="1">
        <f>VLOOKUP($B32, '[1]Imp of flat'!$B$2:$X$31, $A$1, FALSE)</f>
        <v>2414</v>
      </c>
      <c r="Z32" s="1">
        <f>VLOOKUP($B32, '[1]Indirect exp'!$B$2:$X$31, $A$1, FALSE)</f>
        <v>3216</v>
      </c>
      <c r="AA32" s="1">
        <f>VLOOKUP($B32, '[1]Indirect imp'!$B$2:$X$31, $A$1, FALSE)</f>
        <v>4051</v>
      </c>
    </row>
    <row r="33" spans="3:27">
      <c r="C33" s="1"/>
      <c r="D33" s="1"/>
      <c r="E33" s="4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5" spans="3:27">
      <c r="G35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tabSelected="1" workbookViewId="0"/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763286.57223518682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763286.57223518682</v>
      </c>
      <c r="M2" s="17"/>
      <c r="N2" s="17">
        <f ca="1">Q2-(L2+O2+P2)</f>
        <v>0</v>
      </c>
      <c r="O2" s="11" cm="1">
        <f t="array" aca="1" ref="O2" ca="1">INDIRECT("'data'!$F$" &amp; $A$1)</f>
        <v>9163.05982905983</v>
      </c>
      <c r="P2" s="13">
        <f ca="1">IF(-(L2-Q2+O2)&lt;0, -(L2-Q2+O2), 0)</f>
        <v>-555040.18214245129</v>
      </c>
      <c r="Q2" s="17" cm="1">
        <f t="array" aca="1" ref="Q2" ca="1">INDIRECT("'data'!$D$" &amp; $A$1)</f>
        <v>217409.44992179537</v>
      </c>
      <c r="R2" s="17">
        <f ca="1">SUM(L2:P2)</f>
        <v>217409.4499217954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755625.66716417915</v>
      </c>
      <c r="G3" s="14">
        <f ca="1">Q3-O3-P3-F3</f>
        <v>3796.2546659260988</v>
      </c>
      <c r="H3" s="14"/>
      <c r="I3" s="14"/>
      <c r="J3" s="14"/>
      <c r="K3" s="13"/>
      <c r="L3" s="16">
        <f t="shared" ca="1" si="0"/>
        <v>759421.92183010525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-945</v>
      </c>
      <c r="Q3" s="16" cm="1">
        <f t="array" aca="1" ref="Q3" ca="1">INDIRECT("'data'!$G$" &amp; $A$1)*parameters!$B$13</f>
        <v>758477.86683010519</v>
      </c>
      <c r="R3" s="16">
        <f t="shared" ref="R3:R10" ca="1" si="2">SUM(L3:P3)</f>
        <v>758477.86683010519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1255.8</v>
      </c>
      <c r="H4" s="14"/>
      <c r="I4" s="14"/>
      <c r="J4" s="14"/>
      <c r="K4" s="13"/>
      <c r="L4" s="16">
        <f t="shared" ca="1" si="0"/>
        <v>1255.8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-1255.8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Q6/parameters!$B$5*19%</f>
        <v>177245.52686567165</v>
      </c>
      <c r="G5" s="14">
        <f ca="1">Q7/parameters!$B$7-(G3+G4)</f>
        <v>99940.045647553532</v>
      </c>
      <c r="H5" s="14"/>
      <c r="I5" s="14"/>
      <c r="J5" s="14"/>
      <c r="K5" s="13"/>
      <c r="L5" s="16">
        <f t="shared" ca="1" si="0"/>
        <v>277185.5725132252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2.94</v>
      </c>
      <c r="P5" s="13" cm="1">
        <f t="array" aca="1" ref="P5" ca="1">-INDIRECT("'data'!$N$" &amp; $A$1)*parameters!$B$15</f>
        <v>-180.32</v>
      </c>
      <c r="Q5" s="16">
        <f ca="1">SUM(L5:P5)</f>
        <v>277008.19251322519</v>
      </c>
      <c r="R5" s="16">
        <f t="shared" ca="1" si="2"/>
        <v>277008.19251322519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875033.17999999993</v>
      </c>
      <c r="I6" s="14"/>
      <c r="J6" s="14"/>
      <c r="K6" s="13"/>
      <c r="L6" s="16">
        <f t="shared" ca="1" si="0"/>
        <v>875033.17999999993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875033.17999999993</v>
      </c>
      <c r="R6" s="16">
        <f t="shared" ca="1" si="2"/>
        <v>875033.17999999993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100477.44</v>
      </c>
      <c r="I7" s="14"/>
      <c r="J7" s="14"/>
      <c r="K7" s="13"/>
      <c r="L7" s="16">
        <f t="shared" ca="1" si="0"/>
        <v>100477.44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100477.44</v>
      </c>
      <c r="R7" s="16">
        <f t="shared" ca="1" si="2"/>
        <v>100477.44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607803.73383183486</v>
      </c>
      <c r="J8" s="14">
        <f ca="1">Q10/J18</f>
        <v>370712.54616816505</v>
      </c>
      <c r="K8" s="13"/>
      <c r="L8" s="16">
        <f t="shared" ca="1" si="0"/>
        <v>978516.27999999991</v>
      </c>
      <c r="M8" s="16"/>
      <c r="N8" s="16">
        <f t="shared" ca="1" si="3"/>
        <v>0</v>
      </c>
      <c r="O8" s="11" cm="1">
        <f t="array" aca="1" ref="O8" ca="1">INDIRECT("'data'!$R$" &amp; $A$1)*parameters!$B$15</f>
        <v>37.24</v>
      </c>
      <c r="P8" s="13" cm="1">
        <f t="array" aca="1" ref="P8" ca="1">-INDIRECT("'data'!$S$" &amp; $A$1)*parameters!$B$15</f>
        <v>-3042.9</v>
      </c>
      <c r="Q8" s="16">
        <f ca="1">SUM(Q6:Q7)</f>
        <v>975510.61999999988</v>
      </c>
      <c r="R8" s="16">
        <f t="shared" ca="1" si="2"/>
        <v>975510.61999999988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559406.54</v>
      </c>
      <c r="L9" s="16">
        <f t="shared" ca="1" si="0"/>
        <v>559406.54</v>
      </c>
      <c r="M9" s="16"/>
      <c r="N9" s="16">
        <f t="shared" ca="1" si="3"/>
        <v>0</v>
      </c>
      <c r="O9" s="11" cm="1">
        <f t="array" aca="1" ref="O9" ca="1">INDIRECT("'data'!$U$" &amp; $A$1)*parameters!$B$15</f>
        <v>15054.76</v>
      </c>
      <c r="P9" s="13" cm="1">
        <f t="array" aca="1" ref="P9" ca="1">-INDIRECT("'data'!$V$" &amp; $A$1)*parameters!$B$15</f>
        <v>-1584.66</v>
      </c>
      <c r="Q9" s="16" cm="1">
        <f t="array" aca="1" ref="Q9" ca="1">INDIRECT("'data'!$T$" &amp; $A$1)*parameters!$B$15</f>
        <v>572876.64</v>
      </c>
      <c r="R9" s="16">
        <f t="shared" ca="1" si="2"/>
        <v>572876.64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321852.16179231869</v>
      </c>
      <c r="L10" s="16">
        <f t="shared" ca="1" si="0"/>
        <v>321852.16179231869</v>
      </c>
      <c r="M10" s="16"/>
      <c r="N10" s="16">
        <f t="shared" ca="1" si="3"/>
        <v>0</v>
      </c>
      <c r="O10" s="11" cm="1">
        <f t="array" aca="1" ref="O10" ca="1">INDIRECT("'data'!$X$" &amp; $A$1)*parameters!$B$15</f>
        <v>37675.120000000003</v>
      </c>
      <c r="P10" s="13" cm="1">
        <f t="array" aca="1" ref="P10" ca="1">-INDIRECT("'data'!$Y$" &amp; $A$1)*parameters!$B$15</f>
        <v>-10117.52</v>
      </c>
      <c r="Q10" s="16" cm="1">
        <f t="array" aca="1" ref="Q10" ca="1">INDIRECT("'data'!$W$" &amp; $A$1)*parameters!$B$15</f>
        <v>349409.76179231866</v>
      </c>
      <c r="R10" s="16">
        <f t="shared" ca="1" si="2"/>
        <v>349409.76179231866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717979.66674139409</v>
      </c>
      <c r="N11" s="19"/>
      <c r="O11" s="21" cm="1">
        <f t="array" aca="1" ref="O11" ca="1">INDIRECT("'data'!$Z$" &amp; $A$1)*parameters!$B$15</f>
        <v>93871.26</v>
      </c>
      <c r="P11" s="27" cm="1">
        <f t="array" aca="1" ref="P11" ca="1">-INDIRECT("'data'!$AA$" &amp; $A$1)*parameters!$B$15</f>
        <v>-9215.92</v>
      </c>
      <c r="Q11" s="16">
        <f ca="1">K9*parameters!$B$10+K10*parameters!$B$11</f>
        <v>802635.00674139406</v>
      </c>
      <c r="R11" s="16">
        <f t="shared" ref="R11:R17" ca="1" si="4">SUM(L11:P11)</f>
        <v>802635.00674139406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-4808.7054050816223</v>
      </c>
      <c r="D12" s="9">
        <f ca="1">-(D17-Q4)</f>
        <v>0</v>
      </c>
      <c r="E12" s="9">
        <f ca="1">-(E17-Q5)</f>
        <v>-34236.967613994144</v>
      </c>
      <c r="F12" s="9">
        <f ca="1">-(F17-Q6)</f>
        <v>-57838.014029850834</v>
      </c>
      <c r="G12" s="9">
        <f ca="1">-(G17-Q7)</f>
        <v>-4514.6603134796314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-101398.34736240623</v>
      </c>
      <c r="M12" s="17"/>
      <c r="N12" s="17"/>
      <c r="O12" s="10"/>
      <c r="P12" s="12"/>
      <c r="Q12" s="9">
        <f t="shared" ref="Q12:Q17" ca="1" si="6">SUM(L12:P12)</f>
        <v>-101398.34736240623</v>
      </c>
      <c r="R12" s="17">
        <f t="shared" ca="1" si="4"/>
        <v>-101398.34736240623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-34927.093831834849</v>
      </c>
      <c r="J13" s="14">
        <f ca="1">-(J17-Q10)</f>
        <v>-21302.784375846386</v>
      </c>
      <c r="K13" s="13">
        <f ca="1">-(K17-Q11)</f>
        <v>-78623.695050924667</v>
      </c>
      <c r="L13" s="14">
        <f t="shared" ca="1" si="5"/>
        <v>-134853.5732586059</v>
      </c>
      <c r="M13" s="16">
        <f ca="1">-E15</f>
        <v>-176391.58686861343</v>
      </c>
      <c r="N13" s="16"/>
      <c r="O13" s="11"/>
      <c r="P13" s="13"/>
      <c r="Q13" s="14">
        <f t="shared" ca="1" si="6"/>
        <v>-311245.16012721934</v>
      </c>
      <c r="R13" s="16">
        <f t="shared" ca="1" si="4"/>
        <v>-311245.16012721934</v>
      </c>
    </row>
    <row r="14" spans="1:20">
      <c r="A14" s="18" t="s">
        <v>105</v>
      </c>
      <c r="B14" s="11"/>
      <c r="C14" s="14"/>
      <c r="D14" s="14"/>
      <c r="E14" s="14">
        <f ca="1">-(I13+J13)-K13</f>
        <v>134853.5732586059</v>
      </c>
      <c r="F14" s="14"/>
      <c r="G14" s="14"/>
      <c r="H14" s="14"/>
      <c r="I14" s="14"/>
      <c r="J14" s="14"/>
      <c r="K14" s="13"/>
      <c r="L14" s="14">
        <f t="shared" ca="1" si="5"/>
        <v>134853.5732586059</v>
      </c>
      <c r="M14" s="16"/>
      <c r="N14" s="16"/>
      <c r="O14" s="11"/>
      <c r="P14" s="13"/>
      <c r="Q14" s="14">
        <f t="shared" ca="1" si="6"/>
        <v>134853.5732586059</v>
      </c>
      <c r="R14" s="16">
        <f t="shared" ca="1" si="4"/>
        <v>134853.5732586059</v>
      </c>
    </row>
    <row r="15" spans="1:20">
      <c r="A15" s="18" t="s">
        <v>106</v>
      </c>
      <c r="B15" s="11"/>
      <c r="C15" s="14"/>
      <c r="D15" s="14"/>
      <c r="E15" s="14">
        <f ca="1">E17-E14</f>
        <v>176391.58686861343</v>
      </c>
      <c r="F15" s="14"/>
      <c r="G15" s="14"/>
      <c r="H15" s="14"/>
      <c r="I15" s="14"/>
      <c r="J15" s="14"/>
      <c r="K15" s="13"/>
      <c r="L15" s="14">
        <f t="shared" ca="1" si="5"/>
        <v>176391.58686861343</v>
      </c>
      <c r="M15" s="16"/>
      <c r="N15" s="16"/>
      <c r="O15" s="11"/>
      <c r="P15" s="13"/>
      <c r="Q15" s="14">
        <f t="shared" ca="1" si="6"/>
        <v>176391.58686861343</v>
      </c>
      <c r="R15" s="16">
        <f t="shared" ca="1" si="4"/>
        <v>176391.58686861343</v>
      </c>
    </row>
    <row r="16" spans="1:20">
      <c r="A16" s="30" t="s">
        <v>86</v>
      </c>
      <c r="B16" s="21">
        <f ca="1">Q2</f>
        <v>217409.44992179537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217409.44992179537</v>
      </c>
      <c r="M16" s="19"/>
      <c r="N16" s="19"/>
      <c r="O16" s="21"/>
      <c r="P16" s="27"/>
      <c r="Q16" s="22">
        <f t="shared" ca="1" si="6"/>
        <v>217409.44992179537</v>
      </c>
      <c r="R16" s="19">
        <f t="shared" ca="1" si="4"/>
        <v>217409.44992179537</v>
      </c>
    </row>
    <row r="17" spans="1:18">
      <c r="A17" s="29" t="s">
        <v>85</v>
      </c>
      <c r="B17" s="9">
        <f ca="1">B16</f>
        <v>217409.44992179537</v>
      </c>
      <c r="C17" s="9">
        <f ca="1">SUM(C$2:C$11)</f>
        <v>763286.57223518682</v>
      </c>
      <c r="D17" s="9">
        <f ca="1">SUM(D$2:D$11)</f>
        <v>0</v>
      </c>
      <c r="E17" s="9">
        <f ca="1">$Q$5/parameters!$B$4</f>
        <v>311245.16012721934</v>
      </c>
      <c r="F17" s="9">
        <f t="shared" ref="F17:K17" ca="1" si="7">SUM(F$2:F$11)</f>
        <v>932871.19402985077</v>
      </c>
      <c r="G17" s="9">
        <f t="shared" ca="1" si="7"/>
        <v>104992.10031347963</v>
      </c>
      <c r="H17" s="9">
        <f t="shared" ca="1" si="7"/>
        <v>975510.61999999988</v>
      </c>
      <c r="I17" s="9">
        <f t="shared" ca="1" si="7"/>
        <v>607803.73383183486</v>
      </c>
      <c r="J17" s="9">
        <f t="shared" ca="1" si="7"/>
        <v>370712.54616816505</v>
      </c>
      <c r="K17" s="9">
        <f t="shared" ca="1" si="7"/>
        <v>881258.70179231872</v>
      </c>
      <c r="L17" s="17">
        <f t="shared" ca="1" si="5"/>
        <v>5165090.0784198502</v>
      </c>
      <c r="M17" s="17"/>
      <c r="N17" s="17"/>
      <c r="O17" s="9"/>
      <c r="P17" s="14"/>
      <c r="Q17" s="11">
        <f t="shared" ca="1" si="6"/>
        <v>5165090.0784198502</v>
      </c>
      <c r="R17" s="17">
        <f t="shared" ca="1" si="4"/>
        <v>5165090.0784198502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0.94253557211364813</v>
      </c>
      <c r="J18" s="39">
        <f ca="1">I18</f>
        <v>0.94253557211364813</v>
      </c>
      <c r="K18" s="40">
        <f ca="1">1-(-K13)/K17</f>
        <v>0.91078250360419877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61194.204094913461</v>
      </c>
      <c r="D2" s="9">
        <f ca="1">Q4/parameters!$B$3</f>
        <v>27105.978651459915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88300.182746373379</v>
      </c>
      <c r="M2" s="17"/>
      <c r="N2" s="17">
        <f ca="1">Q2-(L2+O2+P2)</f>
        <v>1667.1344464539434</v>
      </c>
      <c r="O2" s="11" cm="1">
        <f t="array" aca="1" ref="O2" ca="1">INDIRECT("'data'!$F$" &amp; $A$1)</f>
        <v>19367.383724366173</v>
      </c>
      <c r="P2" s="13">
        <f ca="1">IF(-(L2-Q2+O2)&lt;0, -(L2-Q2+O2), 0)</f>
        <v>0</v>
      </c>
      <c r="Q2" s="17" cm="1">
        <f t="array" aca="1" ref="Q2" ca="1">INDIRECT("'data'!$D$" &amp; $A$1)</f>
        <v>109334.70091719349</v>
      </c>
      <c r="R2" s="17">
        <f ca="1">SUM(L2:P2)</f>
        <v>109334.70091719349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40687.761194029852</v>
      </c>
      <c r="G3" s="14">
        <f ca="1">Q3-O3-P3-F3</f>
        <v>19878.054415085659</v>
      </c>
      <c r="H3" s="14"/>
      <c r="I3" s="14"/>
      <c r="J3" s="14"/>
      <c r="K3" s="13"/>
      <c r="L3" s="16">
        <f t="shared" ca="1" si="0"/>
        <v>60565.815609115511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261.76499999999999</v>
      </c>
      <c r="P3" s="13" cm="1">
        <f t="array" aca="1" ref="P3" ca="1">-INDIRECT("'data'!$I$" &amp; $A$1)*parameters!$B$13</f>
        <v>-18.899999999999999</v>
      </c>
      <c r="Q3" s="16" cm="1">
        <f t="array" aca="1" ref="Q3" ca="1">INDIRECT("'data'!$G$" &amp; $A$1)*parameters!$B$13</f>
        <v>60808.680609115509</v>
      </c>
      <c r="R3" s="16">
        <f t="shared" ref="R3:R10" ca="1" si="2">SUM(L3:P3)</f>
        <v>60808.680609115509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26196.450985955718</v>
      </c>
      <c r="H4" s="14"/>
      <c r="I4" s="14"/>
      <c r="J4" s="14"/>
      <c r="K4" s="13"/>
      <c r="L4" s="16">
        <f t="shared" ca="1" si="0"/>
        <v>26196.450985955718</v>
      </c>
      <c r="M4" s="16"/>
      <c r="N4" s="16">
        <f t="shared" ca="1" si="1"/>
        <v>0</v>
      </c>
      <c r="O4" s="11" cm="1">
        <f t="array" aca="1" ref="O4" ca="1">INDIRECT("'data'!$K$" &amp; $A$1)*parameters!$B$14</f>
        <v>792.12</v>
      </c>
      <c r="P4" s="13" cm="1">
        <f t="array" aca="1" ref="P4" ca="1">-INDIRECT("'data'!$L$" &amp; $A$1)*parameters!$B$14</f>
        <v>-53.36</v>
      </c>
      <c r="Q4" s="16" cm="1">
        <f t="array" aca="1" ref="Q4" ca="1">INDIRECT("'data'!$J$" &amp; $A$1)*parameters!$B$14</f>
        <v>26935.210985955717</v>
      </c>
      <c r="R4" s="16">
        <f t="shared" ca="1" si="2"/>
        <v>26935.210985955717</v>
      </c>
      <c r="S4" s="7"/>
    </row>
    <row r="5" spans="1:22" ht="17">
      <c r="A5" s="15" t="s">
        <v>104</v>
      </c>
      <c r="B5" s="11"/>
      <c r="C5" s="14"/>
      <c r="D5" s="14"/>
      <c r="E5" s="14"/>
      <c r="F5" s="14">
        <f ca="1">Q6/parameters!$B$5*20%</f>
        <v>10171.940298507463</v>
      </c>
      <c r="G5" s="14">
        <f ca="1">Q7/parameters!$B$7-(G3+G4)</f>
        <v>18109.862415050586</v>
      </c>
      <c r="H5" s="14"/>
      <c r="I5" s="14"/>
      <c r="J5" s="14"/>
      <c r="K5" s="13"/>
      <c r="L5" s="16">
        <f t="shared" ca="1" si="0"/>
        <v>28281.802713558049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-6911.94</v>
      </c>
      <c r="Q5" s="16">
        <f ca="1">SUM(L5:P5)</f>
        <v>21369.86271355805</v>
      </c>
      <c r="R5" s="16">
        <f t="shared" ca="1" si="2"/>
        <v>21369.86271355805</v>
      </c>
      <c r="S5" s="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47706.400000000001</v>
      </c>
      <c r="I6" s="14"/>
      <c r="J6" s="14"/>
      <c r="K6" s="13"/>
      <c r="L6" s="16">
        <f t="shared" ca="1" si="0"/>
        <v>47706.400000000001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47706.400000000001</v>
      </c>
      <c r="R6" s="16">
        <f t="shared" ca="1" si="2"/>
        <v>47706.400000000001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61424.44</v>
      </c>
      <c r="I7" s="14"/>
      <c r="J7" s="14"/>
      <c r="K7" s="13"/>
      <c r="L7" s="16">
        <f t="shared" ca="1" si="0"/>
        <v>61424.44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61424.44</v>
      </c>
      <c r="R7" s="16">
        <f t="shared" ca="1" si="2"/>
        <v>61424.44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56995.127299378422</v>
      </c>
      <c r="J8" s="14">
        <f ca="1">Q10/J18</f>
        <v>49842.512700621577</v>
      </c>
      <c r="K8" s="13"/>
      <c r="L8" s="16">
        <f t="shared" ca="1" si="0"/>
        <v>106837.64</v>
      </c>
      <c r="M8" s="16"/>
      <c r="N8" s="16">
        <f t="shared" ca="1" si="3"/>
        <v>0</v>
      </c>
      <c r="O8" s="11" cm="1">
        <f t="array" aca="1" ref="O8" ca="1">INDIRECT("'data'!$R$" &amp; $A$1)*parameters!$B$15</f>
        <v>2662.66</v>
      </c>
      <c r="P8" s="13" cm="1">
        <f t="array" aca="1" ref="P8" ca="1">-INDIRECT("'data'!$S$" &amp; $A$1)*parameters!$B$15</f>
        <v>-369.46</v>
      </c>
      <c r="Q8" s="16">
        <f ca="1">SUM(Q6:Q7)</f>
        <v>109130.84</v>
      </c>
      <c r="R8" s="16">
        <f t="shared" ca="1" si="2"/>
        <v>109130.84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53560.920000000006</v>
      </c>
      <c r="L9" s="16">
        <f t="shared" ca="1" si="0"/>
        <v>53560.920000000006</v>
      </c>
      <c r="M9" s="16"/>
      <c r="N9" s="16">
        <f t="shared" ca="1" si="3"/>
        <v>0</v>
      </c>
      <c r="O9" s="11" cm="1">
        <f t="array" aca="1" ref="O9" ca="1">INDIRECT("'data'!$U$" &amp; $A$1)*parameters!$B$15</f>
        <v>1509.2</v>
      </c>
      <c r="P9" s="13" cm="1">
        <f t="array" aca="1" ref="P9" ca="1">-INDIRECT("'data'!$V$" &amp; $A$1)*parameters!$B$15</f>
        <v>-1089.76</v>
      </c>
      <c r="Q9" s="16" cm="1">
        <f t="array" aca="1" ref="Q9" ca="1">INDIRECT("'data'!$T$" &amp; $A$1)*parameters!$B$15</f>
        <v>53980.36</v>
      </c>
      <c r="R9" s="16">
        <f t="shared" ca="1" si="2"/>
        <v>53980.36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46156.504210526313</v>
      </c>
      <c r="L10" s="16">
        <f t="shared" ca="1" si="0"/>
        <v>46156.504210526313</v>
      </c>
      <c r="M10" s="16"/>
      <c r="N10" s="16">
        <f t="shared" ca="1" si="3"/>
        <v>0</v>
      </c>
      <c r="O10" s="11" cm="1">
        <f t="array" aca="1" ref="O10" ca="1">INDIRECT("'data'!$X$" &amp; $A$1)*parameters!$B$15</f>
        <v>7390.18</v>
      </c>
      <c r="P10" s="13" cm="1">
        <f t="array" aca="1" ref="P10" ca="1">-INDIRECT("'data'!$Y$" &amp; $A$1)*parameters!$B$15</f>
        <v>-6340.5999999999995</v>
      </c>
      <c r="Q10" s="16" cm="1">
        <f t="array" aca="1" ref="Q10" ca="1">INDIRECT("'data'!$W$" &amp; $A$1)*parameters!$B$15</f>
        <v>47206.084210526315</v>
      </c>
      <c r="R10" s="16">
        <f t="shared" ca="1" si="2"/>
        <v>47206.084210526315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89927.198421052628</v>
      </c>
      <c r="N11" s="19"/>
      <c r="O11" s="21" cm="1">
        <f t="array" aca="1" ref="O11" ca="1">INDIRECT("'data'!$Z$" &amp; $A$1)*parameters!$B$15</f>
        <v>5449.78</v>
      </c>
      <c r="P11" s="27" cm="1">
        <f t="array" aca="1" ref="P11" ca="1">-INDIRECT("'data'!$AA$" &amp; $A$1)*parameters!$B$15</f>
        <v>-5335.12</v>
      </c>
      <c r="Q11" s="16">
        <f ca="1">K9*parameters!$B$10+K10*parameters!$B$11</f>
        <v>90041.858421052631</v>
      </c>
      <c r="R11" s="16">
        <f t="shared" ref="R11:R17" ca="1" si="4">SUM(L11:P11)</f>
        <v>90041.858421052631</v>
      </c>
      <c r="S11" s="7"/>
    </row>
    <row r="12" spans="1:22">
      <c r="A12" s="29" t="s">
        <v>107</v>
      </c>
      <c r="B12" s="10">
        <f ca="1">-(B17-Q2)</f>
        <v>0</v>
      </c>
      <c r="C12" s="9">
        <f ca="1">-(C17-Q3)</f>
        <v>-385.52348579795216</v>
      </c>
      <c r="D12" s="9">
        <f ca="1">-(D17-Q4)</f>
        <v>-170.76766550419779</v>
      </c>
      <c r="E12" s="9">
        <f ca="1">-(E17-Q5)</f>
        <v>-2641.2189870689726</v>
      </c>
      <c r="F12" s="9">
        <f ca="1">-(F17-Q6)</f>
        <v>-3153.3014925373136</v>
      </c>
      <c r="G12" s="9">
        <f ca="1">-(G17-Q7)</f>
        <v>-2759.9278160919566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-9110.7394470003928</v>
      </c>
      <c r="M12" s="17"/>
      <c r="N12" s="17"/>
      <c r="O12" s="10"/>
      <c r="P12" s="12"/>
      <c r="Q12" s="9">
        <f t="shared" ref="Q12:Q17" ca="1" si="6">SUM(L12:P12)</f>
        <v>-9110.7394470003928</v>
      </c>
      <c r="R12" s="17">
        <f t="shared" ca="1" si="4"/>
        <v>-9110.7394470003928</v>
      </c>
    </row>
    <row r="13" spans="1:22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-3014.7672993784217</v>
      </c>
      <c r="J13" s="14">
        <f ca="1">-(J17-Q10)</f>
        <v>-2636.4284900952625</v>
      </c>
      <c r="K13" s="13">
        <f ca="1">-(K17-Q11)</f>
        <v>-9675.5657894736796</v>
      </c>
      <c r="L13" s="14">
        <f t="shared" ca="1" si="5"/>
        <v>-15326.761578947364</v>
      </c>
      <c r="M13" s="16">
        <f ca="1">-E15</f>
        <v>-8684.3201216796588</v>
      </c>
      <c r="N13" s="16"/>
      <c r="O13" s="11"/>
      <c r="P13" s="13"/>
      <c r="Q13" s="14">
        <f t="shared" ca="1" si="6"/>
        <v>-24011.081700627023</v>
      </c>
      <c r="R13" s="16">
        <f t="shared" ca="1" si="4"/>
        <v>-24011.081700627023</v>
      </c>
    </row>
    <row r="14" spans="1:22">
      <c r="A14" s="18" t="s">
        <v>105</v>
      </c>
      <c r="B14" s="11"/>
      <c r="C14" s="14"/>
      <c r="D14" s="14"/>
      <c r="E14" s="14">
        <f ca="1">-(I13+J13)-K13</f>
        <v>15326.761578947364</v>
      </c>
      <c r="F14" s="14"/>
      <c r="G14" s="14"/>
      <c r="H14" s="14"/>
      <c r="I14" s="14"/>
      <c r="J14" s="14"/>
      <c r="K14" s="13"/>
      <c r="L14" s="14">
        <f t="shared" ca="1" si="5"/>
        <v>15326.761578947364</v>
      </c>
      <c r="M14" s="16"/>
      <c r="N14" s="16"/>
      <c r="O14" s="11"/>
      <c r="P14" s="13"/>
      <c r="Q14" s="14">
        <f t="shared" ca="1" si="6"/>
        <v>15326.761578947364</v>
      </c>
      <c r="R14" s="16">
        <f t="shared" ca="1" si="4"/>
        <v>15326.761578947364</v>
      </c>
    </row>
    <row r="15" spans="1:22">
      <c r="A15" s="18" t="s">
        <v>106</v>
      </c>
      <c r="B15" s="11"/>
      <c r="C15" s="14"/>
      <c r="D15" s="14"/>
      <c r="E15" s="14">
        <f ca="1">E17-E14</f>
        <v>8684.3201216796588</v>
      </c>
      <c r="F15" s="14"/>
      <c r="G15" s="14"/>
      <c r="H15" s="14"/>
      <c r="I15" s="14"/>
      <c r="J15" s="14"/>
      <c r="K15" s="13"/>
      <c r="L15" s="14">
        <f t="shared" ca="1" si="5"/>
        <v>8684.3201216796588</v>
      </c>
      <c r="M15" s="16"/>
      <c r="N15" s="16"/>
      <c r="O15" s="11"/>
      <c r="P15" s="13"/>
      <c r="Q15" s="14">
        <f t="shared" ca="1" si="6"/>
        <v>8684.3201216796588</v>
      </c>
      <c r="R15" s="16">
        <f t="shared" ca="1" si="4"/>
        <v>8684.3201216796588</v>
      </c>
    </row>
    <row r="16" spans="1:22">
      <c r="A16" s="30" t="s">
        <v>86</v>
      </c>
      <c r="B16" s="21">
        <f ca="1">Q2</f>
        <v>109334.70091719349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109334.70091719349</v>
      </c>
      <c r="M16" s="19"/>
      <c r="N16" s="19"/>
      <c r="O16" s="21"/>
      <c r="P16" s="27"/>
      <c r="Q16" s="22">
        <f t="shared" ca="1" si="6"/>
        <v>109334.70091719349</v>
      </c>
      <c r="R16" s="19">
        <f t="shared" ca="1" si="4"/>
        <v>109334.70091719349</v>
      </c>
    </row>
    <row r="17" spans="1:18">
      <c r="A17" s="29" t="s">
        <v>85</v>
      </c>
      <c r="B17" s="9">
        <f ca="1">B16</f>
        <v>109334.70091719349</v>
      </c>
      <c r="C17" s="9">
        <f ca="1">SUM(C$2:C$11)</f>
        <v>61194.204094913461</v>
      </c>
      <c r="D17" s="9">
        <f ca="1">SUM(D$2:D$11)</f>
        <v>27105.978651459915</v>
      </c>
      <c r="E17" s="9">
        <f ca="1">$Q$5/parameters!$B$4</f>
        <v>24011.081700627023</v>
      </c>
      <c r="F17" s="9">
        <f t="shared" ref="F17:K17" ca="1" si="7">SUM(F$2:F$11)</f>
        <v>50859.701492537315</v>
      </c>
      <c r="G17" s="9">
        <f t="shared" ca="1" si="7"/>
        <v>64184.367816091959</v>
      </c>
      <c r="H17" s="9">
        <f t="shared" ca="1" si="7"/>
        <v>109130.84</v>
      </c>
      <c r="I17" s="9">
        <f t="shared" ca="1" si="7"/>
        <v>56995.127299378422</v>
      </c>
      <c r="J17" s="9">
        <f t="shared" ca="1" si="7"/>
        <v>49842.512700621577</v>
      </c>
      <c r="K17" s="9">
        <f t="shared" ca="1" si="7"/>
        <v>99717.424210526311</v>
      </c>
      <c r="L17" s="17">
        <f t="shared" ca="1" si="5"/>
        <v>652375.93888334953</v>
      </c>
      <c r="M17" s="17"/>
      <c r="N17" s="17"/>
      <c r="O17" s="9"/>
      <c r="P17" s="14"/>
      <c r="Q17" s="11">
        <f t="shared" ca="1" si="6"/>
        <v>652375.93888334953</v>
      </c>
      <c r="R17" s="17">
        <f t="shared" ca="1" si="4"/>
        <v>652375.93888334953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0.94710482382918904</v>
      </c>
      <c r="J18" s="39">
        <f ca="1">I18</f>
        <v>0.94710482382918904</v>
      </c>
      <c r="K18" s="40">
        <f ca="1">1-(-K13)/K17</f>
        <v>0.90297015926678625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7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71235.90117741772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71235.90117741772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-71235.90117741772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69722.998507462675</v>
      </c>
      <c r="G3" s="14">
        <f ca="1">Q3-O3-P3-F3</f>
        <v>1177.5164925373101</v>
      </c>
      <c r="H3" s="14"/>
      <c r="I3" s="14"/>
      <c r="J3" s="14"/>
      <c r="K3" s="13"/>
      <c r="L3" s="16">
        <f t="shared" ca="1" si="0"/>
        <v>70900.514999999985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41.58</v>
      </c>
      <c r="P3" s="13" cm="1">
        <f t="array" aca="1" ref="P3" ca="1">-INDIRECT("'data'!$I$" &amp; $A$1)*parameters!$B$13</f>
        <v>-154.97999999999999</v>
      </c>
      <c r="Q3" s="16" cm="1">
        <f t="array" aca="1" ref="Q3" ca="1">INDIRECT("'data'!$G$" &amp; $A$1)*parameters!$B$13</f>
        <v>70787.114999999991</v>
      </c>
      <c r="R3" s="16">
        <f t="shared" ref="R3:R10" ca="1" si="2">SUM(L3:P3)</f>
        <v>70787.114999999991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17.48</v>
      </c>
      <c r="H4" s="14"/>
      <c r="I4" s="14"/>
      <c r="J4" s="14"/>
      <c r="K4" s="13"/>
      <c r="L4" s="16">
        <f t="shared" ca="1" si="0"/>
        <v>17.48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-17.48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Q6/parameters!$B$5*11%</f>
        <v>8617.4492537313436</v>
      </c>
      <c r="G5" s="14">
        <f ca="1">Q7/parameters!$B$7-(G3+G4)</f>
        <v>23690.04008008547</v>
      </c>
      <c r="H5" s="14"/>
      <c r="I5" s="14"/>
      <c r="J5" s="14"/>
      <c r="K5" s="13"/>
      <c r="L5" s="16">
        <f t="shared" ca="1" si="0"/>
        <v>32307.489333816811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7503.86</v>
      </c>
      <c r="P5" s="13" cm="1">
        <f t="array" aca="1" ref="P5" ca="1">-INDIRECT("'data'!$N$" &amp; $A$1)*parameters!$B$15</f>
        <v>-104.86</v>
      </c>
      <c r="Q5" s="16">
        <f ca="1">SUM(L5:P5)</f>
        <v>39706.489333816811</v>
      </c>
      <c r="R5" s="16">
        <f t="shared" ca="1" si="2"/>
        <v>39706.489333816811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73483.34</v>
      </c>
      <c r="I6" s="14"/>
      <c r="J6" s="14"/>
      <c r="K6" s="13"/>
      <c r="L6" s="16">
        <f t="shared" ca="1" si="0"/>
        <v>73483.34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73483.34</v>
      </c>
      <c r="R6" s="16">
        <f t="shared" ca="1" si="2"/>
        <v>73483.34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23814.98</v>
      </c>
      <c r="I7" s="14"/>
      <c r="J7" s="14"/>
      <c r="K7" s="13"/>
      <c r="L7" s="16">
        <f t="shared" ca="1" si="0"/>
        <v>23814.98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23814.98</v>
      </c>
      <c r="R7" s="16">
        <f t="shared" ca="1" si="2"/>
        <v>23814.98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31893.201614889091</v>
      </c>
      <c r="J8" s="14">
        <f ca="1">Q10/J18</f>
        <v>62308.318385110899</v>
      </c>
      <c r="K8" s="13"/>
      <c r="L8" s="16">
        <f t="shared" ca="1" si="0"/>
        <v>94201.51999999999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3423.14</v>
      </c>
      <c r="P8" s="13" cm="1">
        <f t="array" aca="1" ref="P8" ca="1">-INDIRECT("'data'!$S$" &amp; $A$1)*parameters!$B$15</f>
        <v>-326.33999999999997</v>
      </c>
      <c r="Q8" s="16">
        <f ca="1">SUM(Q6:Q7)</f>
        <v>97298.319999999992</v>
      </c>
      <c r="R8" s="16">
        <f t="shared" ca="1" si="2"/>
        <v>97298.319999999992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25501.559999999998</v>
      </c>
      <c r="L9" s="16">
        <f t="shared" ca="1" si="0"/>
        <v>25501.559999999998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4184.6000000000004</v>
      </c>
      <c r="P9" s="13" cm="1">
        <f t="array" aca="1" ref="P9" ca="1">-INDIRECT("'data'!$V$" &amp; $A$1)*parameters!$B$15</f>
        <v>-1088.78</v>
      </c>
      <c r="Q9" s="16" cm="1">
        <f t="array" aca="1" ref="Q9" ca="1">INDIRECT("'data'!$T$" &amp; $A$1)*parameters!$B$15</f>
        <v>28597.38</v>
      </c>
      <c r="R9" s="16">
        <f t="shared" ca="1" si="2"/>
        <v>28597.379999999997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37231.779431009956</v>
      </c>
      <c r="L10" s="16">
        <f t="shared" ca="1" si="0"/>
        <v>37231.779431009956</v>
      </c>
      <c r="M10" s="16"/>
      <c r="N10" s="16">
        <f t="shared" ca="1" si="3"/>
        <v>0</v>
      </c>
      <c r="O10" s="11" cm="1">
        <f t="array" aca="1" ref="O10" ca="1">INDIRECT("'data'!$X$" &amp; $A$1)*parameters!$B$15</f>
        <v>23222.079999999998</v>
      </c>
      <c r="P10" s="13" cm="1">
        <f t="array" aca="1" ref="P10" ca="1">-INDIRECT("'data'!$Y$" &amp; $A$1)*parameters!$B$15</f>
        <v>-4584.4399999999996</v>
      </c>
      <c r="Q10" s="16" cm="1">
        <f t="array" aca="1" ref="Q10" ca="1">INDIRECT("'data'!$W$" &amp; $A$1)*parameters!$B$15</f>
        <v>55869.419431009956</v>
      </c>
      <c r="R10" s="16">
        <f t="shared" ca="1" si="2"/>
        <v>55869.419431009956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42417.796710668561</v>
      </c>
      <c r="N11" s="19"/>
      <c r="O11" s="21" cm="1">
        <f t="array" aca="1" ref="O11" ca="1">INDIRECT("'data'!$Z$" &amp; $A$1)*parameters!$B$15</f>
        <v>21294.42</v>
      </c>
      <c r="P11" s="27" cm="1">
        <f t="array" aca="1" ref="P11" ca="1">-INDIRECT("'data'!$AA$" &amp; $A$1)*parameters!$B$15</f>
        <v>-7721.42</v>
      </c>
      <c r="Q11" s="16">
        <f ca="1">K9*parameters!$B$10+K10*parameters!$B$11</f>
        <v>55990.796710668561</v>
      </c>
      <c r="R11" s="16">
        <f t="shared" ref="R11:R17" ca="1" si="4">SUM(L11:P11)</f>
        <v>55990.796710668561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-448.78617741772905</v>
      </c>
      <c r="D12" s="9">
        <f ca="1">-(D17-Q4)</f>
        <v>0</v>
      </c>
      <c r="E12" s="9">
        <f ca="1">-(E17-Q5)</f>
        <v>-4907.5436255279201</v>
      </c>
      <c r="F12" s="9">
        <f ca="1">-(F17-Q6)</f>
        <v>-4857.1077611940273</v>
      </c>
      <c r="G12" s="9">
        <f ca="1">-(G17-Q7)</f>
        <v>-1070.0565726227796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-11283.494136762456</v>
      </c>
      <c r="M12" s="17"/>
      <c r="N12" s="17"/>
      <c r="O12" s="10"/>
      <c r="P12" s="12"/>
      <c r="Q12" s="9">
        <f t="shared" ref="Q12:Q17" ca="1" si="6">SUM(L12:P12)</f>
        <v>-11283.494136762456</v>
      </c>
      <c r="R12" s="17">
        <f t="shared" ca="1" si="4"/>
        <v>-11283.494136762456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-3295.8216148890897</v>
      </c>
      <c r="J13" s="14">
        <f ca="1">-(J17-Q10)</f>
        <v>-6438.8989541009432</v>
      </c>
      <c r="K13" s="13">
        <f ca="1">-(K17-Q11)</f>
        <v>-6742.5427203413929</v>
      </c>
      <c r="L13" s="14">
        <f t="shared" ca="1" si="5"/>
        <v>-16477.263289331426</v>
      </c>
      <c r="M13" s="16">
        <f ca="1">-E15</f>
        <v>-28136.769670013306</v>
      </c>
      <c r="N13" s="16"/>
      <c r="O13" s="11"/>
      <c r="P13" s="13"/>
      <c r="Q13" s="14">
        <f t="shared" ca="1" si="6"/>
        <v>-44614.032959344731</v>
      </c>
      <c r="R13" s="16">
        <f t="shared" ca="1" si="4"/>
        <v>-44614.032959344731</v>
      </c>
    </row>
    <row r="14" spans="1:20">
      <c r="A14" s="18" t="s">
        <v>105</v>
      </c>
      <c r="B14" s="11"/>
      <c r="C14" s="14"/>
      <c r="D14" s="14"/>
      <c r="E14" s="14">
        <f ca="1">-(I13+J13)-K13</f>
        <v>16477.263289331426</v>
      </c>
      <c r="F14" s="14"/>
      <c r="G14" s="14"/>
      <c r="H14" s="14"/>
      <c r="I14" s="14"/>
      <c r="J14" s="14"/>
      <c r="K14" s="13"/>
      <c r="L14" s="14">
        <f t="shared" ca="1" si="5"/>
        <v>16477.263289331426</v>
      </c>
      <c r="M14" s="16"/>
      <c r="N14" s="16"/>
      <c r="O14" s="11"/>
      <c r="P14" s="13"/>
      <c r="Q14" s="14">
        <f t="shared" ca="1" si="6"/>
        <v>16477.263289331426</v>
      </c>
      <c r="R14" s="16">
        <f t="shared" ca="1" si="4"/>
        <v>16477.263289331426</v>
      </c>
    </row>
    <row r="15" spans="1:20">
      <c r="A15" s="18" t="s">
        <v>106</v>
      </c>
      <c r="B15" s="11"/>
      <c r="C15" s="14"/>
      <c r="D15" s="14"/>
      <c r="E15" s="14">
        <f ca="1">E17-E14</f>
        <v>28136.769670013306</v>
      </c>
      <c r="F15" s="14"/>
      <c r="G15" s="14"/>
      <c r="H15" s="14"/>
      <c r="I15" s="14"/>
      <c r="J15" s="14"/>
      <c r="K15" s="13"/>
      <c r="L15" s="14">
        <f t="shared" ca="1" si="5"/>
        <v>28136.769670013306</v>
      </c>
      <c r="M15" s="16"/>
      <c r="N15" s="16"/>
      <c r="O15" s="11"/>
      <c r="P15" s="13"/>
      <c r="Q15" s="14">
        <f t="shared" ca="1" si="6"/>
        <v>28136.769670013306</v>
      </c>
      <c r="R15" s="16">
        <f t="shared" ca="1" si="4"/>
        <v>28136.769670013306</v>
      </c>
    </row>
    <row r="16" spans="1:20">
      <c r="A16" s="30" t="s">
        <v>86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85</v>
      </c>
      <c r="B17" s="9">
        <f ca="1">B16</f>
        <v>0</v>
      </c>
      <c r="C17" s="9">
        <f ca="1">SUM(C$2:C$11)</f>
        <v>71235.90117741772</v>
      </c>
      <c r="D17" s="9">
        <f ca="1">SUM(D$2:D$11)</f>
        <v>0</v>
      </c>
      <c r="E17" s="9">
        <f ca="1">$Q$5/parameters!$B$4</f>
        <v>44614.032959344731</v>
      </c>
      <c r="F17" s="9">
        <f t="shared" ref="F17:K17" ca="1" si="7">SUM(F$2:F$11)</f>
        <v>78340.447761194024</v>
      </c>
      <c r="G17" s="9">
        <f t="shared" ca="1" si="7"/>
        <v>24885.036572622779</v>
      </c>
      <c r="H17" s="9">
        <f t="shared" ca="1" si="7"/>
        <v>97298.319999999992</v>
      </c>
      <c r="I17" s="9">
        <f t="shared" ca="1" si="7"/>
        <v>31893.201614889091</v>
      </c>
      <c r="J17" s="9">
        <f t="shared" ca="1" si="7"/>
        <v>62308.318385110899</v>
      </c>
      <c r="K17" s="9">
        <f t="shared" ca="1" si="7"/>
        <v>62733.339431009954</v>
      </c>
      <c r="L17" s="17">
        <f t="shared" ca="1" si="5"/>
        <v>473308.59790158918</v>
      </c>
      <c r="M17" s="17"/>
      <c r="N17" s="17"/>
      <c r="O17" s="9"/>
      <c r="P17" s="14"/>
      <c r="Q17" s="11">
        <f t="shared" ca="1" si="6"/>
        <v>473308.59790158918</v>
      </c>
      <c r="R17" s="17">
        <f t="shared" ca="1" si="4"/>
        <v>473308.59790158918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0.89666068478523453</v>
      </c>
      <c r="J18" s="39">
        <f ca="1">I18</f>
        <v>0.89666068478523453</v>
      </c>
      <c r="K18" s="40">
        <f ca="1">1-(-K13)/K17</f>
        <v>0.89252058344899043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  <row r="27" spans="1:18">
      <c r="F27" s="48"/>
      <c r="G27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21208.055751232765</v>
      </c>
      <c r="D2" s="9">
        <f ca="1">Q4/parameters!$B$3</f>
        <v>2999.6980980175103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24207.753849250275</v>
      </c>
      <c r="M2" s="17"/>
      <c r="N2" s="17">
        <f ca="1">Q2-(L2+O2+P2)</f>
        <v>0</v>
      </c>
      <c r="O2" s="11" cm="1">
        <f t="array" aca="1" ref="O2" ca="1">INDIRECT("'data'!$F$" &amp; $A$1)</f>
        <v>7204.7377398720682</v>
      </c>
      <c r="P2" s="13">
        <f ca="1">IF(-(L2-Q2+O2)&lt;0, -(L2-Q2+O2), 0)</f>
        <v>-1612.4915891223436</v>
      </c>
      <c r="Q2" s="17" cm="1">
        <f t="array" aca="1" ref="Q2" ca="1">INDIRECT("'data'!$D$" &amp; $A$1)</f>
        <v>29800</v>
      </c>
      <c r="R2" s="17">
        <f ca="1">SUM(L2:P2)</f>
        <v>29800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22780.089552238809</v>
      </c>
      <c r="G3" s="14">
        <f ca="1">Q3-O3-P3-F3</f>
        <v>3013.6854477611887</v>
      </c>
      <c r="H3" s="14"/>
      <c r="I3" s="14"/>
      <c r="J3" s="14"/>
      <c r="K3" s="13"/>
      <c r="L3" s="16">
        <f t="shared" ca="1" si="0"/>
        <v>25793.774999999998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10.395</v>
      </c>
      <c r="P3" s="13" cm="1">
        <f t="array" aca="1" ref="P3" ca="1">-INDIRECT("'data'!$I$" &amp; $A$1)*parameters!$B$13</f>
        <v>-4729.7249999999995</v>
      </c>
      <c r="Q3" s="16" cm="1">
        <f t="array" aca="1" ref="Q3" ca="1">INDIRECT("'data'!$G$" &amp; $A$1)*parameters!$B$13</f>
        <v>21074.445</v>
      </c>
      <c r="R3" s="16">
        <f t="shared" ref="R3:R10" ca="1" si="2">SUM(L3:P3)</f>
        <v>21074.445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4006.6000000000004</v>
      </c>
      <c r="H4" s="14"/>
      <c r="I4" s="14"/>
      <c r="J4" s="14"/>
      <c r="K4" s="13"/>
      <c r="L4" s="16">
        <f t="shared" ca="1" si="0"/>
        <v>4006.6000000000004</v>
      </c>
      <c r="M4" s="16"/>
      <c r="N4" s="16">
        <f t="shared" ca="1" si="1"/>
        <v>0</v>
      </c>
      <c r="O4" s="11" cm="1">
        <f t="array" aca="1" ref="O4" ca="1">INDIRECT("'data'!$K$" &amp; $A$1)*parameters!$B$14</f>
        <v>595.24</v>
      </c>
      <c r="P4" s="13" cm="1">
        <f t="array" aca="1" ref="P4" ca="1">-INDIRECT("'data'!$L$" &amp; $A$1)*parameters!$B$14</f>
        <v>-1621.04</v>
      </c>
      <c r="Q4" s="16" cm="1">
        <f t="array" aca="1" ref="Q4" ca="1">INDIRECT("'data'!$J$" &amp; $A$1)*parameters!$B$14</f>
        <v>2980.8</v>
      </c>
      <c r="R4" s="16">
        <f t="shared" ca="1" si="2"/>
        <v>2980.8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Q6/parameters!$B$5*18%</f>
        <v>5000.507462686568</v>
      </c>
      <c r="G5" s="14">
        <f ca="1">Q7/parameters!$B$7-(G3+G4)</f>
        <v>55620.863977526169</v>
      </c>
      <c r="H5" s="14"/>
      <c r="I5" s="14"/>
      <c r="J5" s="14"/>
      <c r="K5" s="13"/>
      <c r="L5" s="16">
        <f t="shared" ca="1" si="0"/>
        <v>60621.371440212737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17331.3</v>
      </c>
      <c r="P5" s="13" cm="1">
        <f t="array" aca="1" ref="P5" ca="1">-INDIRECT("'data'!$N$" &amp; $A$1)*parameters!$B$15</f>
        <v>-4182.6400000000003</v>
      </c>
      <c r="Q5" s="16">
        <f ca="1">SUM(L5:P5)</f>
        <v>73770.031440212741</v>
      </c>
      <c r="R5" s="16">
        <f t="shared" ca="1" si="2"/>
        <v>73770.031440212741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26058.2</v>
      </c>
      <c r="I6" s="14"/>
      <c r="J6" s="14"/>
      <c r="K6" s="13"/>
      <c r="L6" s="16">
        <f t="shared" ca="1" si="0"/>
        <v>26058.2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26058.2</v>
      </c>
      <c r="R6" s="16">
        <f t="shared" ca="1" si="2"/>
        <v>26058.2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59947.58</v>
      </c>
      <c r="I7" s="14"/>
      <c r="J7" s="14"/>
      <c r="K7" s="13"/>
      <c r="L7" s="16">
        <f t="shared" ca="1" si="0"/>
        <v>59947.58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59947.58</v>
      </c>
      <c r="R7" s="16">
        <f t="shared" ca="1" si="2"/>
        <v>59947.58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30562.817848055773</v>
      </c>
      <c r="J8" s="14">
        <f ca="1">Q10/J18</f>
        <v>62415.662151944234</v>
      </c>
      <c r="K8" s="13"/>
      <c r="L8" s="16">
        <f t="shared" ca="1" si="0"/>
        <v>92978.48000000001</v>
      </c>
      <c r="M8" s="16"/>
      <c r="N8" s="16">
        <f t="shared" ca="1" si="3"/>
        <v>0</v>
      </c>
      <c r="O8" s="11" cm="1">
        <f t="array" aca="1" ref="O8" ca="1">INDIRECT("'data'!$R$" &amp; $A$1)*parameters!$B$15</f>
        <v>74.48</v>
      </c>
      <c r="P8" s="13" cm="1">
        <f t="array" aca="1" ref="P8" ca="1">-INDIRECT("'data'!$S$" &amp; $A$1)*parameters!$B$15</f>
        <v>-7047.18</v>
      </c>
      <c r="Q8" s="16">
        <f ca="1">SUM(Q6:Q7)</f>
        <v>86005.78</v>
      </c>
      <c r="R8" s="16">
        <f t="shared" ca="1" si="2"/>
        <v>86005.78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30574.039999999997</v>
      </c>
      <c r="L9" s="16">
        <f t="shared" ca="1" si="0"/>
        <v>30574.039999999997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1424.92</v>
      </c>
      <c r="P9" s="13" cm="1">
        <f t="array" aca="1" ref="P9" ca="1">-INDIRECT("'data'!$V$" &amp; $A$1)*parameters!$B$15</f>
        <v>-4600.12</v>
      </c>
      <c r="Q9" s="16" cm="1">
        <f t="array" aca="1" ref="Q9" ca="1">INDIRECT("'data'!$T$" &amp; $A$1)*parameters!$B$15</f>
        <v>27398.84</v>
      </c>
      <c r="R9" s="16">
        <f t="shared" ca="1" si="2"/>
        <v>27398.84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60148.558065433856</v>
      </c>
      <c r="L10" s="16">
        <f t="shared" ca="1" si="0"/>
        <v>60148.558065433856</v>
      </c>
      <c r="M10" s="16"/>
      <c r="N10" s="16">
        <f t="shared" ca="1" si="3"/>
        <v>0</v>
      </c>
      <c r="O10" s="11" cm="1">
        <f t="array" aca="1" ref="O10" ca="1">INDIRECT("'data'!$X$" &amp; $A$1)*parameters!$B$15</f>
        <v>4686.3599999999997</v>
      </c>
      <c r="P10" s="13" cm="1">
        <f t="array" aca="1" ref="P10" ca="1">-INDIRECT("'data'!$Y$" &amp; $A$1)*parameters!$B$15</f>
        <v>-8880.76</v>
      </c>
      <c r="Q10" s="16" cm="1">
        <f t="array" aca="1" ref="Q10" ca="1">INDIRECT("'data'!$W$" &amp; $A$1)*parameters!$B$15</f>
        <v>55954.158065433854</v>
      </c>
      <c r="R10" s="16">
        <f t="shared" ca="1" si="2"/>
        <v>55954.158065433854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108040.63753627311</v>
      </c>
      <c r="N11" s="19"/>
      <c r="O11" s="21" cm="1">
        <f t="array" aca="1" ref="O11" ca="1">INDIRECT("'data'!$Z$" &amp; $A$1)*parameters!$B$15</f>
        <v>20447.7</v>
      </c>
      <c r="P11" s="27" cm="1">
        <f t="array" aca="1" ref="P11" ca="1">-INDIRECT("'data'!$AA$" &amp; $A$1)*parameters!$B$15</f>
        <v>-48020.979999999996</v>
      </c>
      <c r="Q11" s="16">
        <f ca="1">K9*parameters!$B$10+K10*parameters!$B$11</f>
        <v>80467.357536273106</v>
      </c>
      <c r="R11" s="16">
        <f t="shared" ref="R11:R17" ca="1" si="4">SUM(L11:P11)</f>
        <v>80467.357536273106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-133.61075123276532</v>
      </c>
      <c r="D12" s="9">
        <f ca="1">-(D17-Q4)</f>
        <v>-18.898098017510165</v>
      </c>
      <c r="E12" s="9">
        <f ca="1">-(E17-Q5)</f>
        <v>-9117.6443353071954</v>
      </c>
      <c r="F12" s="9">
        <f ca="1">-(F17-Q6)</f>
        <v>-1722.3970149253764</v>
      </c>
      <c r="G12" s="9">
        <f ca="1">-(G17-Q7)</f>
        <v>-2693.5694252873582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-13686.119624770206</v>
      </c>
      <c r="M12" s="17"/>
      <c r="N12" s="17"/>
      <c r="O12" s="10"/>
      <c r="P12" s="12"/>
      <c r="Q12" s="9">
        <f t="shared" ref="Q12:Q17" ca="1" si="6">SUM(L12:P12)</f>
        <v>-13686.119624770206</v>
      </c>
      <c r="R12" s="17">
        <f t="shared" ca="1" si="4"/>
        <v>-13686.119624770206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-3163.9778480557725</v>
      </c>
      <c r="J13" s="14">
        <f ca="1">-(J17-Q10)</f>
        <v>-6461.5040865103801</v>
      </c>
      <c r="K13" s="13">
        <f ca="1">-(K17-Q11)</f>
        <v>-10255.240529160743</v>
      </c>
      <c r="L13" s="14">
        <f t="shared" ca="1" si="5"/>
        <v>-19880.722463726896</v>
      </c>
      <c r="M13" s="16">
        <f ca="1">-E15</f>
        <v>-63006.95331179304</v>
      </c>
      <c r="N13" s="16"/>
      <c r="O13" s="11"/>
      <c r="P13" s="13"/>
      <c r="Q13" s="14">
        <f t="shared" ca="1" si="6"/>
        <v>-82887.675775519936</v>
      </c>
      <c r="R13" s="16">
        <f t="shared" ca="1" si="4"/>
        <v>-82887.675775519936</v>
      </c>
    </row>
    <row r="14" spans="1:20">
      <c r="A14" s="18" t="s">
        <v>105</v>
      </c>
      <c r="B14" s="11"/>
      <c r="C14" s="14"/>
      <c r="D14" s="14"/>
      <c r="E14" s="14">
        <f ca="1">-(I13+J13)-K13</f>
        <v>19880.722463726896</v>
      </c>
      <c r="F14" s="14"/>
      <c r="G14" s="14"/>
      <c r="H14" s="14"/>
      <c r="I14" s="14"/>
      <c r="J14" s="14"/>
      <c r="K14" s="13"/>
      <c r="L14" s="14">
        <f t="shared" ca="1" si="5"/>
        <v>19880.722463726896</v>
      </c>
      <c r="M14" s="16"/>
      <c r="N14" s="16"/>
      <c r="O14" s="11"/>
      <c r="P14" s="13"/>
      <c r="Q14" s="14">
        <f t="shared" ca="1" si="6"/>
        <v>19880.722463726896</v>
      </c>
      <c r="R14" s="16">
        <f t="shared" ca="1" si="4"/>
        <v>19880.722463726896</v>
      </c>
    </row>
    <row r="15" spans="1:20">
      <c r="A15" s="18" t="s">
        <v>106</v>
      </c>
      <c r="B15" s="11"/>
      <c r="C15" s="14"/>
      <c r="D15" s="14"/>
      <c r="E15" s="14">
        <f ca="1">E17-E14</f>
        <v>63006.95331179304</v>
      </c>
      <c r="F15" s="14"/>
      <c r="G15" s="14"/>
      <c r="H15" s="14"/>
      <c r="I15" s="14"/>
      <c r="J15" s="14"/>
      <c r="K15" s="13"/>
      <c r="L15" s="14">
        <f t="shared" ca="1" si="5"/>
        <v>63006.95331179304</v>
      </c>
      <c r="M15" s="16"/>
      <c r="N15" s="16"/>
      <c r="O15" s="11"/>
      <c r="P15" s="13"/>
      <c r="Q15" s="14">
        <f t="shared" ca="1" si="6"/>
        <v>63006.95331179304</v>
      </c>
      <c r="R15" s="16">
        <f t="shared" ca="1" si="4"/>
        <v>63006.95331179304</v>
      </c>
    </row>
    <row r="16" spans="1:20">
      <c r="A16" s="30" t="s">
        <v>86</v>
      </c>
      <c r="B16" s="21">
        <f ca="1">Q2</f>
        <v>29800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29800</v>
      </c>
      <c r="M16" s="19"/>
      <c r="N16" s="19"/>
      <c r="O16" s="21"/>
      <c r="P16" s="27"/>
      <c r="Q16" s="22">
        <f t="shared" ca="1" si="6"/>
        <v>29800</v>
      </c>
      <c r="R16" s="19">
        <f t="shared" ca="1" si="4"/>
        <v>29800</v>
      </c>
    </row>
    <row r="17" spans="1:18">
      <c r="A17" s="29" t="s">
        <v>85</v>
      </c>
      <c r="B17" s="9">
        <f ca="1">B16</f>
        <v>29800</v>
      </c>
      <c r="C17" s="9">
        <f ca="1">SUM(C$2:C$11)</f>
        <v>21208.055751232765</v>
      </c>
      <c r="D17" s="9">
        <f ca="1">SUM(D$2:D$11)</f>
        <v>2999.6980980175103</v>
      </c>
      <c r="E17" s="9">
        <f ca="1">$Q$5/parameters!$B$4</f>
        <v>82887.675775519936</v>
      </c>
      <c r="F17" s="9">
        <f t="shared" ref="F17:K17" ca="1" si="7">SUM(F$2:F$11)</f>
        <v>27780.597014925377</v>
      </c>
      <c r="G17" s="9">
        <f t="shared" ca="1" si="7"/>
        <v>62641.14942528736</v>
      </c>
      <c r="H17" s="9">
        <f t="shared" ca="1" si="7"/>
        <v>86005.78</v>
      </c>
      <c r="I17" s="9">
        <f t="shared" ca="1" si="7"/>
        <v>30562.817848055773</v>
      </c>
      <c r="J17" s="9">
        <f t="shared" ca="1" si="7"/>
        <v>62415.662151944234</v>
      </c>
      <c r="K17" s="9">
        <f t="shared" ca="1" si="7"/>
        <v>90722.598065433849</v>
      </c>
      <c r="L17" s="17">
        <f t="shared" ca="1" si="5"/>
        <v>497024.03413041681</v>
      </c>
      <c r="M17" s="17"/>
      <c r="N17" s="17"/>
      <c r="O17" s="9"/>
      <c r="P17" s="14"/>
      <c r="Q17" s="11">
        <f t="shared" ca="1" si="6"/>
        <v>497024.03413041681</v>
      </c>
      <c r="R17" s="17">
        <f t="shared" ca="1" si="4"/>
        <v>497024.03413041681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0.89647623907633089</v>
      </c>
      <c r="J18" s="39">
        <f ca="1">I18</f>
        <v>0.89647623907633089</v>
      </c>
      <c r="K18" s="40">
        <f ca="1">1-(-K13)/K17</f>
        <v>0.88696046246642835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48571.877830331083</v>
      </c>
      <c r="D2" s="9">
        <f ca="1">Q4/parameters!$B$3</f>
        <v>7434.4369528026573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56006.314783133741</v>
      </c>
      <c r="M2" s="17"/>
      <c r="N2" s="17">
        <f ca="1">Q2-(L2+O2+P2)</f>
        <v>0</v>
      </c>
      <c r="O2" s="11" cm="1">
        <f t="array" aca="1" ref="O2" ca="1">INDIRECT("'data'!$F$" &amp; $A$1)</f>
        <v>14750.330520552439</v>
      </c>
      <c r="P2" s="13">
        <f ca="1">IF(-(L2-Q2+O2)&lt;0, -(L2-Q2+O2), 0)</f>
        <v>-6469.6453036861803</v>
      </c>
      <c r="Q2" s="17" cm="1">
        <f t="array" aca="1" ref="Q2" ca="1">INDIRECT("'data'!$D$" &amp; $A$1)</f>
        <v>64287</v>
      </c>
      <c r="R2" s="17">
        <f ca="1">SUM(L2:P2)</f>
        <v>64287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40303.283582089556</v>
      </c>
      <c r="G3" s="14">
        <f ca="1">Q3-O3-P3-F3</f>
        <v>3943.5064179104447</v>
      </c>
      <c r="H3" s="14"/>
      <c r="I3" s="14"/>
      <c r="J3" s="14"/>
      <c r="K3" s="13"/>
      <c r="L3" s="16">
        <f t="shared" ca="1" si="0"/>
        <v>44246.79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4019.0849999999996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48265.875</v>
      </c>
      <c r="R3" s="16">
        <f t="shared" ref="R3:R10" ca="1" si="2">SUM(L3:P3)</f>
        <v>48265.875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3769.2400000000002</v>
      </c>
      <c r="H4" s="14"/>
      <c r="I4" s="14"/>
      <c r="J4" s="14"/>
      <c r="K4" s="13"/>
      <c r="L4" s="16">
        <f t="shared" ca="1" si="0"/>
        <v>3769.2400000000002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3618.36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7387.6</v>
      </c>
      <c r="R4" s="16">
        <f t="shared" ca="1" si="2"/>
        <v>7387.6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Q6/parameters!$B$5*20%</f>
        <v>10075.820895522389</v>
      </c>
      <c r="G5" s="14">
        <f ca="1">Q7/parameters!$B$7-(G3+G4)</f>
        <v>16352.039371013276</v>
      </c>
      <c r="H5" s="14"/>
      <c r="I5" s="14"/>
      <c r="J5" s="14"/>
      <c r="K5" s="13"/>
      <c r="L5" s="16">
        <f t="shared" ca="1" si="0"/>
        <v>26427.860266535667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3646.58</v>
      </c>
      <c r="P5" s="13" cm="1">
        <f t="array" aca="1" ref="P5" ca="1">-INDIRECT("'data'!$N$" &amp; $A$1)*parameters!$B$15</f>
        <v>-1019.1999999999999</v>
      </c>
      <c r="Q5" s="16">
        <f ca="1">SUM(L5:P5)</f>
        <v>29055.240266535668</v>
      </c>
      <c r="R5" s="16">
        <f t="shared" ca="1" si="2"/>
        <v>29055.240266535668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47255.6</v>
      </c>
      <c r="I6" s="14"/>
      <c r="J6" s="14"/>
      <c r="K6" s="13"/>
      <c r="L6" s="16">
        <f t="shared" ca="1" si="0"/>
        <v>47255.6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47255.6</v>
      </c>
      <c r="R6" s="16">
        <f t="shared" ca="1" si="2"/>
        <v>47255.6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23030</v>
      </c>
      <c r="I7" s="14"/>
      <c r="J7" s="14"/>
      <c r="K7" s="13"/>
      <c r="L7" s="16">
        <f t="shared" ca="1" si="0"/>
        <v>23030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23030</v>
      </c>
      <c r="R7" s="16">
        <f t="shared" ca="1" si="2"/>
        <v>23030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25134.520908677703</v>
      </c>
      <c r="J8" s="14">
        <f ca="1">Q10/J18</f>
        <v>30566.719091322302</v>
      </c>
      <c r="K8" s="13"/>
      <c r="L8" s="16">
        <f t="shared" ca="1" si="0"/>
        <v>55701.240000000005</v>
      </c>
      <c r="M8" s="16"/>
      <c r="N8" s="16">
        <f t="shared" ca="1" si="3"/>
        <v>0</v>
      </c>
      <c r="O8" s="11" cm="1">
        <f t="array" aca="1" ref="O8" ca="1">INDIRECT("'data'!$R$" &amp; $A$1)*parameters!$B$15</f>
        <v>14966.56</v>
      </c>
      <c r="P8" s="13" cm="1">
        <f t="array" aca="1" ref="P8" ca="1">-INDIRECT("'data'!$S$" &amp; $A$1)*parameters!$B$15</f>
        <v>-382.2</v>
      </c>
      <c r="Q8" s="16">
        <f ca="1">SUM(Q6:Q7)</f>
        <v>70285.600000000006</v>
      </c>
      <c r="R8" s="16">
        <f t="shared" ca="1" si="2"/>
        <v>70285.600000000006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18926.740000000002</v>
      </c>
      <c r="L9" s="16">
        <f t="shared" ca="1" si="0"/>
        <v>18926.740000000002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4345.32</v>
      </c>
      <c r="P9" s="13" cm="1">
        <f t="array" aca="1" ref="P9" ca="1">-INDIRECT("'data'!$V$" &amp; $A$1)*parameters!$B$15</f>
        <v>-1541.54</v>
      </c>
      <c r="Q9" s="16" cm="1">
        <f t="array" aca="1" ref="Q9" ca="1">INDIRECT("'data'!$T$" &amp; $A$1)*parameters!$B$15</f>
        <v>21730.52</v>
      </c>
      <c r="R9" s="16">
        <f t="shared" ca="1" si="2"/>
        <v>21730.52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22645.208506401137</v>
      </c>
      <c r="L10" s="16">
        <f t="shared" ca="1" si="0"/>
        <v>22645.208506401137</v>
      </c>
      <c r="M10" s="16"/>
      <c r="N10" s="16">
        <f t="shared" ca="1" si="3"/>
        <v>0</v>
      </c>
      <c r="O10" s="11" cm="1">
        <f t="array" aca="1" ref="O10" ca="1">INDIRECT("'data'!$X$" &amp; $A$1)*parameters!$B$15</f>
        <v>7478.38</v>
      </c>
      <c r="P10" s="13" cm="1">
        <f t="array" aca="1" ref="P10" ca="1">-INDIRECT("'data'!$Y$" &amp; $A$1)*parameters!$B$15</f>
        <v>-3696.56</v>
      </c>
      <c r="Q10" s="16" cm="1">
        <f t="array" aca="1" ref="Q10" ca="1">INDIRECT("'data'!$W$" &amp; $A$1)*parameters!$B$15</f>
        <v>26427.028506401137</v>
      </c>
      <c r="R10" s="16">
        <f t="shared" ca="1" si="2"/>
        <v>26427.028506401137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43404.734915504981</v>
      </c>
      <c r="N11" s="19"/>
      <c r="O11" s="21" cm="1">
        <f t="array" aca="1" ref="O11" ca="1">INDIRECT("'data'!$Z$" &amp; $A$1)*parameters!$B$15</f>
        <v>2449.02</v>
      </c>
      <c r="P11" s="27" cm="1">
        <f t="array" aca="1" ref="P11" ca="1">-INDIRECT("'data'!$AA$" &amp; $A$1)*parameters!$B$15</f>
        <v>-8587.74</v>
      </c>
      <c r="Q11" s="16">
        <f ca="1">K9*parameters!$B$10+K10*parameters!$B$11</f>
        <v>37266.01491550498</v>
      </c>
      <c r="R11" s="16">
        <f t="shared" ref="R11:R17" ca="1" si="4">SUM(L11:P11)</f>
        <v>37266.01491550498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-306.00283033108281</v>
      </c>
      <c r="D12" s="9">
        <f ca="1">-(D17-Q4)</f>
        <v>-46.836952802656924</v>
      </c>
      <c r="E12" s="9">
        <f ca="1">-(E17-Q5)</f>
        <v>-3591.0971115942957</v>
      </c>
      <c r="F12" s="9">
        <f ca="1">-(F17-Q6)</f>
        <v>-3123.5044776119466</v>
      </c>
      <c r="G12" s="9">
        <f ca="1">-(G17-Q7)</f>
        <v>-1034.7857889237202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-8102.2271612637023</v>
      </c>
      <c r="M12" s="17"/>
      <c r="N12" s="17"/>
      <c r="O12" s="10"/>
      <c r="P12" s="12"/>
      <c r="Q12" s="9">
        <f t="shared" ref="Q12:Q17" ca="1" si="6">SUM(L12:P12)</f>
        <v>-8102.2271612637023</v>
      </c>
      <c r="R12" s="17">
        <f t="shared" ca="1" si="4"/>
        <v>-8102.2271612637023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-3404.0009086777027</v>
      </c>
      <c r="J13" s="14">
        <f ca="1">-(J17-Q10)</f>
        <v>-4139.6905849211653</v>
      </c>
      <c r="K13" s="13">
        <f ca="1">-(K17-Q11)</f>
        <v>-4305.9335908961584</v>
      </c>
      <c r="L13" s="14">
        <f t="shared" ca="1" si="5"/>
        <v>-11849.625084495026</v>
      </c>
      <c r="M13" s="16">
        <f ca="1">-E15</f>
        <v>-20796.712293634937</v>
      </c>
      <c r="N13" s="16"/>
      <c r="O13" s="11"/>
      <c r="P13" s="13"/>
      <c r="Q13" s="14">
        <f t="shared" ca="1" si="6"/>
        <v>-32646.337378129963</v>
      </c>
      <c r="R13" s="16">
        <f t="shared" ca="1" si="4"/>
        <v>-32646.337378129963</v>
      </c>
    </row>
    <row r="14" spans="1:20">
      <c r="A14" s="18" t="s">
        <v>105</v>
      </c>
      <c r="B14" s="11"/>
      <c r="C14" s="14"/>
      <c r="D14" s="14"/>
      <c r="E14" s="14">
        <f ca="1">-(I13+J13)-K13</f>
        <v>11849.625084495026</v>
      </c>
      <c r="F14" s="14"/>
      <c r="G14" s="14"/>
      <c r="H14" s="14"/>
      <c r="I14" s="14"/>
      <c r="J14" s="14"/>
      <c r="K14" s="13"/>
      <c r="L14" s="14">
        <f t="shared" ca="1" si="5"/>
        <v>11849.625084495026</v>
      </c>
      <c r="M14" s="16"/>
      <c r="N14" s="16"/>
      <c r="O14" s="11"/>
      <c r="P14" s="13"/>
      <c r="Q14" s="14">
        <f t="shared" ca="1" si="6"/>
        <v>11849.625084495026</v>
      </c>
      <c r="R14" s="16">
        <f t="shared" ca="1" si="4"/>
        <v>11849.625084495026</v>
      </c>
    </row>
    <row r="15" spans="1:20">
      <c r="A15" s="18" t="s">
        <v>106</v>
      </c>
      <c r="B15" s="11"/>
      <c r="C15" s="14"/>
      <c r="D15" s="14"/>
      <c r="E15" s="14">
        <f ca="1">E17-E14</f>
        <v>20796.712293634937</v>
      </c>
      <c r="F15" s="14"/>
      <c r="G15" s="14"/>
      <c r="H15" s="14"/>
      <c r="I15" s="14"/>
      <c r="J15" s="14"/>
      <c r="K15" s="13"/>
      <c r="L15" s="14">
        <f t="shared" ca="1" si="5"/>
        <v>20796.712293634937</v>
      </c>
      <c r="M15" s="16"/>
      <c r="N15" s="16"/>
      <c r="O15" s="11"/>
      <c r="P15" s="13"/>
      <c r="Q15" s="14">
        <f t="shared" ca="1" si="6"/>
        <v>20796.712293634937</v>
      </c>
      <c r="R15" s="16">
        <f t="shared" ca="1" si="4"/>
        <v>20796.712293634937</v>
      </c>
    </row>
    <row r="16" spans="1:20">
      <c r="A16" s="30" t="s">
        <v>86</v>
      </c>
      <c r="B16" s="21">
        <f ca="1">Q2</f>
        <v>64287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64287</v>
      </c>
      <c r="M16" s="19"/>
      <c r="N16" s="19"/>
      <c r="O16" s="21"/>
      <c r="P16" s="27"/>
      <c r="Q16" s="22">
        <f t="shared" ca="1" si="6"/>
        <v>64287</v>
      </c>
      <c r="R16" s="19">
        <f t="shared" ca="1" si="4"/>
        <v>64287</v>
      </c>
    </row>
    <row r="17" spans="1:18">
      <c r="A17" s="29" t="s">
        <v>85</v>
      </c>
      <c r="B17" s="9">
        <f ca="1">B16</f>
        <v>64287</v>
      </c>
      <c r="C17" s="9">
        <f ca="1">SUM(C$2:C$11)</f>
        <v>48571.877830331083</v>
      </c>
      <c r="D17" s="9">
        <f ca="1">SUM(D$2:D$11)</f>
        <v>7434.4369528026573</v>
      </c>
      <c r="E17" s="9">
        <f ca="1">$Q$5/parameters!$B$4</f>
        <v>32646.337378129963</v>
      </c>
      <c r="F17" s="9">
        <f t="shared" ref="F17:K17" ca="1" si="7">SUM(F$2:F$11)</f>
        <v>50379.104477611945</v>
      </c>
      <c r="G17" s="9">
        <f t="shared" ca="1" si="7"/>
        <v>24064.78578892372</v>
      </c>
      <c r="H17" s="9">
        <f t="shared" ca="1" si="7"/>
        <v>70285.600000000006</v>
      </c>
      <c r="I17" s="9">
        <f t="shared" ca="1" si="7"/>
        <v>25134.520908677703</v>
      </c>
      <c r="J17" s="9">
        <f t="shared" ca="1" si="7"/>
        <v>30566.719091322302</v>
      </c>
      <c r="K17" s="9">
        <f t="shared" ca="1" si="7"/>
        <v>41571.948506401139</v>
      </c>
      <c r="L17" s="17">
        <f t="shared" ca="1" si="5"/>
        <v>394942.33093420055</v>
      </c>
      <c r="M17" s="17"/>
      <c r="N17" s="17"/>
      <c r="O17" s="9"/>
      <c r="P17" s="14"/>
      <c r="Q17" s="11">
        <f t="shared" ca="1" si="6"/>
        <v>394942.33093420055</v>
      </c>
      <c r="R17" s="17">
        <f t="shared" ca="1" si="4"/>
        <v>394942.33093420055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0.86456869732884101</v>
      </c>
      <c r="J18" s="39">
        <f ca="1">I18</f>
        <v>0.86456869732884101</v>
      </c>
      <c r="K18" s="40">
        <f ca="1">1-(-K13)/K17</f>
        <v>0.89642213690721895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45192.05494616081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45192.05494616081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-45192.05494616081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40717.850746268654</v>
      </c>
      <c r="G3" s="14">
        <f ca="1">Q3-O3-P3-F3</f>
        <v>4275.4892537313499</v>
      </c>
      <c r="H3" s="14"/>
      <c r="I3" s="14"/>
      <c r="J3" s="14"/>
      <c r="K3" s="13"/>
      <c r="L3" s="16">
        <f t="shared" ca="1" si="0"/>
        <v>44993.340000000004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73.709999999999994</v>
      </c>
      <c r="P3" s="13" cm="1">
        <f t="array" aca="1" ref="P3" ca="1">-INDIRECT("'data'!$I$" &amp; $A$1)*parameters!$B$13</f>
        <v>-159.70499999999998</v>
      </c>
      <c r="Q3" s="16" cm="1">
        <f t="array" aca="1" ref="Q3" ca="1">INDIRECT("'data'!$G$" &amp; $A$1)*parameters!$B$13</f>
        <v>44907.345000000001</v>
      </c>
      <c r="R3" s="16">
        <f t="shared" ref="R3:R10" ca="1" si="2">SUM(L3:P3)</f>
        <v>44907.345000000001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373.52000000000004</v>
      </c>
      <c r="H4" s="14"/>
      <c r="I4" s="14"/>
      <c r="J4" s="14"/>
      <c r="K4" s="13"/>
      <c r="L4" s="16">
        <f t="shared" ca="1" si="0"/>
        <v>373.52000000000004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-373.52000000000004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Q6/parameters!$B$5*20%</f>
        <v>10179.462686567165</v>
      </c>
      <c r="G5" s="14">
        <f ca="1">Q7/parameters!$B$7-(G3+G4)</f>
        <v>18592.453651179829</v>
      </c>
      <c r="H5" s="14"/>
      <c r="I5" s="14"/>
      <c r="J5" s="14"/>
      <c r="K5" s="13"/>
      <c r="L5" s="16">
        <f t="shared" ca="1" si="0"/>
        <v>28771.916337746996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221.48</v>
      </c>
      <c r="P5" s="13" cm="1">
        <f t="array" aca="1" ref="P5" ca="1">-INDIRECT("'data'!$N$" &amp; $A$1)*parameters!$B$15</f>
        <v>-6371.96</v>
      </c>
      <c r="Q5" s="16">
        <f ca="1">SUM(L5:P5)</f>
        <v>22621.436337746996</v>
      </c>
      <c r="R5" s="16">
        <f t="shared" ca="1" si="2"/>
        <v>22621.436337746996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47741.68</v>
      </c>
      <c r="I6" s="14"/>
      <c r="J6" s="14"/>
      <c r="K6" s="13"/>
      <c r="L6" s="16">
        <f t="shared" ca="1" si="0"/>
        <v>47741.68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47741.68</v>
      </c>
      <c r="R6" s="16">
        <f t="shared" ca="1" si="2"/>
        <v>47741.68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22242.079999999998</v>
      </c>
      <c r="I7" s="14"/>
      <c r="J7" s="14"/>
      <c r="K7" s="13"/>
      <c r="L7" s="16">
        <f t="shared" ca="1" si="0"/>
        <v>22242.079999999998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22242.079999999998</v>
      </c>
      <c r="R7" s="16">
        <f t="shared" ca="1" si="2"/>
        <v>22242.079999999998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21954.326890534358</v>
      </c>
      <c r="J8" s="14">
        <f ca="1">Q10/J18</f>
        <v>49882.61310946563</v>
      </c>
      <c r="K8" s="13"/>
      <c r="L8" s="16">
        <f t="shared" ca="1" si="0"/>
        <v>71836.939999999988</v>
      </c>
      <c r="M8" s="16"/>
      <c r="N8" s="16">
        <f t="shared" ca="1" si="3"/>
        <v>0</v>
      </c>
      <c r="O8" s="11" cm="1">
        <f t="array" aca="1" ref="O8" ca="1">INDIRECT("'data'!$R$" &amp; $A$1)*parameters!$B$15</f>
        <v>335.15999999999997</v>
      </c>
      <c r="P8" s="13" cm="1">
        <f t="array" aca="1" ref="P8" ca="1">-INDIRECT("'data'!$S$" &amp; $A$1)*parameters!$B$15</f>
        <v>-2188.34</v>
      </c>
      <c r="Q8" s="16">
        <f ca="1">SUM(Q6:Q7)</f>
        <v>69983.759999999995</v>
      </c>
      <c r="R8" s="16">
        <f t="shared" ca="1" si="2"/>
        <v>69983.759999999995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20367.34</v>
      </c>
      <c r="L9" s="16">
        <f t="shared" ca="1" si="0"/>
        <v>20367.34</v>
      </c>
      <c r="M9" s="16"/>
      <c r="N9" s="16">
        <f t="shared" ca="1" si="3"/>
        <v>0</v>
      </c>
      <c r="O9" s="11" cm="1">
        <f t="array" aca="1" ref="O9" ca="1">INDIRECT("'data'!$U$" &amp; $A$1)*parameters!$B$15</f>
        <v>3621.1</v>
      </c>
      <c r="P9" s="13" cm="1">
        <f t="array" aca="1" ref="P9" ca="1">-INDIRECT("'data'!$V$" &amp; $A$1)*parameters!$B$15</f>
        <v>-3988.6</v>
      </c>
      <c r="Q9" s="16" cm="1">
        <f t="array" aca="1" ref="Q9" ca="1">INDIRECT("'data'!$T$" &amp; $A$1)*parameters!$B$15</f>
        <v>19999.84</v>
      </c>
      <c r="R9" s="16">
        <f t="shared" ca="1" si="2"/>
        <v>19999.84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31054.426799431003</v>
      </c>
      <c r="L10" s="16">
        <f t="shared" ca="1" si="0"/>
        <v>31054.426799431003</v>
      </c>
      <c r="M10" s="16"/>
      <c r="N10" s="16">
        <f t="shared" ca="1" si="3"/>
        <v>0</v>
      </c>
      <c r="O10" s="11" cm="1">
        <f t="array" aca="1" ref="O10" ca="1">INDIRECT("'data'!$X$" &amp; $A$1)*parameters!$B$15</f>
        <v>23519.02</v>
      </c>
      <c r="P10" s="13" cm="1">
        <f t="array" aca="1" ref="P10" ca="1">-INDIRECT("'data'!$Y$" &amp; $A$1)*parameters!$B$15</f>
        <v>-9131.64</v>
      </c>
      <c r="Q10" s="16" cm="1">
        <f t="array" aca="1" ref="Q10" ca="1">INDIRECT("'data'!$W$" &amp; $A$1)*parameters!$B$15</f>
        <v>45441.806799431004</v>
      </c>
      <c r="R10" s="16">
        <f t="shared" ca="1" si="2"/>
        <v>45441.806799431004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33359.066647510663</v>
      </c>
      <c r="N11" s="19"/>
      <c r="O11" s="21" cm="1">
        <f t="array" aca="1" ref="O11" ca="1">INDIRECT("'data'!$Z$" &amp; $A$1)*parameters!$B$15</f>
        <v>17579.239999999998</v>
      </c>
      <c r="P11" s="27" cm="1">
        <f t="array" aca="1" ref="P11" ca="1">-INDIRECT("'data'!$AA$" &amp; $A$1)*parameters!$B$15</f>
        <v>-5086.2</v>
      </c>
      <c r="Q11" s="16">
        <f ca="1">K9*parameters!$B$10+K10*parameters!$B$11</f>
        <v>45852.106647510664</v>
      </c>
      <c r="R11" s="16">
        <f t="shared" ref="R11:R17" ca="1" si="4">SUM(L11:P11)</f>
        <v>45852.106647510664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-284.70994616080861</v>
      </c>
      <c r="D12" s="9">
        <f ca="1">-(D17-Q4)</f>
        <v>0</v>
      </c>
      <c r="E12" s="9">
        <f ca="1">-(E17-Q5)</f>
        <v>-2795.907861968728</v>
      </c>
      <c r="F12" s="9">
        <f ca="1">-(F17-Q6)</f>
        <v>-3155.6334328358207</v>
      </c>
      <c r="G12" s="9">
        <f ca="1">-(G17-Q7)</f>
        <v>-999.38290491118096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-7235.6341458765382</v>
      </c>
      <c r="M12" s="17"/>
      <c r="N12" s="17"/>
      <c r="O12" s="10"/>
      <c r="P12" s="12"/>
      <c r="Q12" s="9">
        <f t="shared" ref="Q12:Q17" ca="1" si="6">SUM(L12:P12)</f>
        <v>-7235.6341458765382</v>
      </c>
      <c r="R12" s="17">
        <f t="shared" ca="1" si="4"/>
        <v>-7235.6341458765382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-1954.4868905343574</v>
      </c>
      <c r="J13" s="14">
        <f ca="1">-(J17-Q10)</f>
        <v>-4440.8063100346262</v>
      </c>
      <c r="K13" s="13">
        <f ca="1">-(K17-Q11)</f>
        <v>-5569.6601519203396</v>
      </c>
      <c r="L13" s="14">
        <f t="shared" ca="1" si="5"/>
        <v>-11964.953352489323</v>
      </c>
      <c r="M13" s="16">
        <f ca="1">-E15</f>
        <v>-13452.390847226401</v>
      </c>
      <c r="N13" s="16"/>
      <c r="O13" s="11"/>
      <c r="P13" s="13"/>
      <c r="Q13" s="14">
        <f t="shared" ca="1" si="6"/>
        <v>-25417.344199715724</v>
      </c>
      <c r="R13" s="16">
        <f t="shared" ca="1" si="4"/>
        <v>-25417.344199715724</v>
      </c>
    </row>
    <row r="14" spans="1:20">
      <c r="A14" s="18" t="s">
        <v>105</v>
      </c>
      <c r="B14" s="11"/>
      <c r="C14" s="14"/>
      <c r="D14" s="14"/>
      <c r="E14" s="14">
        <f ca="1">-(I13+J13)-K13</f>
        <v>11964.953352489323</v>
      </c>
      <c r="F14" s="14"/>
      <c r="G14" s="14"/>
      <c r="H14" s="14"/>
      <c r="I14" s="14"/>
      <c r="J14" s="14"/>
      <c r="K14" s="13"/>
      <c r="L14" s="14">
        <f t="shared" ca="1" si="5"/>
        <v>11964.953352489323</v>
      </c>
      <c r="M14" s="16"/>
      <c r="N14" s="16"/>
      <c r="O14" s="11"/>
      <c r="P14" s="13"/>
      <c r="Q14" s="14">
        <f t="shared" ca="1" si="6"/>
        <v>11964.953352489323</v>
      </c>
      <c r="R14" s="16">
        <f t="shared" ca="1" si="4"/>
        <v>11964.953352489323</v>
      </c>
    </row>
    <row r="15" spans="1:20">
      <c r="A15" s="18" t="s">
        <v>106</v>
      </c>
      <c r="B15" s="11"/>
      <c r="C15" s="14"/>
      <c r="D15" s="14"/>
      <c r="E15" s="14">
        <f ca="1">E17-E14</f>
        <v>13452.390847226401</v>
      </c>
      <c r="F15" s="14"/>
      <c r="G15" s="14"/>
      <c r="H15" s="14"/>
      <c r="I15" s="14"/>
      <c r="J15" s="14"/>
      <c r="K15" s="13"/>
      <c r="L15" s="14">
        <f t="shared" ca="1" si="5"/>
        <v>13452.390847226401</v>
      </c>
      <c r="M15" s="16"/>
      <c r="N15" s="16"/>
      <c r="O15" s="11"/>
      <c r="P15" s="13"/>
      <c r="Q15" s="14">
        <f t="shared" ca="1" si="6"/>
        <v>13452.390847226401</v>
      </c>
      <c r="R15" s="16">
        <f t="shared" ca="1" si="4"/>
        <v>13452.390847226401</v>
      </c>
    </row>
    <row r="16" spans="1:20">
      <c r="A16" s="30" t="s">
        <v>86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85</v>
      </c>
      <c r="B17" s="9">
        <f ca="1">B16</f>
        <v>0</v>
      </c>
      <c r="C17" s="9">
        <f ca="1">SUM(C$2:C$11)</f>
        <v>45192.05494616081</v>
      </c>
      <c r="D17" s="9">
        <f ca="1">SUM(D$2:D$11)</f>
        <v>0</v>
      </c>
      <c r="E17" s="9">
        <f ca="1">$Q$5/parameters!$B$4</f>
        <v>25417.344199715724</v>
      </c>
      <c r="F17" s="9">
        <f t="shared" ref="F17:K17" ca="1" si="7">SUM(F$2:F$11)</f>
        <v>50897.313432835821</v>
      </c>
      <c r="G17" s="9">
        <f t="shared" ca="1" si="7"/>
        <v>23241.462904911179</v>
      </c>
      <c r="H17" s="9">
        <f t="shared" ca="1" si="7"/>
        <v>69983.759999999995</v>
      </c>
      <c r="I17" s="9">
        <f t="shared" ca="1" si="7"/>
        <v>21954.326890534358</v>
      </c>
      <c r="J17" s="9">
        <f t="shared" ca="1" si="7"/>
        <v>49882.61310946563</v>
      </c>
      <c r="K17" s="9">
        <f t="shared" ca="1" si="7"/>
        <v>51421.766799431003</v>
      </c>
      <c r="L17" s="17">
        <f t="shared" ca="1" si="5"/>
        <v>337990.64228305453</v>
      </c>
      <c r="M17" s="17"/>
      <c r="N17" s="17"/>
      <c r="O17" s="9"/>
      <c r="P17" s="14"/>
      <c r="Q17" s="11">
        <f t="shared" ca="1" si="6"/>
        <v>337990.64228305453</v>
      </c>
      <c r="R17" s="17">
        <f t="shared" ca="1" si="4"/>
        <v>337990.64228305453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0.91097486612641099</v>
      </c>
      <c r="J18" s="39">
        <f ca="1">I18</f>
        <v>0.91097486612641099</v>
      </c>
      <c r="K18" s="40">
        <f ca="1">1-(-K13)/K17</f>
        <v>0.89168672142976679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24269.296568380796</v>
      </c>
      <c r="D2" s="9">
        <f ca="1">Q4/parameters!$B$3</f>
        <v>435.14139076179936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24704.437959142597</v>
      </c>
      <c r="M2" s="17"/>
      <c r="N2" s="16">
        <v>0</v>
      </c>
      <c r="O2" s="11" cm="1">
        <f t="array" aca="1" ref="O2" ca="1">INDIRECT("'data'!$F$" &amp; $A$1)</f>
        <v>280.15000000000003</v>
      </c>
      <c r="P2" s="13">
        <f ca="1">IF(-(L2-Q2+O2)&lt;0, -(L2-Q2+O2), 0)</f>
        <v>-24984.587959142598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23170.626865671646</v>
      </c>
      <c r="G3" s="14">
        <f ca="1">Q3-O3-P3-F3</f>
        <v>1169.7381343283523</v>
      </c>
      <c r="H3" s="14"/>
      <c r="I3" s="14"/>
      <c r="J3" s="14"/>
      <c r="K3" s="13"/>
      <c r="L3" s="16">
        <f t="shared" ca="1" si="0"/>
        <v>24340.364999999998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180.495</v>
      </c>
      <c r="P3" s="13" cm="1">
        <f t="array" aca="1" ref="P3" ca="1">-INDIRECT("'data'!$I$" &amp; $A$1)*parameters!$B$13</f>
        <v>-404.46</v>
      </c>
      <c r="Q3" s="16" cm="1">
        <f t="array" aca="1" ref="Q3" ca="1">INDIRECT("'data'!$G$" &amp; $A$1)*parameters!$B$13</f>
        <v>24116.399999999998</v>
      </c>
      <c r="R3" s="16">
        <f t="shared" ref="R3:R10" ca="1" si="2">SUM(L3:P3)</f>
        <v>24116.399999999998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1138.04</v>
      </c>
      <c r="H4" s="14"/>
      <c r="I4" s="14"/>
      <c r="J4" s="14"/>
      <c r="K4" s="13"/>
      <c r="L4" s="16">
        <f t="shared" ca="1" si="0"/>
        <v>1138.04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-705.64</v>
      </c>
      <c r="Q4" s="16" cm="1">
        <f t="array" aca="1" ref="Q4" ca="1">INDIRECT("'data'!$J$" &amp; $A$1)*parameters!$B$14</f>
        <v>432.40000000000003</v>
      </c>
      <c r="R4" s="16">
        <f t="shared" ca="1" si="2"/>
        <v>432.4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Q6/parameters!$B$5*20%</f>
        <v>5792.6567164179114</v>
      </c>
      <c r="G5" s="14">
        <f ca="1">Q7/parameters!$B$7-(G3+G4)</f>
        <v>9883.339942996623</v>
      </c>
      <c r="H5" s="14"/>
      <c r="I5" s="14"/>
      <c r="J5" s="14"/>
      <c r="K5" s="13"/>
      <c r="L5" s="16">
        <f t="shared" ca="1" si="0"/>
        <v>15675.996659414533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7781.2</v>
      </c>
      <c r="P5" s="13" cm="1">
        <f t="array" aca="1" ref="P5" ca="1">-INDIRECT("'data'!$N$" &amp; $A$1)*parameters!$B$15</f>
        <v>-3910.2</v>
      </c>
      <c r="Q5" s="16">
        <f ca="1">SUM(L5:P5)</f>
        <v>19546.996659414533</v>
      </c>
      <c r="R5" s="16">
        <f t="shared" ca="1" si="2"/>
        <v>19546.996659414533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27167.56</v>
      </c>
      <c r="I6" s="14"/>
      <c r="J6" s="14"/>
      <c r="K6" s="13"/>
      <c r="L6" s="16">
        <f t="shared" ca="1" si="0"/>
        <v>27167.56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27167.56</v>
      </c>
      <c r="R6" s="16">
        <f t="shared" ca="1" si="2"/>
        <v>27167.56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11666.9</v>
      </c>
      <c r="I7" s="14"/>
      <c r="J7" s="14"/>
      <c r="K7" s="13"/>
      <c r="L7" s="16">
        <f t="shared" ca="1" si="0"/>
        <v>11666.9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11666.9</v>
      </c>
      <c r="R7" s="16">
        <f t="shared" ca="1" si="2"/>
        <v>11666.9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14393.239224908168</v>
      </c>
      <c r="J8" s="14">
        <f ca="1">Q10/J18</f>
        <v>23982.580775091832</v>
      </c>
      <c r="K8" s="13"/>
      <c r="L8" s="16">
        <f t="shared" ca="1" si="0"/>
        <v>38375.82</v>
      </c>
      <c r="M8" s="16"/>
      <c r="N8" s="16">
        <f t="shared" ca="1" si="3"/>
        <v>0</v>
      </c>
      <c r="O8" s="11" cm="1">
        <f t="array" aca="1" ref="O8" ca="1">INDIRECT("'data'!$R$" &amp; $A$1)*parameters!$B$15</f>
        <v>1455.3</v>
      </c>
      <c r="P8" s="13" cm="1">
        <f t="array" aca="1" ref="P8" ca="1">-INDIRECT("'data'!$S$" &amp; $A$1)*parameters!$B$15</f>
        <v>-996.66</v>
      </c>
      <c r="Q8" s="16">
        <f ca="1">SUM(Q6:Q7)</f>
        <v>38834.46</v>
      </c>
      <c r="R8" s="16">
        <f t="shared" ca="1" si="2"/>
        <v>38834.46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12865.44</v>
      </c>
      <c r="L9" s="16">
        <f t="shared" ca="1" si="0"/>
        <v>12865.44</v>
      </c>
      <c r="M9" s="16"/>
      <c r="N9" s="16">
        <f t="shared" ca="1" si="3"/>
        <v>0</v>
      </c>
      <c r="O9" s="11" cm="1">
        <f t="array" aca="1" ref="O9" ca="1">INDIRECT("'data'!$U$" &amp; $A$1)*parameters!$B$15</f>
        <v>6269.0599999999995</v>
      </c>
      <c r="P9" s="13" cm="1">
        <f t="array" aca="1" ref="P9" ca="1">-INDIRECT("'data'!$V$" &amp; $A$1)*parameters!$B$15</f>
        <v>-6362.16</v>
      </c>
      <c r="Q9" s="16" cm="1">
        <f t="array" aca="1" ref="Q9" ca="1">INDIRECT("'data'!$T$" &amp; $A$1)*parameters!$B$15</f>
        <v>12772.34</v>
      </c>
      <c r="R9" s="16">
        <f t="shared" ca="1" si="2"/>
        <v>12772.34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20716.314793741109</v>
      </c>
      <c r="L10" s="16">
        <f t="shared" ca="1" si="0"/>
        <v>20716.314793741109</v>
      </c>
      <c r="M10" s="16"/>
      <c r="N10" s="16">
        <f t="shared" ca="1" si="3"/>
        <v>0</v>
      </c>
      <c r="O10" s="11" cm="1">
        <f t="array" aca="1" ref="O10" ca="1">INDIRECT("'data'!$X$" &amp; $A$1)*parameters!$B$15</f>
        <v>13463.24</v>
      </c>
      <c r="P10" s="13" cm="1">
        <f t="array" aca="1" ref="P10" ca="1">-INDIRECT("'data'!$Y$" &amp; $A$1)*parameters!$B$15</f>
        <v>-12897.78</v>
      </c>
      <c r="Q10" s="16" cm="1">
        <f t="array" aca="1" ref="Q10" ca="1">INDIRECT("'data'!$W$" &amp; $A$1)*parameters!$B$15</f>
        <v>21281.774793741108</v>
      </c>
      <c r="R10" s="16">
        <f t="shared" ca="1" si="2"/>
        <v>21281.774793741111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22830.024322617352</v>
      </c>
      <c r="N11" s="19"/>
      <c r="O11" s="21" cm="1">
        <f t="array" aca="1" ref="O11" ca="1">INDIRECT("'data'!$Z$" &amp; $A$1)*parameters!$B$15</f>
        <v>32241.02</v>
      </c>
      <c r="P11" s="27" cm="1">
        <f t="array" aca="1" ref="P11" ca="1">-INDIRECT("'data'!$AA$" &amp; $A$1)*parameters!$B$15</f>
        <v>-25161.5</v>
      </c>
      <c r="Q11" s="16">
        <f ca="1">K9*parameters!$B$10+K10*parameters!$B$11</f>
        <v>29909.544322617352</v>
      </c>
      <c r="R11" s="16">
        <f t="shared" ref="R11:R17" ca="1" si="4">SUM(L11:P11)</f>
        <v>29909.544322617352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-152.89656838079827</v>
      </c>
      <c r="D12" s="9">
        <f ca="1">-(D17-Q4)</f>
        <v>-2.7413907617993232</v>
      </c>
      <c r="E12" s="9">
        <f ca="1">-(E17-Q5)</f>
        <v>-2415.9209354332561</v>
      </c>
      <c r="F12" s="9">
        <f ca="1">-(F17-Q6)</f>
        <v>-1795.7235820895548</v>
      </c>
      <c r="G12" s="9">
        <f ca="1">-(G17-Q7)</f>
        <v>-524.21807732497655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-4891.500553990385</v>
      </c>
      <c r="M12" s="17"/>
      <c r="N12" s="17"/>
      <c r="O12" s="10"/>
      <c r="P12" s="12"/>
      <c r="Q12" s="9">
        <f t="shared" ref="Q12:Q17" ca="1" si="6">SUM(L12:P12)</f>
        <v>-4891.500553990385</v>
      </c>
      <c r="R12" s="17">
        <f t="shared" ca="1" si="4"/>
        <v>-4891.500553990385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-1620.8992249081675</v>
      </c>
      <c r="J13" s="14">
        <f ca="1">-(J17-Q10)</f>
        <v>-2700.8059813507243</v>
      </c>
      <c r="K13" s="13">
        <f ca="1">-(K17-Q11)</f>
        <v>-3672.2104711237553</v>
      </c>
      <c r="L13" s="14">
        <f t="shared" ca="1" si="5"/>
        <v>-7993.9156773826471</v>
      </c>
      <c r="M13" s="16">
        <f ca="1">-E15</f>
        <v>-13969.001917465142</v>
      </c>
      <c r="N13" s="16"/>
      <c r="O13" s="11"/>
      <c r="P13" s="13"/>
      <c r="Q13" s="14">
        <f t="shared" ca="1" si="6"/>
        <v>-21962.91759484779</v>
      </c>
      <c r="R13" s="16">
        <f t="shared" ca="1" si="4"/>
        <v>-21962.91759484779</v>
      </c>
    </row>
    <row r="14" spans="1:20">
      <c r="A14" s="18" t="s">
        <v>105</v>
      </c>
      <c r="B14" s="11"/>
      <c r="C14" s="14"/>
      <c r="D14" s="14"/>
      <c r="E14" s="14">
        <f ca="1">-(I13+J13)-K13</f>
        <v>7993.9156773826471</v>
      </c>
      <c r="F14" s="14"/>
      <c r="G14" s="14"/>
      <c r="H14" s="14"/>
      <c r="I14" s="14"/>
      <c r="J14" s="14"/>
      <c r="K14" s="13"/>
      <c r="L14" s="14">
        <f t="shared" ca="1" si="5"/>
        <v>7993.9156773826471</v>
      </c>
      <c r="M14" s="16"/>
      <c r="N14" s="16"/>
      <c r="O14" s="11"/>
      <c r="P14" s="13"/>
      <c r="Q14" s="14">
        <f t="shared" ca="1" si="6"/>
        <v>7993.9156773826471</v>
      </c>
      <c r="R14" s="16">
        <f t="shared" ca="1" si="4"/>
        <v>7993.9156773826471</v>
      </c>
    </row>
    <row r="15" spans="1:20">
      <c r="A15" s="18" t="s">
        <v>106</v>
      </c>
      <c r="B15" s="11"/>
      <c r="C15" s="14"/>
      <c r="D15" s="14"/>
      <c r="E15" s="14">
        <f ca="1">E17-E14</f>
        <v>13969.001917465142</v>
      </c>
      <c r="F15" s="14"/>
      <c r="G15" s="14"/>
      <c r="H15" s="14"/>
      <c r="I15" s="14"/>
      <c r="J15" s="14"/>
      <c r="K15" s="13"/>
      <c r="L15" s="14">
        <f t="shared" ca="1" si="5"/>
        <v>13969.001917465142</v>
      </c>
      <c r="M15" s="16"/>
      <c r="N15" s="16"/>
      <c r="O15" s="11"/>
      <c r="P15" s="13"/>
      <c r="Q15" s="14">
        <f t="shared" ca="1" si="6"/>
        <v>13969.001917465142</v>
      </c>
      <c r="R15" s="16">
        <f t="shared" ca="1" si="4"/>
        <v>13969.001917465142</v>
      </c>
    </row>
    <row r="16" spans="1:20">
      <c r="A16" s="30" t="s">
        <v>86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85</v>
      </c>
      <c r="B17" s="9">
        <f ca="1">B16</f>
        <v>0</v>
      </c>
      <c r="C17" s="9">
        <f ca="1">SUM(C$2:C$11)</f>
        <v>24269.296568380796</v>
      </c>
      <c r="D17" s="9">
        <f ca="1">SUM(D$2:D$11)</f>
        <v>435.14139076179936</v>
      </c>
      <c r="E17" s="9">
        <f ca="1">$Q$5/parameters!$B$4</f>
        <v>21962.91759484779</v>
      </c>
      <c r="F17" s="9">
        <f t="shared" ref="F17:K17" ca="1" si="7">SUM(F$2:F$11)</f>
        <v>28963.283582089556</v>
      </c>
      <c r="G17" s="9">
        <f t="shared" ca="1" si="7"/>
        <v>12191.118077324976</v>
      </c>
      <c r="H17" s="9">
        <f t="shared" ca="1" si="7"/>
        <v>38834.46</v>
      </c>
      <c r="I17" s="9">
        <f t="shared" ca="1" si="7"/>
        <v>14393.239224908168</v>
      </c>
      <c r="J17" s="9">
        <f t="shared" ca="1" si="7"/>
        <v>23982.580775091832</v>
      </c>
      <c r="K17" s="9">
        <f t="shared" ca="1" si="7"/>
        <v>33581.754793741107</v>
      </c>
      <c r="L17" s="17">
        <f t="shared" ca="1" si="5"/>
        <v>198613.79200714602</v>
      </c>
      <c r="M17" s="17"/>
      <c r="N17" s="17"/>
      <c r="O17" s="9"/>
      <c r="P17" s="14"/>
      <c r="Q17" s="11">
        <f t="shared" ca="1" si="6"/>
        <v>198613.79200714602</v>
      </c>
      <c r="R17" s="17">
        <f t="shared" ca="1" si="4"/>
        <v>198613.79200714602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0.95699999999999974</v>
      </c>
      <c r="H18" s="39">
        <f t="shared" ref="H18" ca="1" si="9">1-(-H12)/H17</f>
        <v>1</v>
      </c>
      <c r="I18" s="39">
        <f ca="1">(Q9+Q10)/(Q8-O8-P8)</f>
        <v>0.88738468112840607</v>
      </c>
      <c r="J18" s="39">
        <f ca="1">I18</f>
        <v>0.88738468112840607</v>
      </c>
      <c r="K18" s="40">
        <f ca="1">1-(-K13)/K17</f>
        <v>0.89064864258349674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9385.3325953507083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9385.3325953507083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-275.33259535070829</v>
      </c>
      <c r="Q2" s="17" cm="1">
        <f t="array" aca="1" ref="Q2" ca="1">INDIRECT("'data'!$D$" &amp; $A$1)</f>
        <v>9110</v>
      </c>
      <c r="R2" s="17">
        <f ca="1">SUM(L2:P2)</f>
        <v>9110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9076.1791044776128</v>
      </c>
      <c r="G3" s="14">
        <f ca="1">Q3-O3-P3-F3</f>
        <v>1412.3758955223875</v>
      </c>
      <c r="H3" s="14"/>
      <c r="I3" s="14"/>
      <c r="J3" s="14"/>
      <c r="K3" s="13"/>
      <c r="L3" s="16">
        <f t="shared" ca="1" si="0"/>
        <v>10488.555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1.89</v>
      </c>
      <c r="P3" s="13" cm="1">
        <f t="array" aca="1" ref="P3" ca="1">-INDIRECT("'data'!$I$" &amp; $A$1)*parameters!$B$13</f>
        <v>-1164.24</v>
      </c>
      <c r="Q3" s="16" cm="1">
        <f t="array" aca="1" ref="Q3" ca="1">INDIRECT("'data'!$G$" &amp; $A$1)*parameters!$B$13</f>
        <v>9326.2049999999999</v>
      </c>
      <c r="R3" s="16">
        <f t="shared" ref="R3:R10" ca="1" si="2">SUM(L3:P3)</f>
        <v>9326.2049999999999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366.16</v>
      </c>
      <c r="H4" s="14"/>
      <c r="I4" s="14"/>
      <c r="J4" s="14"/>
      <c r="K4" s="13"/>
      <c r="L4" s="16">
        <f t="shared" ca="1" si="0"/>
        <v>366.16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-366.16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Q6/parameters!$B$5*20%</f>
        <v>2269.0447761194032</v>
      </c>
      <c r="G5" s="14">
        <f ca="1">Q7/parameters!$B$7-(G3+G4)</f>
        <v>21655.445295700181</v>
      </c>
      <c r="H5" s="14"/>
      <c r="I5" s="14"/>
      <c r="J5" s="14"/>
      <c r="K5" s="13"/>
      <c r="L5" s="16">
        <f t="shared" ca="1" si="0"/>
        <v>23924.490071819586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148.96</v>
      </c>
      <c r="P5" s="13" cm="1">
        <f t="array" aca="1" ref="P5" ca="1">-INDIRECT("'data'!$N$" &amp; $A$1)*parameters!$B$15</f>
        <v>-18434.78</v>
      </c>
      <c r="Q5" s="16">
        <f ca="1">SUM(L5:P5)</f>
        <v>5638.6700718195862</v>
      </c>
      <c r="R5" s="16">
        <f t="shared" ca="1" si="2"/>
        <v>5638.6700718195862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10641.82</v>
      </c>
      <c r="I6" s="14"/>
      <c r="J6" s="14"/>
      <c r="K6" s="13"/>
      <c r="L6" s="16">
        <f t="shared" ca="1" si="0"/>
        <v>10641.82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10641.82</v>
      </c>
      <c r="R6" s="16">
        <f t="shared" ca="1" si="2"/>
        <v>10641.82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22426.32</v>
      </c>
      <c r="I7" s="14"/>
      <c r="J7" s="14"/>
      <c r="K7" s="13"/>
      <c r="L7" s="16">
        <f t="shared" ca="1" si="0"/>
        <v>22426.32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22426.32</v>
      </c>
      <c r="R7" s="16">
        <f t="shared" ca="1" si="2"/>
        <v>22426.32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21300.852591203409</v>
      </c>
      <c r="J8" s="14">
        <f ca="1">Q10/J18</f>
        <v>13795.887408796589</v>
      </c>
      <c r="K8" s="13"/>
      <c r="L8" s="16">
        <f t="shared" ca="1" si="0"/>
        <v>35096.74</v>
      </c>
      <c r="M8" s="16"/>
      <c r="N8" s="16">
        <f t="shared" ca="1" si="3"/>
        <v>0</v>
      </c>
      <c r="O8" s="11" cm="1">
        <f t="array" aca="1" ref="O8" ca="1">INDIRECT("'data'!$R$" &amp; $A$1)*parameters!$B$15</f>
        <v>1309.28</v>
      </c>
      <c r="P8" s="13" cm="1">
        <f t="array" aca="1" ref="P8" ca="1">-INDIRECT("'data'!$S$" &amp; $A$1)*parameters!$B$15</f>
        <v>-3337.88</v>
      </c>
      <c r="Q8" s="16">
        <f ca="1">SUM(Q6:Q7)</f>
        <v>33068.14</v>
      </c>
      <c r="R8" s="16">
        <f t="shared" ca="1" si="2"/>
        <v>33068.14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10539.9</v>
      </c>
      <c r="L9" s="16">
        <f t="shared" ca="1" si="0"/>
        <v>10539.9</v>
      </c>
      <c r="M9" s="16"/>
      <c r="N9" s="16">
        <f t="shared" ca="1" si="3"/>
        <v>0</v>
      </c>
      <c r="O9" s="11" cm="1">
        <f t="array" aca="1" ref="O9" ca="1">INDIRECT("'data'!$U$" &amp; $A$1)*parameters!$B$15</f>
        <v>10342.92</v>
      </c>
      <c r="P9" s="13" cm="1">
        <f t="array" aca="1" ref="P9" ca="1">-INDIRECT("'data'!$V$" &amp; $A$1)*parameters!$B$15</f>
        <v>-1054.48</v>
      </c>
      <c r="Q9" s="16" cm="1">
        <f t="array" aca="1" ref="Q9" ca="1">INDIRECT("'data'!$T$" &amp; $A$1)*parameters!$B$15</f>
        <v>19828.34</v>
      </c>
      <c r="R9" s="16">
        <f t="shared" ca="1" si="2"/>
        <v>19828.34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14539.547652916073</v>
      </c>
      <c r="L10" s="16">
        <f t="shared" ca="1" si="0"/>
        <v>14539.547652916073</v>
      </c>
      <c r="M10" s="16"/>
      <c r="N10" s="16">
        <f t="shared" ca="1" si="3"/>
        <v>0</v>
      </c>
      <c r="O10" s="11" cm="1">
        <f t="array" aca="1" ref="O10" ca="1">INDIRECT("'data'!$X$" &amp; $A$1)*parameters!$B$15</f>
        <v>5632.0599999999995</v>
      </c>
      <c r="P10" s="13" cm="1">
        <f t="array" aca="1" ref="P10" ca="1">-INDIRECT("'data'!$Y$" &amp; $A$1)*parameters!$B$15</f>
        <v>-7329.42</v>
      </c>
      <c r="Q10" s="16" cm="1">
        <f t="array" aca="1" ref="Q10" ca="1">INDIRECT("'data'!$W$" &amp; $A$1)*parameters!$B$15</f>
        <v>12842.187652916073</v>
      </c>
      <c r="R10" s="16">
        <f t="shared" ca="1" si="2"/>
        <v>12842.187652916071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17100.896981507824</v>
      </c>
      <c r="N11" s="19"/>
      <c r="O11" s="21" cm="1">
        <f t="array" aca="1" ref="O11" ca="1">INDIRECT("'data'!$Z$" &amp; $A$1)*parameters!$B$15</f>
        <v>8474.06</v>
      </c>
      <c r="P11" s="27" cm="1">
        <f t="array" aca="1" ref="P11" ca="1">-INDIRECT("'data'!$AA$" &amp; $A$1)*parameters!$B$15</f>
        <v>-3163.44</v>
      </c>
      <c r="Q11" s="16">
        <f ca="1">K9*parameters!$B$10+K10*parameters!$B$11</f>
        <v>22411.516981507822</v>
      </c>
      <c r="R11" s="16">
        <f t="shared" ref="R11:R17" ca="1" si="4">SUM(L11:P11)</f>
        <v>22411.516981507822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-59.127595350708361</v>
      </c>
      <c r="D12" s="9">
        <f ca="1">-(D17-Q4)</f>
        <v>0</v>
      </c>
      <c r="E12" s="9">
        <f ca="1">-(E17-Q5)</f>
        <v>-696.91427853949972</v>
      </c>
      <c r="F12" s="9">
        <f ca="1">-(F17-Q6)</f>
        <v>-703.40388059701581</v>
      </c>
      <c r="G12" s="9">
        <f ca="1">-(G17-Q7)</f>
        <v>-1007.6611912225708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-2467.1069457097947</v>
      </c>
      <c r="M12" s="17"/>
      <c r="N12" s="17"/>
      <c r="O12" s="10"/>
      <c r="P12" s="12"/>
      <c r="Q12" s="9">
        <f t="shared" ref="Q12:Q17" ca="1" si="6">SUM(L12:P12)</f>
        <v>-2467.1069457097947</v>
      </c>
      <c r="R12" s="17">
        <f t="shared" ca="1" si="4"/>
        <v>-2467.1069457097947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-1472.5125912034091</v>
      </c>
      <c r="J13" s="14">
        <f ca="1">-(J17-Q10)</f>
        <v>-953.69975588051602</v>
      </c>
      <c r="K13" s="13">
        <f ca="1">-(K17-Q11)</f>
        <v>-2667.9306714082522</v>
      </c>
      <c r="L13" s="14">
        <f t="shared" ca="1" si="5"/>
        <v>-5094.1430184921774</v>
      </c>
      <c r="M13" s="16">
        <f ca="1">-E15</f>
        <v>-1241.4413318669085</v>
      </c>
      <c r="N13" s="16"/>
      <c r="O13" s="11"/>
      <c r="P13" s="13"/>
      <c r="Q13" s="14">
        <f t="shared" ca="1" si="6"/>
        <v>-6335.5843503590859</v>
      </c>
      <c r="R13" s="16">
        <f t="shared" ca="1" si="4"/>
        <v>-6335.5843503590859</v>
      </c>
    </row>
    <row r="14" spans="1:20">
      <c r="A14" s="18" t="s">
        <v>105</v>
      </c>
      <c r="B14" s="11"/>
      <c r="C14" s="14"/>
      <c r="D14" s="14"/>
      <c r="E14" s="14">
        <f ca="1">-(I13+J13)-K13</f>
        <v>5094.1430184921774</v>
      </c>
      <c r="F14" s="14"/>
      <c r="G14" s="14"/>
      <c r="H14" s="14"/>
      <c r="I14" s="14"/>
      <c r="J14" s="14"/>
      <c r="K14" s="13"/>
      <c r="L14" s="14">
        <f t="shared" ca="1" si="5"/>
        <v>5094.1430184921774</v>
      </c>
      <c r="M14" s="16"/>
      <c r="N14" s="16"/>
      <c r="O14" s="11"/>
      <c r="P14" s="13"/>
      <c r="Q14" s="14">
        <f t="shared" ca="1" si="6"/>
        <v>5094.1430184921774</v>
      </c>
      <c r="R14" s="16">
        <f t="shared" ca="1" si="4"/>
        <v>5094.1430184921774</v>
      </c>
    </row>
    <row r="15" spans="1:20">
      <c r="A15" s="18" t="s">
        <v>106</v>
      </c>
      <c r="B15" s="11"/>
      <c r="C15" s="14"/>
      <c r="D15" s="14"/>
      <c r="E15" s="14">
        <f ca="1">E17-E14</f>
        <v>1241.4413318669085</v>
      </c>
      <c r="F15" s="14"/>
      <c r="G15" s="14"/>
      <c r="H15" s="14"/>
      <c r="I15" s="14"/>
      <c r="J15" s="14"/>
      <c r="K15" s="13"/>
      <c r="L15" s="14">
        <f t="shared" ca="1" si="5"/>
        <v>1241.4413318669085</v>
      </c>
      <c r="M15" s="16"/>
      <c r="N15" s="16"/>
      <c r="O15" s="11"/>
      <c r="P15" s="13"/>
      <c r="Q15" s="14">
        <f t="shared" ca="1" si="6"/>
        <v>1241.4413318669085</v>
      </c>
      <c r="R15" s="16">
        <f t="shared" ca="1" si="4"/>
        <v>1241.4413318669085</v>
      </c>
    </row>
    <row r="16" spans="1:20">
      <c r="A16" s="30" t="s">
        <v>86</v>
      </c>
      <c r="B16" s="21">
        <f ca="1">Q2</f>
        <v>9110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9110</v>
      </c>
      <c r="M16" s="19"/>
      <c r="N16" s="19"/>
      <c r="O16" s="21"/>
      <c r="P16" s="27"/>
      <c r="Q16" s="22">
        <f t="shared" ca="1" si="6"/>
        <v>9110</v>
      </c>
      <c r="R16" s="19">
        <f t="shared" ca="1" si="4"/>
        <v>9110</v>
      </c>
    </row>
    <row r="17" spans="1:18">
      <c r="A17" s="29" t="s">
        <v>85</v>
      </c>
      <c r="B17" s="9">
        <f ca="1">B16</f>
        <v>9110</v>
      </c>
      <c r="C17" s="9">
        <f ca="1">SUM(C$2:C$11)</f>
        <v>9385.3325953507083</v>
      </c>
      <c r="D17" s="9">
        <f ca="1">SUM(D$2:D$11)</f>
        <v>0</v>
      </c>
      <c r="E17" s="9">
        <f ca="1">$Q$5/parameters!$B$4</f>
        <v>6335.5843503590859</v>
      </c>
      <c r="F17" s="9">
        <f t="shared" ref="F17:K17" ca="1" si="7">SUM(F$2:F$11)</f>
        <v>11345.223880597016</v>
      </c>
      <c r="G17" s="9">
        <f t="shared" ca="1" si="7"/>
        <v>23433.98119122257</v>
      </c>
      <c r="H17" s="9">
        <f t="shared" ca="1" si="7"/>
        <v>33068.14</v>
      </c>
      <c r="I17" s="9">
        <f t="shared" ca="1" si="7"/>
        <v>21300.852591203409</v>
      </c>
      <c r="J17" s="9">
        <f t="shared" ca="1" si="7"/>
        <v>13795.887408796589</v>
      </c>
      <c r="K17" s="9">
        <f t="shared" ca="1" si="7"/>
        <v>25079.447652916075</v>
      </c>
      <c r="L17" s="17">
        <f t="shared" ca="1" si="5"/>
        <v>152854.44967044547</v>
      </c>
      <c r="M17" s="17"/>
      <c r="N17" s="17"/>
      <c r="O17" s="9"/>
      <c r="P17" s="14"/>
      <c r="Q17" s="11">
        <f t="shared" ca="1" si="6"/>
        <v>152854.44967044547</v>
      </c>
      <c r="R17" s="17">
        <f t="shared" ca="1" si="4"/>
        <v>152854.44967044547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0.93087072055456077</v>
      </c>
      <c r="J18" s="39">
        <f ca="1">I18</f>
        <v>0.93087072055456077</v>
      </c>
      <c r="K18" s="40">
        <f ca="1">1-(-K13)/K17</f>
        <v>0.89362083613918653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sheetPr>
    <tabColor theme="2" tint="-9.9978637043366805E-2"/>
  </sheetPr>
  <dimension ref="A1:S28"/>
  <sheetViews>
    <sheetView zoomScaleNormal="100" workbookViewId="0">
      <selection activeCell="N1" sqref="N1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24992.049914461102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24992.049914461102</v>
      </c>
      <c r="M2" s="17"/>
      <c r="N2" s="17">
        <f ca="1">Q2-(L2+O2+P2)</f>
        <v>16085.959470572241</v>
      </c>
      <c r="O2" s="11" cm="1">
        <f t="array" aca="1" ref="O2" ca="1">INDIRECT("'data'!$F$" &amp; $A$1)</f>
        <v>216921.99061496666</v>
      </c>
      <c r="P2" s="13">
        <f ca="1">IF(-(L2-Q2+O2)&lt;0, -(L2-Q2+O2), 0)</f>
        <v>0</v>
      </c>
      <c r="Q2" s="17" cm="1">
        <f t="array" aca="1" ref="Q2" ca="1">INDIRECT("'data'!$D$" &amp; $A$1)</f>
        <v>258000</v>
      </c>
      <c r="R2" s="17">
        <f ca="1">SUM(L2:P2)</f>
        <v>258000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21143.761194029852</v>
      </c>
      <c r="G3" s="14">
        <f ca="1">Q3-O3-P3-F3</f>
        <v>983.41380597014722</v>
      </c>
      <c r="H3" s="14"/>
      <c r="I3" s="14"/>
      <c r="J3" s="14"/>
      <c r="K3" s="13"/>
      <c r="L3" s="16">
        <f t="shared" ca="1" si="0"/>
        <v>22127.174999999999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2707.4249999999997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24834.6</v>
      </c>
      <c r="R3" s="16">
        <f t="shared" ref="R3:R10" ca="1" si="2">SUM(L3:P3)</f>
        <v>24834.6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 ht="17">
      <c r="A5" s="15" t="s">
        <v>104</v>
      </c>
      <c r="B5" s="11"/>
      <c r="C5" s="14"/>
      <c r="D5" s="14"/>
      <c r="E5" s="14"/>
      <c r="F5" s="14">
        <f ca="1">Q6/parameters!$B$5*20%</f>
        <v>5285.940298507463</v>
      </c>
      <c r="G5" s="14">
        <f ca="1">Q7/parameters!$B$7-(G3+G4)</f>
        <v>6463.357353904461</v>
      </c>
      <c r="H5" s="14"/>
      <c r="I5" s="14"/>
      <c r="J5" s="14"/>
      <c r="K5" s="13"/>
      <c r="L5" s="16">
        <f t="shared" ca="1" si="0"/>
        <v>11749.297652411924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685.02</v>
      </c>
      <c r="P5" s="13" cm="1">
        <f t="array" aca="1" ref="P5" ca="1">-INDIRECT("'data'!$N$" &amp; $A$1)*parameters!$B$15</f>
        <v>-170.52</v>
      </c>
      <c r="Q5" s="16">
        <f ca="1">SUM(L5:P5)</f>
        <v>12263.797652411924</v>
      </c>
      <c r="R5" s="16">
        <f t="shared" ca="1" si="2"/>
        <v>12263.797652411924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24791.06</v>
      </c>
      <c r="I6" s="14"/>
      <c r="J6" s="14"/>
      <c r="K6" s="13"/>
      <c r="L6" s="16">
        <f t="shared" ca="1" si="0"/>
        <v>24791.06</v>
      </c>
      <c r="M6" s="16"/>
      <c r="N6" s="16">
        <f t="shared" ref="N6:N11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24791.06</v>
      </c>
      <c r="R6" s="16">
        <f t="shared" ca="1" si="2"/>
        <v>24791.06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7126.5599999999995</v>
      </c>
      <c r="I7" s="14"/>
      <c r="J7" s="14"/>
      <c r="K7" s="13"/>
      <c r="L7" s="16">
        <f t="shared" ca="1" si="0"/>
        <v>7126.5599999999995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7126.5599999999995</v>
      </c>
      <c r="R7" s="16">
        <f t="shared" ca="1" si="2"/>
        <v>7126.5599999999995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10655.178947368422</v>
      </c>
      <c r="J8" s="14">
        <f ca="1">Q10/J18</f>
        <v>21021.796061989968</v>
      </c>
      <c r="K8" s="13"/>
      <c r="L8" s="16">
        <f t="shared" ca="1" si="0"/>
        <v>31676.97500935839</v>
      </c>
      <c r="M8" s="16"/>
      <c r="N8" s="16">
        <f t="shared" ca="1" si="3"/>
        <v>-8021.7350093583882</v>
      </c>
      <c r="O8" s="11" cm="1">
        <f t="array" aca="1" ref="O8" ca="1">INDIRECT("'data'!$R$" &amp; $A$1)*parameters!$B$15</f>
        <v>8469.16</v>
      </c>
      <c r="P8" s="13" cm="1">
        <f t="array" aca="1" ref="P8" ca="1">-INDIRECT("'data'!$S$" &amp; $A$1)*parameters!$B$15</f>
        <v>-206.78</v>
      </c>
      <c r="Q8" s="16">
        <f ca="1">SUM(Q6:Q7)</f>
        <v>31917.620000000003</v>
      </c>
      <c r="R8" s="16">
        <f t="shared" ca="1" si="2"/>
        <v>31917.620000000003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9403.1</v>
      </c>
      <c r="L9" s="16">
        <f t="shared" ca="1" si="0"/>
        <v>9403.1</v>
      </c>
      <c r="M9" s="16"/>
      <c r="N9" s="16">
        <f t="shared" ca="1" si="3"/>
        <v>0</v>
      </c>
      <c r="O9" s="11" cm="1">
        <f t="array" aca="1" ref="O9" ca="1">INDIRECT("'data'!$U$" &amp; $A$1)*parameters!$B$15</f>
        <v>1306.3399999999999</v>
      </c>
      <c r="P9" s="13" cm="1">
        <f t="array" aca="1" ref="P9" ca="1">-INDIRECT("'data'!$V$" &amp; $A$1)*parameters!$B$15</f>
        <v>-587.02</v>
      </c>
      <c r="Q9" s="16" cm="1">
        <f t="array" aca="1" ref="Q9" ca="1">INDIRECT("'data'!$T$" &amp; $A$1)*parameters!$B$15</f>
        <v>10122.42</v>
      </c>
      <c r="R9" s="16">
        <f t="shared" ca="1" si="2"/>
        <v>10122.42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19152.406258890467</v>
      </c>
      <c r="L10" s="16">
        <f t="shared" ca="1" si="0"/>
        <v>19152.406258890467</v>
      </c>
      <c r="M10" s="16"/>
      <c r="N10" s="16">
        <f t="shared" ca="1" si="3"/>
        <v>0</v>
      </c>
      <c r="O10" s="11" cm="1">
        <f t="array" aca="1" ref="O10" ca="1">INDIRECT("'data'!$X$" &amp; $A$1)*parameters!$B$15</f>
        <v>2144.2399999999998</v>
      </c>
      <c r="P10" s="13" cm="1">
        <f t="array" aca="1" ref="P10" ca="1">-INDIRECT("'data'!$Y$" &amp; $A$1)*parameters!$B$15</f>
        <v>-1325.94</v>
      </c>
      <c r="Q10" s="16" cm="1">
        <f t="array" aca="1" ref="Q10" ca="1">INDIRECT("'data'!$W$" &amp; $A$1)*parameters!$B$15</f>
        <v>19970.70625889047</v>
      </c>
      <c r="R10" s="16">
        <f t="shared" ca="1" si="2"/>
        <v>19970.70625889047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25659.843382645802</v>
      </c>
      <c r="N11" s="19"/>
      <c r="O11" s="21" cm="1">
        <f t="array" aca="1" ref="O11" ca="1">INDIRECT("'data'!$Z$" &amp; $A$1)*parameters!$B$15</f>
        <v>2312.8000000000002</v>
      </c>
      <c r="P11" s="27" cm="1">
        <f t="array" aca="1" ref="P11" ca="1">-INDIRECT("'data'!$AA$" &amp; $A$1)*parameters!$B$15</f>
        <v>-2662.66</v>
      </c>
      <c r="Q11" s="16">
        <f ca="1">K9*parameters!$B$10+K10*parameters!$B$11</f>
        <v>25309.983382645802</v>
      </c>
      <c r="R11" s="16">
        <f t="shared" ref="R11:R17" ca="1" si="4">SUM(L11:P11)</f>
        <v>25309.983382645802</v>
      </c>
      <c r="S11" s="7"/>
    </row>
    <row r="12" spans="1:19">
      <c r="A12" s="29" t="s">
        <v>107</v>
      </c>
      <c r="B12" s="10">
        <f ca="1">-(B17-Q2)</f>
        <v>0</v>
      </c>
      <c r="C12" s="9">
        <f ca="1">-(C17-Q3)</f>
        <v>-157.44991446110362</v>
      </c>
      <c r="D12" s="9">
        <f ca="1">-(D17-Q4)</f>
        <v>0</v>
      </c>
      <c r="E12" s="9">
        <f ca="1">-(E17-Q5)</f>
        <v>-1515.7502716464169</v>
      </c>
      <c r="F12" s="9">
        <f ca="1">-(F17-Q6)</f>
        <v>-1638.6414925373138</v>
      </c>
      <c r="G12" s="9">
        <f ca="1">-(G17-Q7)</f>
        <v>-320.21115987460871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-3632.052838519443</v>
      </c>
      <c r="M12" s="17"/>
      <c r="N12" s="17"/>
      <c r="O12" s="10"/>
      <c r="P12" s="12"/>
      <c r="Q12" s="9">
        <f t="shared" ref="Q12:Q17" ca="1" si="6">SUM(L12:P12)</f>
        <v>-3632.052838519443</v>
      </c>
      <c r="R12" s="17">
        <f t="shared" ca="1" si="4"/>
        <v>-3632.052838519443</v>
      </c>
    </row>
    <row r="13" spans="1:19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-532.75894736842201</v>
      </c>
      <c r="J13" s="14">
        <f ca="1">-(J17-Q10)</f>
        <v>-1051.0898030994977</v>
      </c>
      <c r="K13" s="13">
        <f ca="1">-(K17-Q11)</f>
        <v>-3245.5228762446677</v>
      </c>
      <c r="L13" s="14">
        <f t="shared" ca="1" si="5"/>
        <v>-4829.3716267125874</v>
      </c>
      <c r="M13" s="16">
        <f ca="1">-E15</f>
        <v>-8950.1762973457535</v>
      </c>
      <c r="N13" s="16"/>
      <c r="O13" s="11"/>
      <c r="P13" s="13"/>
      <c r="Q13" s="14">
        <f t="shared" ca="1" si="6"/>
        <v>-13779.547924058341</v>
      </c>
      <c r="R13" s="16">
        <f t="shared" ca="1" si="4"/>
        <v>-13779.547924058341</v>
      </c>
    </row>
    <row r="14" spans="1:19">
      <c r="A14" s="18" t="s">
        <v>105</v>
      </c>
      <c r="B14" s="11"/>
      <c r="C14" s="14"/>
      <c r="D14" s="14"/>
      <c r="E14" s="14">
        <f ca="1">-(I13+J13)-K13</f>
        <v>4829.3716267125874</v>
      </c>
      <c r="F14" s="14"/>
      <c r="G14" s="14"/>
      <c r="H14" s="14"/>
      <c r="I14" s="14"/>
      <c r="J14" s="14"/>
      <c r="K14" s="13"/>
      <c r="L14" s="14">
        <f t="shared" ca="1" si="5"/>
        <v>4829.3716267125874</v>
      </c>
      <c r="M14" s="16"/>
      <c r="N14" s="16"/>
      <c r="O14" s="11"/>
      <c r="P14" s="13"/>
      <c r="Q14" s="14">
        <f t="shared" ca="1" si="6"/>
        <v>4829.3716267125874</v>
      </c>
      <c r="R14" s="16">
        <f t="shared" ca="1" si="4"/>
        <v>4829.3716267125874</v>
      </c>
    </row>
    <row r="15" spans="1:19">
      <c r="A15" s="18" t="s">
        <v>106</v>
      </c>
      <c r="B15" s="11"/>
      <c r="C15" s="14"/>
      <c r="D15" s="14"/>
      <c r="E15" s="14">
        <f ca="1">E17-E14</f>
        <v>8950.1762973457535</v>
      </c>
      <c r="F15" s="14"/>
      <c r="G15" s="14"/>
      <c r="H15" s="14"/>
      <c r="I15" s="14"/>
      <c r="J15" s="14"/>
      <c r="K15" s="13"/>
      <c r="L15" s="14">
        <f t="shared" ca="1" si="5"/>
        <v>8950.1762973457535</v>
      </c>
      <c r="M15" s="16"/>
      <c r="N15" s="16"/>
      <c r="O15" s="11"/>
      <c r="P15" s="13"/>
      <c r="Q15" s="14">
        <f t="shared" ca="1" si="6"/>
        <v>8950.1762973457535</v>
      </c>
      <c r="R15" s="16">
        <f t="shared" ca="1" si="4"/>
        <v>8950.1762973457535</v>
      </c>
    </row>
    <row r="16" spans="1:19">
      <c r="A16" s="30" t="s">
        <v>86</v>
      </c>
      <c r="B16" s="21">
        <f ca="1">Q2</f>
        <v>258000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258000</v>
      </c>
      <c r="M16" s="19"/>
      <c r="N16" s="19"/>
      <c r="O16" s="21"/>
      <c r="P16" s="27"/>
      <c r="Q16" s="22">
        <f t="shared" ca="1" si="6"/>
        <v>258000</v>
      </c>
      <c r="R16" s="19">
        <f t="shared" ca="1" si="4"/>
        <v>258000</v>
      </c>
    </row>
    <row r="17" spans="1:18">
      <c r="A17" s="29" t="s">
        <v>85</v>
      </c>
      <c r="B17" s="9">
        <f ca="1">B16</f>
        <v>258000</v>
      </c>
      <c r="C17" s="9">
        <f ca="1">SUM(C$2:C$11)</f>
        <v>24992.049914461102</v>
      </c>
      <c r="D17" s="9">
        <f ca="1">SUM(D$2:D$11)</f>
        <v>0</v>
      </c>
      <c r="E17" s="9">
        <f ca="1">$Q$5/parameters!$B$4</f>
        <v>13779.547924058341</v>
      </c>
      <c r="F17" s="9">
        <f t="shared" ref="F17:K17" ca="1" si="7">SUM(F$2:F$11)</f>
        <v>26429.701492537315</v>
      </c>
      <c r="G17" s="9">
        <f t="shared" ca="1" si="7"/>
        <v>7446.7711598746082</v>
      </c>
      <c r="H17" s="9">
        <f t="shared" ca="1" si="7"/>
        <v>31917.620000000003</v>
      </c>
      <c r="I17" s="9">
        <f t="shared" ca="1" si="7"/>
        <v>10655.178947368422</v>
      </c>
      <c r="J17" s="9">
        <f t="shared" ca="1" si="7"/>
        <v>21021.796061989968</v>
      </c>
      <c r="K17" s="9">
        <f t="shared" ca="1" si="7"/>
        <v>28555.506258890469</v>
      </c>
      <c r="L17" s="17">
        <f t="shared" ca="1" si="5"/>
        <v>422798.17175918026</v>
      </c>
      <c r="M17" s="17"/>
      <c r="N17" s="17"/>
      <c r="O17" s="9"/>
      <c r="P17" s="14"/>
      <c r="Q17" s="11">
        <f t="shared" ca="1" si="6"/>
        <v>422798.17175918026</v>
      </c>
      <c r="R17" s="17">
        <f t="shared" ca="1" si="4"/>
        <v>422798.17175918026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0.95</v>
      </c>
      <c r="J18" s="44">
        <f>I18</f>
        <v>0.95</v>
      </c>
      <c r="K18" s="40">
        <f ca="1">1-(-K13)/K17</f>
        <v>0.88634336065275654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2122.885938236514</v>
      </c>
      <c r="D2" s="9">
        <f ca="1">Q4/parameters!$B$3</f>
        <v>23299.260309911249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25422.146248147765</v>
      </c>
      <c r="M2" s="17"/>
      <c r="N2" s="17">
        <f ca="1">Q2-(L2+O2+P2)</f>
        <v>0</v>
      </c>
      <c r="O2" s="11" cm="1">
        <f t="array" aca="1" ref="O2" ca="1">INDIRECT("'data'!$F$" &amp; $A$1)</f>
        <v>8394.6272625630791</v>
      </c>
      <c r="P2" s="13">
        <f ca="1">IF(-(L2-Q2+O2)&lt;0, -(L2-Q2+O2), 0)</f>
        <v>-14670.275351848495</v>
      </c>
      <c r="Q2" s="17" cm="1">
        <f t="array" aca="1" ref="Q2" ca="1">INDIRECT("'data'!$D$" &amp; $A$1)</f>
        <v>19146.498158862349</v>
      </c>
      <c r="R2" s="17">
        <f ca="1">SUM(L2:P2)</f>
        <v>19146.498158862349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2092.3208955223881</v>
      </c>
      <c r="G3" s="14">
        <f ca="1">Q3-O3-P3-F3</f>
        <v>16.24586130323587</v>
      </c>
      <c r="H3" s="14"/>
      <c r="I3" s="14"/>
      <c r="J3" s="14"/>
      <c r="K3" s="13"/>
      <c r="L3" s="16">
        <f t="shared" ca="1" si="0"/>
        <v>2108.566756825624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2109.5117568256242</v>
      </c>
      <c r="R3" s="16">
        <f t="shared" ref="R3:R10" ca="1" si="2">SUM(L3:P3)</f>
        <v>2109.5117568256242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22853.47496995881</v>
      </c>
      <c r="H4" s="14"/>
      <c r="I4" s="14"/>
      <c r="J4" s="14"/>
      <c r="K4" s="13"/>
      <c r="L4" s="16">
        <f t="shared" ca="1" si="0"/>
        <v>22853.47496995881</v>
      </c>
      <c r="M4" s="16"/>
      <c r="N4" s="16">
        <f t="shared" ca="1" si="1"/>
        <v>0</v>
      </c>
      <c r="O4" s="11" cm="1">
        <f t="array" aca="1" ref="O4" ca="1">INDIRECT("'data'!$K$" &amp; $A$1)*parameters!$B$14</f>
        <v>299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23152.47496995881</v>
      </c>
      <c r="R4" s="16">
        <f t="shared" ca="1" si="2"/>
        <v>23152.47496995881</v>
      </c>
      <c r="S4" s="7"/>
    </row>
    <row r="5" spans="1:22" ht="17">
      <c r="A5" s="15" t="s">
        <v>104</v>
      </c>
      <c r="B5" s="11"/>
      <c r="C5" s="14"/>
      <c r="D5" s="14"/>
      <c r="E5" s="14"/>
      <c r="F5" s="14">
        <f ca="1">Q6/parameters!$B$5*21%</f>
        <v>556.18656716417922</v>
      </c>
      <c r="G5" s="14">
        <f ca="1">Q7/parameters!$B$7-(G3+G4)</f>
        <v>759.85074658539452</v>
      </c>
      <c r="H5" s="14"/>
      <c r="I5" s="14"/>
      <c r="J5" s="14"/>
      <c r="K5" s="13"/>
      <c r="L5" s="16">
        <f t="shared" ca="1" si="0"/>
        <v>1316.0373137495737</v>
      </c>
      <c r="M5" s="16"/>
      <c r="N5" s="49">
        <f ca="1">IF($E$14*parameters!$B$4-$P$5-$L$5-$O$5&lt;0, 0, $E$14*parameters!$B$4-$P$5-$L$5-$O$5)</f>
        <v>5800.2709126629479</v>
      </c>
      <c r="O5" s="11" cm="1">
        <f t="array" aca="1" ref="O5" ca="1">INDIRECT("'data'!$M$" &amp; $A$1)*parameters!$B$15</f>
        <v>203.84</v>
      </c>
      <c r="P5" s="13" cm="1">
        <f t="array" aca="1" ref="P5" ca="1">-INDIRECT("'data'!$N$" &amp; $A$1)*parameters!$B$15</f>
        <v>-7.84</v>
      </c>
      <c r="Q5" s="16">
        <f ca="1">SUM(L5:P5)</f>
        <v>7312.3082264125214</v>
      </c>
      <c r="R5" s="16">
        <f t="shared" ca="1" si="2"/>
        <v>7312.3082264125214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2484.3000000000002</v>
      </c>
      <c r="I6" s="14"/>
      <c r="J6" s="14"/>
      <c r="K6" s="13"/>
      <c r="L6" s="16">
        <f t="shared" ca="1" si="0"/>
        <v>2484.3000000000002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2484.3000000000002</v>
      </c>
      <c r="R6" s="16">
        <f t="shared" ca="1" si="2"/>
        <v>2484.3000000000002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22613.5</v>
      </c>
      <c r="I7" s="14"/>
      <c r="J7" s="14"/>
      <c r="K7" s="13"/>
      <c r="L7" s="16">
        <f t="shared" ca="1" si="0"/>
        <v>22613.5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22613.5</v>
      </c>
      <c r="R7" s="16">
        <f t="shared" ca="1" si="2"/>
        <v>22613.5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13746.779355532331</v>
      </c>
      <c r="J8" s="14">
        <f ca="1">Q10/J18</f>
        <v>10614.060644467669</v>
      </c>
      <c r="K8" s="13"/>
      <c r="L8" s="16">
        <f t="shared" ca="1" si="0"/>
        <v>24360.84</v>
      </c>
      <c r="M8" s="16"/>
      <c r="N8" s="16">
        <f t="shared" ca="1" si="3"/>
        <v>0</v>
      </c>
      <c r="O8" s="11" cm="1">
        <f t="array" aca="1" ref="O8" ca="1">INDIRECT("'data'!$R$" &amp; $A$1)*parameters!$B$15</f>
        <v>736.96</v>
      </c>
      <c r="P8" s="13" cm="1">
        <f t="array" aca="1" ref="P8" ca="1">-INDIRECT("'data'!$S$" &amp; $A$1)*parameters!$B$15</f>
        <v>0</v>
      </c>
      <c r="Q8" s="16">
        <f ca="1">SUM(Q6:Q7)</f>
        <v>25097.8</v>
      </c>
      <c r="R8" s="16">
        <f t="shared" ca="1" si="2"/>
        <v>25097.8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9934.2599999999984</v>
      </c>
      <c r="L9" s="16">
        <f t="shared" ca="1" si="0"/>
        <v>9934.2599999999984</v>
      </c>
      <c r="M9" s="16"/>
      <c r="N9" s="16">
        <f t="shared" ca="1" si="3"/>
        <v>0</v>
      </c>
      <c r="O9" s="11" cm="1">
        <f t="array" aca="1" ref="O9" ca="1">INDIRECT("'data'!$U$" &amp; $A$1)*parameters!$B$15</f>
        <v>186.2</v>
      </c>
      <c r="P9" s="13" cm="1">
        <f t="array" aca="1" ref="P9" ca="1">-INDIRECT("'data'!$V$" &amp; $A$1)*parameters!$B$15</f>
        <v>-56.839999999999996</v>
      </c>
      <c r="Q9" s="16" cm="1">
        <f t="array" aca="1" ref="Q9" ca="1">INDIRECT("'data'!$T$" &amp; $A$1)*parameters!$B$15</f>
        <v>10063.619999999999</v>
      </c>
      <c r="R9" s="16">
        <f t="shared" ca="1" si="2"/>
        <v>10063.619999999999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7807.4871408250347</v>
      </c>
      <c r="L10" s="16">
        <f t="shared" ca="1" si="0"/>
        <v>7807.4871408250347</v>
      </c>
      <c r="M10" s="16"/>
      <c r="N10" s="16">
        <f t="shared" ca="1" si="3"/>
        <v>0</v>
      </c>
      <c r="O10" s="11" cm="1">
        <f t="array" aca="1" ref="O10" ca="1">INDIRECT("'data'!$X$" &amp; $A$1)*parameters!$B$15</f>
        <v>167.57999999999998</v>
      </c>
      <c r="P10" s="13" cm="1">
        <f t="array" aca="1" ref="P10" ca="1">-INDIRECT("'data'!$Y$" &amp; $A$1)*parameters!$B$15</f>
        <v>-204.82</v>
      </c>
      <c r="Q10" s="16" cm="1">
        <f t="array" aca="1" ref="Q10" ca="1">INDIRECT("'data'!$W$" &amp; $A$1)*parameters!$B$15</f>
        <v>7770.2471408250349</v>
      </c>
      <c r="R10" s="16">
        <f t="shared" ca="1" si="2"/>
        <v>7770.2471408250349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16833.703341109529</v>
      </c>
      <c r="N11" s="19"/>
      <c r="O11" s="21" cm="1">
        <f t="array" aca="1" ref="O11" ca="1">INDIRECT("'data'!$Z$" &amp; $A$1)*parameters!$B$15</f>
        <v>44.1</v>
      </c>
      <c r="P11" s="27" cm="1">
        <f t="array" aca="1" ref="P11" ca="1">-INDIRECT("'data'!$AA$" &amp; $A$1)*parameters!$B$15</f>
        <v>-825.16</v>
      </c>
      <c r="Q11" s="16">
        <f ca="1">K9*parameters!$B$10+K10*parameters!$B$11</f>
        <v>16052.643341109528</v>
      </c>
      <c r="R11" s="16">
        <f t="shared" ref="R11:R17" ca="1" si="4">SUM(L11:P11)</f>
        <v>16052.643341109528</v>
      </c>
      <c r="S11" s="7"/>
    </row>
    <row r="12" spans="1:22">
      <c r="A12" s="29" t="s">
        <v>107</v>
      </c>
      <c r="B12" s="10">
        <f ca="1">-(B17-Q2)</f>
        <v>0</v>
      </c>
      <c r="C12" s="9">
        <f ca="1">-(C17-Q3)</f>
        <v>-13.374181410889832</v>
      </c>
      <c r="D12" s="9">
        <f ca="1">-(D17-Q4)</f>
        <v>-146.78533995243924</v>
      </c>
      <c r="E12" s="9">
        <f ca="1">-(E17-Q5)</f>
        <v>-903.76843247795205</v>
      </c>
      <c r="F12" s="9">
        <f ca="1">-(F17-Q6)</f>
        <v>-164.20746268656694</v>
      </c>
      <c r="G12" s="9">
        <f ca="1">-(G17-Q7)</f>
        <v>-1016.0715778474405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-2244.2069943752886</v>
      </c>
      <c r="M12" s="17"/>
      <c r="N12" s="17"/>
      <c r="O12" s="10"/>
      <c r="P12" s="12"/>
      <c r="Q12" s="9">
        <f t="shared" ref="Q12:Q17" ca="1" si="6">SUM(L12:P12)</f>
        <v>-2244.2069943752886</v>
      </c>
      <c r="R12" s="17">
        <f t="shared" ca="1" si="4"/>
        <v>-2244.2069943752886</v>
      </c>
    </row>
    <row r="13" spans="1:22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-3683.1593555323325</v>
      </c>
      <c r="J13" s="14">
        <f ca="1">-(J17-Q10)</f>
        <v>-2843.8135036426338</v>
      </c>
      <c r="K13" s="13">
        <f ca="1">-(K17-Q11)</f>
        <v>-1689.1037997155072</v>
      </c>
      <c r="L13" s="14">
        <f t="shared" ca="1" si="5"/>
        <v>-8216.0766588904735</v>
      </c>
      <c r="M13" s="16">
        <f ca="1">-E15</f>
        <v>0</v>
      </c>
      <c r="N13" s="16"/>
      <c r="O13" s="11"/>
      <c r="P13" s="13"/>
      <c r="Q13" s="14">
        <f t="shared" ca="1" si="6"/>
        <v>-8216.0766588904735</v>
      </c>
      <c r="R13" s="16">
        <f t="shared" ca="1" si="4"/>
        <v>-8216.0766588904735</v>
      </c>
    </row>
    <row r="14" spans="1:22">
      <c r="A14" s="18" t="s">
        <v>105</v>
      </c>
      <c r="B14" s="11"/>
      <c r="C14" s="14"/>
      <c r="D14" s="14"/>
      <c r="E14" s="14">
        <f ca="1">-(I13+J13)-K13</f>
        <v>8216.0766588904735</v>
      </c>
      <c r="F14" s="14"/>
      <c r="G14" s="14"/>
      <c r="H14" s="14"/>
      <c r="I14" s="14"/>
      <c r="J14" s="14"/>
      <c r="K14" s="13"/>
      <c r="L14" s="14">
        <f t="shared" ca="1" si="5"/>
        <v>8216.0766588904735</v>
      </c>
      <c r="M14" s="16"/>
      <c r="N14" s="16"/>
      <c r="O14" s="11"/>
      <c r="P14" s="13"/>
      <c r="Q14" s="14">
        <f t="shared" ca="1" si="6"/>
        <v>8216.0766588904735</v>
      </c>
      <c r="R14" s="16">
        <f t="shared" ca="1" si="4"/>
        <v>8216.0766588904735</v>
      </c>
    </row>
    <row r="15" spans="1:22">
      <c r="A15" s="18" t="s">
        <v>106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2">
      <c r="A16" s="30" t="s">
        <v>86</v>
      </c>
      <c r="B16" s="21">
        <f ca="1">Q2</f>
        <v>19146.498158862349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19146.498158862349</v>
      </c>
      <c r="M16" s="19"/>
      <c r="N16" s="19"/>
      <c r="O16" s="21"/>
      <c r="P16" s="27"/>
      <c r="Q16" s="22">
        <f t="shared" ca="1" si="6"/>
        <v>19146.498158862349</v>
      </c>
      <c r="R16" s="19">
        <f t="shared" ca="1" si="4"/>
        <v>19146.498158862349</v>
      </c>
    </row>
    <row r="17" spans="1:18">
      <c r="A17" s="29" t="s">
        <v>85</v>
      </c>
      <c r="B17" s="9">
        <f ca="1">B16</f>
        <v>19146.498158862349</v>
      </c>
      <c r="C17" s="9">
        <f ca="1">SUM(C$2:C$11)</f>
        <v>2122.885938236514</v>
      </c>
      <c r="D17" s="9">
        <f ca="1">SUM(D$2:D$11)</f>
        <v>23299.260309911249</v>
      </c>
      <c r="E17" s="9">
        <f ca="1">$Q$5/parameters!$B$4</f>
        <v>8216.0766588904735</v>
      </c>
      <c r="F17" s="9">
        <f t="shared" ref="F17:K17" ca="1" si="7">SUM(F$2:F$11)</f>
        <v>2648.5074626865671</v>
      </c>
      <c r="G17" s="9">
        <f t="shared" ca="1" si="7"/>
        <v>23629.57157784744</v>
      </c>
      <c r="H17" s="9">
        <f t="shared" ca="1" si="7"/>
        <v>25097.8</v>
      </c>
      <c r="I17" s="9">
        <f t="shared" ca="1" si="7"/>
        <v>13746.779355532331</v>
      </c>
      <c r="J17" s="9">
        <f t="shared" ca="1" si="7"/>
        <v>10614.060644467669</v>
      </c>
      <c r="K17" s="9">
        <f t="shared" ca="1" si="7"/>
        <v>17741.747140825035</v>
      </c>
      <c r="L17" s="17">
        <f t="shared" ca="1" si="5"/>
        <v>146263.18724725963</v>
      </c>
      <c r="M17" s="17"/>
      <c r="N17" s="17"/>
      <c r="O17" s="9"/>
      <c r="P17" s="14"/>
      <c r="Q17" s="11">
        <f t="shared" ca="1" si="6"/>
        <v>146263.18724725963</v>
      </c>
      <c r="R17" s="17">
        <f t="shared" ca="1" si="4"/>
        <v>146263.18724725963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0.73207110841929235</v>
      </c>
      <c r="J18" s="39">
        <f ca="1">I18</f>
        <v>0.73207110841929235</v>
      </c>
      <c r="K18" s="40">
        <f ca="1">1-(-K13)/K17</f>
        <v>0.90479495698432322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4380.2656737445905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4380.2656737445905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-4380.2656737445905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3516.2985074626863</v>
      </c>
      <c r="G3" s="14">
        <f ca="1">Q3-O3-P3-F3</f>
        <v>2119.6814925373142</v>
      </c>
      <c r="H3" s="14"/>
      <c r="I3" s="14"/>
      <c r="J3" s="14"/>
      <c r="K3" s="13"/>
      <c r="L3" s="16">
        <f t="shared" ca="1" si="0"/>
        <v>5635.9800000000005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51.029999999999994</v>
      </c>
      <c r="P3" s="13" cm="1">
        <f t="array" aca="1" ref="P3" ca="1">-INDIRECT("'data'!$I$" &amp; $A$1)*parameters!$B$13</f>
        <v>-1334.34</v>
      </c>
      <c r="Q3" s="16" cm="1">
        <f t="array" aca="1" ref="Q3" ca="1">INDIRECT("'data'!$G$" &amp; $A$1)*parameters!$B$13</f>
        <v>4352.67</v>
      </c>
      <c r="R3" s="16">
        <f t="shared" ref="R3:R10" ca="1" si="2">SUM(L3:P3)</f>
        <v>4352.67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932.88</v>
      </c>
      <c r="H4" s="14"/>
      <c r="I4" s="14"/>
      <c r="J4" s="14"/>
      <c r="K4" s="13"/>
      <c r="L4" s="16">
        <f t="shared" ca="1" si="0"/>
        <v>932.88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-932.88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Q6/parameters!$B$5*20%</f>
        <v>879.07462686567169</v>
      </c>
      <c r="G5" s="14">
        <f ca="1">Q7/parameters!$B$7-(G3+G4)</f>
        <v>16434.794829301769</v>
      </c>
      <c r="H5" s="14"/>
      <c r="I5" s="14"/>
      <c r="J5" s="14"/>
      <c r="K5" s="13"/>
      <c r="L5" s="16">
        <f t="shared" ca="1" si="0"/>
        <v>17313.869456167442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480.2</v>
      </c>
      <c r="P5" s="13" cm="1">
        <f t="array" aca="1" ref="P5" ca="1">-INDIRECT("'data'!$N$" &amp; $A$1)*parameters!$B$15</f>
        <v>-5247.9</v>
      </c>
      <c r="Q5" s="16">
        <f ca="1">SUM(L5:P5)</f>
        <v>12546.169456167443</v>
      </c>
      <c r="R5" s="16">
        <f t="shared" ca="1" si="2"/>
        <v>12546.169456167443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4122.8599999999997</v>
      </c>
      <c r="I6" s="14"/>
      <c r="J6" s="14"/>
      <c r="K6" s="13"/>
      <c r="L6" s="16">
        <f t="shared" ca="1" si="0"/>
        <v>4122.8599999999997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4122.8599999999997</v>
      </c>
      <c r="R6" s="16">
        <f t="shared" ca="1" si="2"/>
        <v>4122.8599999999997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18649.400000000001</v>
      </c>
      <c r="I7" s="14"/>
      <c r="J7" s="14"/>
      <c r="K7" s="13"/>
      <c r="L7" s="16">
        <f t="shared" ca="1" si="0"/>
        <v>18649.400000000001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18649.400000000001</v>
      </c>
      <c r="R7" s="16">
        <f t="shared" ca="1" si="2"/>
        <v>18649.400000000001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14459.157390654002</v>
      </c>
      <c r="J8" s="14">
        <f ca="1">Q10/J18</f>
        <v>12275.242609345998</v>
      </c>
      <c r="K8" s="13"/>
      <c r="L8" s="16">
        <f t="shared" ca="1" si="0"/>
        <v>26734.400000000001</v>
      </c>
      <c r="M8" s="16"/>
      <c r="N8" s="16">
        <f t="shared" ca="1" si="3"/>
        <v>0</v>
      </c>
      <c r="O8" s="11" cm="1">
        <f t="array" aca="1" ref="O8" ca="1">INDIRECT("'data'!$R$" &amp; $A$1)*parameters!$B$15</f>
        <v>749.69999999999993</v>
      </c>
      <c r="P8" s="13" cm="1">
        <f t="array" aca="1" ref="P8" ca="1">-INDIRECT("'data'!$S$" &amp; $A$1)*parameters!$B$15</f>
        <v>-4711.84</v>
      </c>
      <c r="Q8" s="16">
        <f ca="1">SUM(Q6:Q7)</f>
        <v>22772.260000000002</v>
      </c>
      <c r="R8" s="16">
        <f t="shared" ca="1" si="2"/>
        <v>22772.260000000002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8909.18</v>
      </c>
      <c r="L9" s="16">
        <f t="shared" ca="1" si="0"/>
        <v>8909.18</v>
      </c>
      <c r="M9" s="16"/>
      <c r="N9" s="16">
        <f t="shared" ca="1" si="3"/>
        <v>0</v>
      </c>
      <c r="O9" s="11" cm="1">
        <f t="array" aca="1" ref="O9" ca="1">INDIRECT("'data'!$U$" &amp; $A$1)*parameters!$B$15</f>
        <v>6296.5</v>
      </c>
      <c r="P9" s="13" cm="1">
        <f t="array" aca="1" ref="P9" ca="1">-INDIRECT("'data'!$V$" &amp; $A$1)*parameters!$B$15</f>
        <v>-2546.04</v>
      </c>
      <c r="Q9" s="16" cm="1">
        <f t="array" aca="1" ref="Q9" ca="1">INDIRECT("'data'!$T$" &amp; $A$1)*parameters!$B$15</f>
        <v>12659.64</v>
      </c>
      <c r="R9" s="16">
        <f t="shared" ca="1" si="2"/>
        <v>12659.64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16222.784779516358</v>
      </c>
      <c r="L10" s="16">
        <f t="shared" ca="1" si="0"/>
        <v>16222.784779516358</v>
      </c>
      <c r="M10" s="16"/>
      <c r="N10" s="16">
        <f t="shared" ca="1" si="3"/>
        <v>0</v>
      </c>
      <c r="O10" s="11" cm="1">
        <f t="array" aca="1" ref="O10" ca="1">INDIRECT("'data'!$X$" &amp; $A$1)*parameters!$B$15</f>
        <v>6516.0199999999995</v>
      </c>
      <c r="P10" s="13" cm="1">
        <f t="array" aca="1" ref="P10" ca="1">-INDIRECT("'data'!$Y$" &amp; $A$1)*parameters!$B$15</f>
        <v>-11991.28</v>
      </c>
      <c r="Q10" s="16" cm="1">
        <f t="array" aca="1" ref="Q10" ca="1">INDIRECT("'data'!$W$" &amp; $A$1)*parameters!$B$15</f>
        <v>10747.524779516358</v>
      </c>
      <c r="R10" s="16">
        <f t="shared" ca="1" si="2"/>
        <v>10747.524779516358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17609.484110384066</v>
      </c>
      <c r="N11" s="19"/>
      <c r="O11" s="21" cm="1">
        <f t="array" aca="1" ref="O11" ca="1">INDIRECT("'data'!$Z$" &amp; $A$1)*parameters!$B$15</f>
        <v>13074.18</v>
      </c>
      <c r="P11" s="27" cm="1">
        <f t="array" aca="1" ref="P11" ca="1">-INDIRECT("'data'!$AA$" &amp; $A$1)*parameters!$B$15</f>
        <v>-8357.44</v>
      </c>
      <c r="Q11" s="16">
        <f ca="1">K9*parameters!$B$10+K10*parameters!$B$11</f>
        <v>22326.224110384068</v>
      </c>
      <c r="R11" s="16">
        <f t="shared" ref="R11:R17" ca="1" si="4">SUM(L11:P11)</f>
        <v>22326.224110384064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-27.595673744590385</v>
      </c>
      <c r="D12" s="9">
        <f ca="1">-(D17-Q4)</f>
        <v>0</v>
      </c>
      <c r="E12" s="9">
        <f ca="1">-(E17-Q5)</f>
        <v>-1550.6501575038419</v>
      </c>
      <c r="F12" s="9">
        <f ca="1">-(F17-Q6)</f>
        <v>-272.51313432835832</v>
      </c>
      <c r="G12" s="9">
        <f ca="1">-(G17-Q7)</f>
        <v>-837.9563218390831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-2688.7152874158737</v>
      </c>
      <c r="M12" s="17"/>
      <c r="N12" s="17"/>
      <c r="O12" s="10"/>
      <c r="P12" s="12"/>
      <c r="Q12" s="9">
        <f t="shared" ref="Q12:Q17" ca="1" si="6">SUM(L12:P12)</f>
        <v>-2688.7152874158737</v>
      </c>
      <c r="R12" s="17">
        <f t="shared" ca="1" si="4"/>
        <v>-2688.7152874158737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-1799.5173906540022</v>
      </c>
      <c r="J13" s="14">
        <f ca="1">-(J17-Q10)</f>
        <v>-1527.7178298296403</v>
      </c>
      <c r="K13" s="13">
        <f ca="1">-(K17-Q11)</f>
        <v>-2805.7406691322903</v>
      </c>
      <c r="L13" s="14">
        <f t="shared" ca="1" si="5"/>
        <v>-6132.9758896159328</v>
      </c>
      <c r="M13" s="16">
        <f ca="1">-E15</f>
        <v>-7963.8437240553521</v>
      </c>
      <c r="N13" s="16"/>
      <c r="O13" s="11"/>
      <c r="P13" s="13"/>
      <c r="Q13" s="14">
        <f t="shared" ca="1" si="6"/>
        <v>-14096.819613671285</v>
      </c>
      <c r="R13" s="16">
        <f t="shared" ca="1" si="4"/>
        <v>-14096.819613671285</v>
      </c>
    </row>
    <row r="14" spans="1:20">
      <c r="A14" s="18" t="s">
        <v>105</v>
      </c>
      <c r="B14" s="11"/>
      <c r="C14" s="14"/>
      <c r="D14" s="14"/>
      <c r="E14" s="14">
        <f ca="1">-(I13+J13)-K13</f>
        <v>6132.9758896159328</v>
      </c>
      <c r="F14" s="14"/>
      <c r="G14" s="14"/>
      <c r="H14" s="14"/>
      <c r="I14" s="14"/>
      <c r="J14" s="14"/>
      <c r="K14" s="13"/>
      <c r="L14" s="14">
        <f t="shared" ca="1" si="5"/>
        <v>6132.9758896159328</v>
      </c>
      <c r="M14" s="16"/>
      <c r="N14" s="16"/>
      <c r="O14" s="11"/>
      <c r="P14" s="13"/>
      <c r="Q14" s="14">
        <f t="shared" ca="1" si="6"/>
        <v>6132.9758896159328</v>
      </c>
      <c r="R14" s="16">
        <f t="shared" ca="1" si="4"/>
        <v>6132.9758896159328</v>
      </c>
    </row>
    <row r="15" spans="1:20">
      <c r="A15" s="18" t="s">
        <v>106</v>
      </c>
      <c r="B15" s="11"/>
      <c r="C15" s="14"/>
      <c r="D15" s="14"/>
      <c r="E15" s="14">
        <f ca="1">E17-E14</f>
        <v>7963.8437240553521</v>
      </c>
      <c r="F15" s="14"/>
      <c r="G15" s="14"/>
      <c r="H15" s="14"/>
      <c r="I15" s="14"/>
      <c r="J15" s="14"/>
      <c r="K15" s="13"/>
      <c r="L15" s="14">
        <f t="shared" ca="1" si="5"/>
        <v>7963.8437240553521</v>
      </c>
      <c r="M15" s="16"/>
      <c r="N15" s="16"/>
      <c r="O15" s="11"/>
      <c r="P15" s="13"/>
      <c r="Q15" s="14">
        <f t="shared" ca="1" si="6"/>
        <v>7963.8437240553521</v>
      </c>
      <c r="R15" s="16">
        <f t="shared" ca="1" si="4"/>
        <v>7963.8437240553521</v>
      </c>
    </row>
    <row r="16" spans="1:20">
      <c r="A16" s="30" t="s">
        <v>86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85</v>
      </c>
      <c r="B17" s="9">
        <f ca="1">B16</f>
        <v>0</v>
      </c>
      <c r="C17" s="9">
        <f ca="1">SUM(C$2:C$11)</f>
        <v>4380.2656737445905</v>
      </c>
      <c r="D17" s="9">
        <f ca="1">SUM(D$2:D$11)</f>
        <v>0</v>
      </c>
      <c r="E17" s="9">
        <f ca="1">$Q$5/parameters!$B$4</f>
        <v>14096.819613671285</v>
      </c>
      <c r="F17" s="9">
        <f t="shared" ref="F17:K17" ca="1" si="7">SUM(F$2:F$11)</f>
        <v>4395.373134328358</v>
      </c>
      <c r="G17" s="9">
        <f t="shared" ca="1" si="7"/>
        <v>19487.356321839085</v>
      </c>
      <c r="H17" s="9">
        <f t="shared" ca="1" si="7"/>
        <v>22772.260000000002</v>
      </c>
      <c r="I17" s="9">
        <f t="shared" ca="1" si="7"/>
        <v>14459.157390654002</v>
      </c>
      <c r="J17" s="9">
        <f t="shared" ca="1" si="7"/>
        <v>12275.242609345998</v>
      </c>
      <c r="K17" s="9">
        <f t="shared" ca="1" si="7"/>
        <v>25131.964779516358</v>
      </c>
      <c r="L17" s="17">
        <f t="shared" ca="1" si="5"/>
        <v>116998.43952309967</v>
      </c>
      <c r="M17" s="17"/>
      <c r="N17" s="17"/>
      <c r="O17" s="9"/>
      <c r="P17" s="14"/>
      <c r="Q17" s="11">
        <f t="shared" ca="1" si="6"/>
        <v>116998.43952309967</v>
      </c>
      <c r="R17" s="17">
        <f t="shared" ca="1" si="4"/>
        <v>116998.43952309967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0.87554479545141684</v>
      </c>
      <c r="J18" s="39">
        <f ca="1">I18</f>
        <v>0.87554479545141684</v>
      </c>
      <c r="K18" s="40">
        <f ca="1">1-(-K13)/K17</f>
        <v>0.88835967685984141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19080.688336520074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19080.688336520074</v>
      </c>
      <c r="M2" s="17"/>
      <c r="N2" s="17">
        <f ca="1">Q2-(L2+O2+P2)</f>
        <v>0</v>
      </c>
      <c r="O2" s="11" cm="1">
        <f t="array" aca="1" ref="O2" ca="1">INDIRECT("'data'!$F$" &amp; $A$1)</f>
        <v>24936.777153706193</v>
      </c>
      <c r="P2" s="13">
        <f ca="1">IF(-(L2-Q2+O2)&lt;0, -(L2-Q2+O2), 0)</f>
        <v>-4517.4654902262664</v>
      </c>
      <c r="Q2" s="17" cm="1">
        <f t="array" aca="1" ref="Q2" ca="1">INDIRECT("'data'!$D$" &amp; $A$1)</f>
        <v>39500</v>
      </c>
      <c r="R2" s="17">
        <f ca="1">SUM(L2:P2)</f>
        <v>39500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16417.194029850747</v>
      </c>
      <c r="G3" s="14">
        <f ca="1">Q3-O3-P3-F3</f>
        <v>106.1309701492537</v>
      </c>
      <c r="H3" s="14"/>
      <c r="I3" s="14"/>
      <c r="J3" s="14"/>
      <c r="K3" s="13"/>
      <c r="L3" s="16">
        <f t="shared" ca="1" si="0"/>
        <v>16523.325000000001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2438.1</v>
      </c>
      <c r="P3" s="13" cm="1">
        <f t="array" aca="1" ref="P3" ca="1">-INDIRECT("'data'!$I$" &amp; $A$1)*parameters!$B$13</f>
        <v>-0.94499999999999995</v>
      </c>
      <c r="Q3" s="16" cm="1">
        <f t="array" aca="1" ref="Q3" ca="1">INDIRECT("'data'!$G$" &amp; $A$1)*parameters!$B$13</f>
        <v>18960.48</v>
      </c>
      <c r="R3" s="16">
        <f t="shared" ref="R3:R10" ca="1" si="2">SUM(L3:P3)</f>
        <v>18960.48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2.7600000000000002</v>
      </c>
      <c r="H4" s="14"/>
      <c r="I4" s="14"/>
      <c r="J4" s="14"/>
      <c r="K4" s="13"/>
      <c r="L4" s="16">
        <f t="shared" ca="1" si="0"/>
        <v>2.7600000000000002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-2.7600000000000002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Q6/parameters!$B$5*20%</f>
        <v>4104.2985074626877</v>
      </c>
      <c r="G5" s="14">
        <f ca="1">Q7/parameters!$B$7-(G3+G4)</f>
        <v>1123.0212555560756</v>
      </c>
      <c r="H5" s="14"/>
      <c r="I5" s="14"/>
      <c r="J5" s="14"/>
      <c r="K5" s="13"/>
      <c r="L5" s="16">
        <f t="shared" ca="1" si="0"/>
        <v>5227.3197630187633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41.16</v>
      </c>
      <c r="P5" s="13" cm="1">
        <f t="array" aca="1" ref="P5" ca="1">-INDIRECT("'data'!$N$" &amp; $A$1)*parameters!$B$15</f>
        <v>-49</v>
      </c>
      <c r="Q5" s="16">
        <f ca="1">SUM(L5:P5)</f>
        <v>5219.4797630187632</v>
      </c>
      <c r="R5" s="16">
        <f t="shared" ca="1" si="2"/>
        <v>5219.4797630187632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19249.16</v>
      </c>
      <c r="I6" s="14"/>
      <c r="J6" s="14"/>
      <c r="K6" s="13"/>
      <c r="L6" s="16">
        <f t="shared" ca="1" si="0"/>
        <v>19249.16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19249.16</v>
      </c>
      <c r="R6" s="16">
        <f t="shared" ca="1" si="2"/>
        <v>19249.16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1178.94</v>
      </c>
      <c r="I7" s="14"/>
      <c r="J7" s="14"/>
      <c r="K7" s="13"/>
      <c r="L7" s="16">
        <f t="shared" ca="1" si="0"/>
        <v>1178.94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1178.94</v>
      </c>
      <c r="R7" s="16">
        <f t="shared" ca="1" si="2"/>
        <v>1178.94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6198.6656226118421</v>
      </c>
      <c r="J8" s="14">
        <f ca="1">Q10/J18</f>
        <v>7296.9143773881569</v>
      </c>
      <c r="K8" s="13"/>
      <c r="L8" s="16">
        <f t="shared" ca="1" si="0"/>
        <v>13495.579999999998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6979.5599999999995</v>
      </c>
      <c r="P8" s="13" cm="1">
        <f t="array" aca="1" ref="P8" ca="1">-INDIRECT("'data'!$S$" &amp; $A$1)*parameters!$B$15</f>
        <v>-47.04</v>
      </c>
      <c r="Q8" s="16">
        <f ca="1">SUM(Q6:Q7)</f>
        <v>20428.099999999999</v>
      </c>
      <c r="R8" s="16">
        <f t="shared" ca="1" si="2"/>
        <v>20428.099999999999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3496.64</v>
      </c>
      <c r="L9" s="16">
        <f t="shared" ca="1" si="0"/>
        <v>3496.64</v>
      </c>
      <c r="M9" s="16"/>
      <c r="N9" s="16">
        <f t="shared" ca="1" si="3"/>
        <v>0</v>
      </c>
      <c r="O9" s="11" cm="1">
        <f t="array" aca="1" ref="O9" ca="1">INDIRECT("'data'!$U$" &amp; $A$1)*parameters!$B$15</f>
        <v>2635.22</v>
      </c>
      <c r="P9" s="13" cm="1">
        <f t="array" aca="1" ref="P9" ca="1">-INDIRECT("'data'!$V$" &amp; $A$1)*parameters!$B$15</f>
        <v>-510.58</v>
      </c>
      <c r="Q9" s="16" cm="1">
        <f t="array" aca="1" ref="Q9" ca="1">INDIRECT("'data'!$T$" &amp; $A$1)*parameters!$B$15</f>
        <v>5621.28</v>
      </c>
      <c r="R9" s="16">
        <f t="shared" ca="1" si="2"/>
        <v>5621.28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2425.7704409672829</v>
      </c>
      <c r="L10" s="16">
        <f t="shared" ca="1" si="0"/>
        <v>2425.7704409672829</v>
      </c>
      <c r="M10" s="16"/>
      <c r="N10" s="16">
        <f t="shared" ca="1" si="3"/>
        <v>0</v>
      </c>
      <c r="O10" s="11" cm="1">
        <f t="array" aca="1" ref="O10" ca="1">INDIRECT("'data'!$X$" &amp; $A$1)*parameters!$B$15</f>
        <v>5025.4399999999996</v>
      </c>
      <c r="P10" s="13" cm="1">
        <f t="array" aca="1" ref="P10" ca="1">-INDIRECT("'data'!$Y$" &amp; $A$1)*parameters!$B$15</f>
        <v>-833.98</v>
      </c>
      <c r="Q10" s="16" cm="1">
        <f t="array" aca="1" ref="Q10" ca="1">INDIRECT("'data'!$W$" &amp; $A$1)*parameters!$B$15</f>
        <v>6617.2304409672824</v>
      </c>
      <c r="R10" s="16">
        <f t="shared" ca="1" si="2"/>
        <v>6617.2304409672834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6843.9841792318621</v>
      </c>
      <c r="N11" s="19"/>
      <c r="O11" s="21" cm="1">
        <f t="array" aca="1" ref="O11" ca="1">INDIRECT("'data'!$Z$" &amp; $A$1)*parameters!$B$15</f>
        <v>863.38</v>
      </c>
      <c r="P11" s="27" cm="1">
        <f t="array" aca="1" ref="P11" ca="1">-INDIRECT("'data'!$AA$" &amp; $A$1)*parameters!$B$15</f>
        <v>-2334.36</v>
      </c>
      <c r="Q11" s="16">
        <f ca="1">K9*parameters!$B$10+K10*parameters!$B$11</f>
        <v>5373.0041792318625</v>
      </c>
      <c r="R11" s="16">
        <f t="shared" ref="R11:R17" ca="1" si="4">SUM(L11:P11)</f>
        <v>5373.0041792318625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-120.20833652007423</v>
      </c>
      <c r="D12" s="9">
        <f ca="1">-(D17-Q4)</f>
        <v>0</v>
      </c>
      <c r="E12" s="9">
        <f ca="1">-(E17-Q5)</f>
        <v>-645.10424037310531</v>
      </c>
      <c r="F12" s="9">
        <f ca="1">-(F17-Q6)</f>
        <v>-1272.3325373134358</v>
      </c>
      <c r="G12" s="9">
        <f ca="1">-(G17-Q7)</f>
        <v>-52.972225705329265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-2090.6173399119443</v>
      </c>
      <c r="M12" s="17"/>
      <c r="N12" s="17"/>
      <c r="O12" s="10"/>
      <c r="P12" s="12"/>
      <c r="Q12" s="9">
        <f t="shared" ref="Q12:Q17" ca="1" si="6">SUM(L12:P12)</f>
        <v>-2090.6173399119443</v>
      </c>
      <c r="R12" s="17">
        <f t="shared" ca="1" si="4"/>
        <v>-2090.6173399119443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-577.38562261184234</v>
      </c>
      <c r="J13" s="14">
        <f ca="1">-(J17-Q10)</f>
        <v>-679.68393642087449</v>
      </c>
      <c r="K13" s="13">
        <f ca="1">-(K17-Q11)</f>
        <v>-549.40626173542023</v>
      </c>
      <c r="L13" s="14">
        <f t="shared" ca="1" si="5"/>
        <v>-1806.4758207681371</v>
      </c>
      <c r="M13" s="16">
        <f ca="1">-E15</f>
        <v>-4058.1081826237314</v>
      </c>
      <c r="N13" s="16"/>
      <c r="O13" s="11"/>
      <c r="P13" s="13"/>
      <c r="Q13" s="14">
        <f t="shared" ca="1" si="6"/>
        <v>-5864.5840033918685</v>
      </c>
      <c r="R13" s="16">
        <f t="shared" ca="1" si="4"/>
        <v>-5864.5840033918685</v>
      </c>
    </row>
    <row r="14" spans="1:20">
      <c r="A14" s="18" t="s">
        <v>105</v>
      </c>
      <c r="B14" s="11"/>
      <c r="C14" s="14"/>
      <c r="D14" s="14"/>
      <c r="E14" s="14">
        <f ca="1">-(I13+J13)-K13</f>
        <v>1806.4758207681371</v>
      </c>
      <c r="F14" s="14"/>
      <c r="G14" s="14"/>
      <c r="H14" s="14"/>
      <c r="I14" s="14"/>
      <c r="J14" s="14"/>
      <c r="K14" s="13"/>
      <c r="L14" s="14">
        <f t="shared" ca="1" si="5"/>
        <v>1806.4758207681371</v>
      </c>
      <c r="M14" s="16"/>
      <c r="N14" s="16"/>
      <c r="O14" s="11"/>
      <c r="P14" s="13"/>
      <c r="Q14" s="14">
        <f t="shared" ca="1" si="6"/>
        <v>1806.4758207681371</v>
      </c>
      <c r="R14" s="16">
        <f t="shared" ca="1" si="4"/>
        <v>1806.4758207681371</v>
      </c>
    </row>
    <row r="15" spans="1:20">
      <c r="A15" s="18" t="s">
        <v>106</v>
      </c>
      <c r="B15" s="11"/>
      <c r="C15" s="14"/>
      <c r="D15" s="14"/>
      <c r="E15" s="14">
        <f ca="1">E17-E14</f>
        <v>4058.1081826237314</v>
      </c>
      <c r="F15" s="14"/>
      <c r="G15" s="14"/>
      <c r="H15" s="14"/>
      <c r="I15" s="14"/>
      <c r="J15" s="14"/>
      <c r="K15" s="13"/>
      <c r="L15" s="14">
        <f t="shared" ca="1" si="5"/>
        <v>4058.1081826237314</v>
      </c>
      <c r="M15" s="16"/>
      <c r="N15" s="16"/>
      <c r="O15" s="11"/>
      <c r="P15" s="13"/>
      <c r="Q15" s="14">
        <f t="shared" ca="1" si="6"/>
        <v>4058.1081826237314</v>
      </c>
      <c r="R15" s="16">
        <f t="shared" ca="1" si="4"/>
        <v>4058.1081826237314</v>
      </c>
    </row>
    <row r="16" spans="1:20">
      <c r="A16" s="30" t="s">
        <v>86</v>
      </c>
      <c r="B16" s="21">
        <f ca="1">Q2</f>
        <v>39500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39500</v>
      </c>
      <c r="M16" s="19"/>
      <c r="N16" s="19"/>
      <c r="O16" s="21"/>
      <c r="P16" s="27"/>
      <c r="Q16" s="22">
        <f t="shared" ca="1" si="6"/>
        <v>39500</v>
      </c>
      <c r="R16" s="19">
        <f t="shared" ca="1" si="4"/>
        <v>39500</v>
      </c>
    </row>
    <row r="17" spans="1:18">
      <c r="A17" s="29" t="s">
        <v>85</v>
      </c>
      <c r="B17" s="9">
        <f ca="1">B16</f>
        <v>39500</v>
      </c>
      <c r="C17" s="9">
        <f ca="1">SUM(C$2:C$11)</f>
        <v>19080.688336520074</v>
      </c>
      <c r="D17" s="9">
        <f ca="1">SUM(D$2:D$11)</f>
        <v>0</v>
      </c>
      <c r="E17" s="9">
        <f ca="1">$Q$5/parameters!$B$4</f>
        <v>5864.5840033918685</v>
      </c>
      <c r="F17" s="9">
        <f t="shared" ref="F17:K17" ca="1" si="7">SUM(F$2:F$11)</f>
        <v>20521.492537313436</v>
      </c>
      <c r="G17" s="9">
        <f t="shared" ca="1" si="7"/>
        <v>1231.9122257053293</v>
      </c>
      <c r="H17" s="9">
        <f t="shared" ca="1" si="7"/>
        <v>20428.099999999999</v>
      </c>
      <c r="I17" s="9">
        <f t="shared" ca="1" si="7"/>
        <v>6198.6656226118421</v>
      </c>
      <c r="J17" s="9">
        <f t="shared" ca="1" si="7"/>
        <v>7296.9143773881569</v>
      </c>
      <c r="K17" s="9">
        <f t="shared" ca="1" si="7"/>
        <v>5922.4104409672827</v>
      </c>
      <c r="L17" s="17">
        <f t="shared" ca="1" si="5"/>
        <v>126044.76754389798</v>
      </c>
      <c r="M17" s="17"/>
      <c r="N17" s="17"/>
      <c r="O17" s="9"/>
      <c r="P17" s="14"/>
      <c r="Q17" s="11">
        <f t="shared" ca="1" si="6"/>
        <v>126044.76754389798</v>
      </c>
      <c r="R17" s="17">
        <f t="shared" ca="1" si="4"/>
        <v>126044.76754389798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0.90685323942855978</v>
      </c>
      <c r="J18" s="39">
        <f ca="1">I18</f>
        <v>0.90685323942855978</v>
      </c>
      <c r="K18" s="40">
        <f ca="1">1-(-K13)/K17</f>
        <v>0.90723266021297777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3656.5613364194419</v>
      </c>
      <c r="D2" s="9">
        <f ca="1">Q4/parameters!$B$3</f>
        <v>5530.9248264063599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9187.4861628258022</v>
      </c>
      <c r="M2" s="17"/>
      <c r="N2" s="17">
        <f ca="1">Q2-(L2+O2+P2)</f>
        <v>0</v>
      </c>
      <c r="O2" s="11" cm="1">
        <f t="array" aca="1" ref="O2" ca="1">INDIRECT("'data'!$F$" &amp; $A$1)</f>
        <v>691.9818584070797</v>
      </c>
      <c r="P2" s="13">
        <f ca="1">IF(-(L2-Q2+O2)&lt;0, -(L2-Q2+O2), 0)</f>
        <v>-2738.4680212328822</v>
      </c>
      <c r="Q2" s="17" cm="1">
        <f t="array" aca="1" ref="Q2" ca="1">INDIRECT("'data'!$D$" &amp; $A$1)</f>
        <v>7141</v>
      </c>
      <c r="R2" s="17">
        <f ca="1">SUM(L2:P2)</f>
        <v>7141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3545.5522388059703</v>
      </c>
      <c r="G3" s="14">
        <f ca="1">Q3-O3-P3-F3</f>
        <v>413.99776119402941</v>
      </c>
      <c r="H3" s="14"/>
      <c r="I3" s="14"/>
      <c r="J3" s="14"/>
      <c r="K3" s="13"/>
      <c r="L3" s="16">
        <f t="shared" ca="1" si="0"/>
        <v>3959.5499999999997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-326.02499999999998</v>
      </c>
      <c r="Q3" s="16" cm="1">
        <f t="array" aca="1" ref="Q3" ca="1">INDIRECT("'data'!$G$" &amp; $A$1)*parameters!$B$13</f>
        <v>3633.5249999999996</v>
      </c>
      <c r="R3" s="16">
        <f t="shared" ref="R3:R10" ca="1" si="2">SUM(L3:P3)</f>
        <v>3633.5249999999996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5893.52</v>
      </c>
      <c r="H4" s="14"/>
      <c r="I4" s="14"/>
      <c r="J4" s="14"/>
      <c r="K4" s="13"/>
      <c r="L4" s="16">
        <f t="shared" ca="1" si="0"/>
        <v>5893.52</v>
      </c>
      <c r="M4" s="16"/>
      <c r="N4" s="16">
        <f t="shared" ca="1" si="1"/>
        <v>0</v>
      </c>
      <c r="O4" s="11" cm="1">
        <f t="array" aca="1" ref="O4" ca="1">INDIRECT("'data'!$K$" &amp; $A$1)*parameters!$B$14</f>
        <v>31.28</v>
      </c>
      <c r="P4" s="13" cm="1">
        <f t="array" aca="1" ref="P4" ca="1">-INDIRECT("'data'!$L$" &amp; $A$1)*parameters!$B$14</f>
        <v>-428.72</v>
      </c>
      <c r="Q4" s="16" cm="1">
        <f t="array" aca="1" ref="Q4" ca="1">INDIRECT("'data'!$J$" &amp; $A$1)*parameters!$B$14</f>
        <v>5496.08</v>
      </c>
      <c r="R4" s="16">
        <f t="shared" ca="1" si="2"/>
        <v>5496.08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Q6/parameters!$B$5*20%</f>
        <v>886.38805970149269</v>
      </c>
      <c r="G5" s="14">
        <f ca="1">Q7/parameters!$B$7-(G3+G4)</f>
        <v>8177.4352168623982</v>
      </c>
      <c r="H5" s="14"/>
      <c r="I5" s="14"/>
      <c r="J5" s="14"/>
      <c r="K5" s="13"/>
      <c r="L5" s="16">
        <f t="shared" ca="1" si="0"/>
        <v>9063.8232765638913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825.16</v>
      </c>
      <c r="P5" s="13" cm="1">
        <f t="array" aca="1" ref="P5" ca="1">-INDIRECT("'data'!$N$" &amp; $A$1)*parameters!$B$15</f>
        <v>-1442.56</v>
      </c>
      <c r="Q5" s="16">
        <f ca="1">SUM(L5:P5)</f>
        <v>8446.4232765638917</v>
      </c>
      <c r="R5" s="16">
        <f t="shared" ca="1" si="2"/>
        <v>8446.4232765638917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4157.16</v>
      </c>
      <c r="I6" s="14"/>
      <c r="J6" s="14"/>
      <c r="K6" s="13"/>
      <c r="L6" s="16">
        <f t="shared" ca="1" si="0"/>
        <v>4157.16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4157.16</v>
      </c>
      <c r="R6" s="16">
        <f t="shared" ca="1" si="2"/>
        <v>4157.16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13862.1</v>
      </c>
      <c r="I7" s="14"/>
      <c r="J7" s="14"/>
      <c r="K7" s="13"/>
      <c r="L7" s="16">
        <f t="shared" ca="1" si="0"/>
        <v>13862.1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13862.1</v>
      </c>
      <c r="R7" s="16">
        <f t="shared" ca="1" si="2"/>
        <v>13862.1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9957.3522605608396</v>
      </c>
      <c r="J8" s="14">
        <f ca="1">Q10/J18</f>
        <v>8492.1277394391655</v>
      </c>
      <c r="K8" s="13"/>
      <c r="L8" s="16">
        <f t="shared" ca="1" si="0"/>
        <v>18449.480000000003</v>
      </c>
      <c r="M8" s="16"/>
      <c r="N8" s="16">
        <f t="shared" ca="1" si="3"/>
        <v>0</v>
      </c>
      <c r="O8" s="11" cm="1">
        <f t="array" aca="1" ref="O8" ca="1">INDIRECT("'data'!$R$" &amp; $A$1)*parameters!$B$15</f>
        <v>1648.36</v>
      </c>
      <c r="P8" s="13" cm="1">
        <f t="array" aca="1" ref="P8" ca="1">-INDIRECT("'data'!$S$" &amp; $A$1)*parameters!$B$15</f>
        <v>-2078.58</v>
      </c>
      <c r="Q8" s="16">
        <f ca="1">SUM(Q6:Q7)</f>
        <v>18019.260000000002</v>
      </c>
      <c r="R8" s="16">
        <f t="shared" ca="1" si="2"/>
        <v>18019.260000000002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8930.74</v>
      </c>
      <c r="L9" s="16">
        <f t="shared" ca="1" si="0"/>
        <v>8930.74</v>
      </c>
      <c r="M9" s="16"/>
      <c r="N9" s="16">
        <f t="shared" ca="1" si="3"/>
        <v>0</v>
      </c>
      <c r="O9" s="11" cm="1">
        <f t="array" aca="1" ref="O9" ca="1">INDIRECT("'data'!$U$" &amp; $A$1)*parameters!$B$15</f>
        <v>1495.48</v>
      </c>
      <c r="P9" s="13" cm="1">
        <f t="array" aca="1" ref="P9" ca="1">-INDIRECT("'data'!$V$" &amp; $A$1)*parameters!$B$15</f>
        <v>-1402.3799999999999</v>
      </c>
      <c r="Q9" s="16" cm="1">
        <f t="array" aca="1" ref="Q9" ca="1">INDIRECT("'data'!$T$" &amp; $A$1)*parameters!$B$15</f>
        <v>9023.84</v>
      </c>
      <c r="R9" s="16">
        <f t="shared" ca="1" si="2"/>
        <v>9023.84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14076.761820768137</v>
      </c>
      <c r="L10" s="16">
        <f t="shared" ca="1" si="0"/>
        <v>14076.761820768137</v>
      </c>
      <c r="M10" s="16"/>
      <c r="N10" s="16">
        <f t="shared" ca="1" si="3"/>
        <v>0</v>
      </c>
      <c r="O10" s="11" cm="1">
        <f t="array" aca="1" ref="O10" ca="1">INDIRECT("'data'!$X$" &amp; $A$1)*parameters!$B$15</f>
        <v>873.18</v>
      </c>
      <c r="P10" s="13" cm="1">
        <f t="array" aca="1" ref="P10" ca="1">-INDIRECT("'data'!$Y$" &amp; $A$1)*parameters!$B$15</f>
        <v>-7253.96</v>
      </c>
      <c r="Q10" s="16" cm="1">
        <f t="array" aca="1" ref="Q10" ca="1">INDIRECT("'data'!$W$" &amp; $A$1)*parameters!$B$15</f>
        <v>7695.9818207681365</v>
      </c>
      <c r="R10" s="16">
        <f t="shared" ca="1" si="2"/>
        <v>7695.9818207681374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11572.130765860597</v>
      </c>
      <c r="N11" s="19"/>
      <c r="O11" s="21" cm="1">
        <f t="array" aca="1" ref="O11" ca="1">INDIRECT("'data'!$Z$" &amp; $A$1)*parameters!$B$15</f>
        <v>16903.04</v>
      </c>
      <c r="P11" s="27" cm="1">
        <f t="array" aca="1" ref="P11" ca="1">-INDIRECT("'data'!$AA$" &amp; $A$1)*parameters!$B$15</f>
        <v>-7974.26</v>
      </c>
      <c r="Q11" s="16">
        <f ca="1">K9*parameters!$B$10+K10*parameters!$B$11</f>
        <v>20500.910765860597</v>
      </c>
      <c r="R11" s="16">
        <f t="shared" ref="R11:R17" ca="1" si="4">SUM(L11:P11)</f>
        <v>20500.910765860594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-23.03633641944225</v>
      </c>
      <c r="D12" s="9">
        <f ca="1">-(D17-Q4)</f>
        <v>-34.844826406359971</v>
      </c>
      <c r="E12" s="9">
        <f ca="1">-(E17-Q5)</f>
        <v>-1043.939955530368</v>
      </c>
      <c r="F12" s="9">
        <f ca="1">-(F17-Q6)</f>
        <v>-274.78029850746316</v>
      </c>
      <c r="G12" s="9">
        <f ca="1">-(G17-Q7)</f>
        <v>-622.85297805642767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-1999.4543949200611</v>
      </c>
      <c r="M12" s="17"/>
      <c r="N12" s="17"/>
      <c r="O12" s="10"/>
      <c r="P12" s="12"/>
      <c r="Q12" s="9">
        <f t="shared" ref="Q12:Q17" ca="1" si="6">SUM(L12:P12)</f>
        <v>-1999.4543949200611</v>
      </c>
      <c r="R12" s="17">
        <f t="shared" ca="1" si="4"/>
        <v>-1999.4543949200611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-933.51226056083942</v>
      </c>
      <c r="J13" s="14">
        <f ca="1">-(J17-Q10)</f>
        <v>-796.14591867102899</v>
      </c>
      <c r="K13" s="13">
        <f ca="1">-(K17-Q11)</f>
        <v>-2506.5910549075379</v>
      </c>
      <c r="L13" s="14">
        <f t="shared" ca="1" si="5"/>
        <v>-4236.2492341394063</v>
      </c>
      <c r="M13" s="16">
        <f ca="1">-E15</f>
        <v>-5254.1139979548534</v>
      </c>
      <c r="N13" s="16"/>
      <c r="O13" s="11"/>
      <c r="P13" s="13"/>
      <c r="Q13" s="14">
        <f t="shared" ca="1" si="6"/>
        <v>-9490.3632320942597</v>
      </c>
      <c r="R13" s="16">
        <f t="shared" ca="1" si="4"/>
        <v>-9490.3632320942597</v>
      </c>
    </row>
    <row r="14" spans="1:20">
      <c r="A14" s="18" t="s">
        <v>105</v>
      </c>
      <c r="B14" s="11"/>
      <c r="C14" s="14"/>
      <c r="D14" s="14"/>
      <c r="E14" s="14">
        <f ca="1">-(I13+J13)-K13</f>
        <v>4236.2492341394063</v>
      </c>
      <c r="F14" s="14"/>
      <c r="G14" s="14"/>
      <c r="H14" s="14"/>
      <c r="I14" s="14"/>
      <c r="J14" s="14"/>
      <c r="K14" s="13"/>
      <c r="L14" s="14">
        <f t="shared" ca="1" si="5"/>
        <v>4236.2492341394063</v>
      </c>
      <c r="M14" s="16"/>
      <c r="N14" s="16"/>
      <c r="O14" s="11"/>
      <c r="P14" s="13"/>
      <c r="Q14" s="14">
        <f t="shared" ca="1" si="6"/>
        <v>4236.2492341394063</v>
      </c>
      <c r="R14" s="16">
        <f t="shared" ca="1" si="4"/>
        <v>4236.2492341394063</v>
      </c>
    </row>
    <row r="15" spans="1:20">
      <c r="A15" s="18" t="s">
        <v>106</v>
      </c>
      <c r="B15" s="11"/>
      <c r="C15" s="14"/>
      <c r="D15" s="14"/>
      <c r="E15" s="14">
        <f ca="1">E17-E14</f>
        <v>5254.1139979548534</v>
      </c>
      <c r="F15" s="14"/>
      <c r="G15" s="14"/>
      <c r="H15" s="14"/>
      <c r="I15" s="14"/>
      <c r="J15" s="14"/>
      <c r="K15" s="13"/>
      <c r="L15" s="14">
        <f t="shared" ca="1" si="5"/>
        <v>5254.1139979548534</v>
      </c>
      <c r="M15" s="16"/>
      <c r="N15" s="16"/>
      <c r="O15" s="11"/>
      <c r="P15" s="13"/>
      <c r="Q15" s="14">
        <f t="shared" ca="1" si="6"/>
        <v>5254.1139979548534</v>
      </c>
      <c r="R15" s="16">
        <f t="shared" ca="1" si="4"/>
        <v>5254.1139979548534</v>
      </c>
    </row>
    <row r="16" spans="1:20">
      <c r="A16" s="30" t="s">
        <v>86</v>
      </c>
      <c r="B16" s="21">
        <f ca="1">Q2</f>
        <v>7141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7141</v>
      </c>
      <c r="M16" s="19"/>
      <c r="N16" s="19"/>
      <c r="O16" s="21"/>
      <c r="P16" s="27"/>
      <c r="Q16" s="22">
        <f t="shared" ca="1" si="6"/>
        <v>7141</v>
      </c>
      <c r="R16" s="19">
        <f t="shared" ca="1" si="4"/>
        <v>7141</v>
      </c>
    </row>
    <row r="17" spans="1:18">
      <c r="A17" s="29" t="s">
        <v>85</v>
      </c>
      <c r="B17" s="9">
        <f ca="1">B16</f>
        <v>7141</v>
      </c>
      <c r="C17" s="9">
        <f ca="1">SUM(C$2:C$11)</f>
        <v>3656.5613364194419</v>
      </c>
      <c r="D17" s="9">
        <f ca="1">SUM(D$2:D$11)</f>
        <v>5530.9248264063599</v>
      </c>
      <c r="E17" s="9">
        <f ca="1">$Q$5/parameters!$B$4</f>
        <v>9490.3632320942597</v>
      </c>
      <c r="F17" s="9">
        <f t="shared" ref="F17:K17" ca="1" si="7">SUM(F$2:F$11)</f>
        <v>4431.940298507463</v>
      </c>
      <c r="G17" s="9">
        <f t="shared" ca="1" si="7"/>
        <v>14484.952978056428</v>
      </c>
      <c r="H17" s="9">
        <f t="shared" ca="1" si="7"/>
        <v>18019.260000000002</v>
      </c>
      <c r="I17" s="9">
        <f t="shared" ca="1" si="7"/>
        <v>9957.3522605608396</v>
      </c>
      <c r="J17" s="9">
        <f t="shared" ca="1" si="7"/>
        <v>8492.1277394391655</v>
      </c>
      <c r="K17" s="9">
        <f t="shared" ca="1" si="7"/>
        <v>23007.501820768135</v>
      </c>
      <c r="L17" s="17">
        <f t="shared" ca="1" si="5"/>
        <v>104211.98449225209</v>
      </c>
      <c r="M17" s="17"/>
      <c r="N17" s="17"/>
      <c r="O17" s="9"/>
      <c r="P17" s="14"/>
      <c r="Q17" s="11">
        <f t="shared" ca="1" si="6"/>
        <v>104211.98449225209</v>
      </c>
      <c r="R17" s="17">
        <f t="shared" ca="1" si="4"/>
        <v>104211.98449225209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0.90624894689542101</v>
      </c>
      <c r="J18" s="39">
        <f ca="1">I18</f>
        <v>0.90624894689542101</v>
      </c>
      <c r="K18" s="40">
        <f ca="1">1-(-K13)/K17</f>
        <v>0.89105331493900319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9353.9498842709054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9353.9498842709054</v>
      </c>
      <c r="M2" s="17"/>
      <c r="N2" s="17">
        <f ca="1">Q2-(L2+O2+P2)</f>
        <v>0</v>
      </c>
      <c r="O2" s="11" cm="1">
        <f t="array" aca="1" ref="O2" ca="1">INDIRECT("'data'!$F$" &amp; $A$1)</f>
        <v>1073.7202751392074</v>
      </c>
      <c r="P2" s="13">
        <f ca="1">IF(-(L2-Q2+O2)&lt;0, -(L2-Q2+O2), 0)</f>
        <v>-7191.6701594101123</v>
      </c>
      <c r="Q2" s="17" cm="1">
        <f t="array" aca="1" ref="Q2" ca="1">INDIRECT("'data'!$D$" &amp; $A$1)</f>
        <v>3236</v>
      </c>
      <c r="R2" s="17">
        <f ca="1">SUM(L2:P2)</f>
        <v>3236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8145.9104477611936</v>
      </c>
      <c r="G3" s="14">
        <f ca="1">Q3-O3-P3-F3</f>
        <v>1238.8845522388046</v>
      </c>
      <c r="H3" s="14"/>
      <c r="I3" s="14"/>
      <c r="J3" s="14"/>
      <c r="K3" s="13"/>
      <c r="L3" s="16">
        <f t="shared" ca="1" si="0"/>
        <v>9384.7949999999983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-89.774999999999991</v>
      </c>
      <c r="Q3" s="16" cm="1">
        <f t="array" aca="1" ref="Q3" ca="1">INDIRECT("'data'!$G$" &amp; $A$1)*parameters!$B$13</f>
        <v>9295.0199999999986</v>
      </c>
      <c r="R3" s="16">
        <f t="shared" ref="R3:R10" ca="1" si="2">SUM(L3:P3)</f>
        <v>9295.0199999999986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Q6/parameters!$B$5*20%</f>
        <v>2036.4776119402986</v>
      </c>
      <c r="G5" s="14">
        <f ca="1">Q7/parameters!$B$7-(G3+G4)</f>
        <v>6669.7256880955738</v>
      </c>
      <c r="H5" s="14"/>
      <c r="I5" s="14"/>
      <c r="J5" s="14"/>
      <c r="K5" s="13"/>
      <c r="L5" s="16">
        <f t="shared" ca="1" si="0"/>
        <v>8706.2033000358715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-4755.9399999999996</v>
      </c>
      <c r="Q5" s="16">
        <f ca="1">SUM(L5:P5)</f>
        <v>3950.2633000358719</v>
      </c>
      <c r="R5" s="16">
        <f t="shared" ca="1" si="2"/>
        <v>3950.2633000358719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9551.08</v>
      </c>
      <c r="I6" s="14"/>
      <c r="J6" s="14"/>
      <c r="K6" s="13"/>
      <c r="L6" s="16">
        <f t="shared" ca="1" si="0"/>
        <v>9551.08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9551.08</v>
      </c>
      <c r="R6" s="16">
        <f t="shared" ca="1" si="2"/>
        <v>9551.08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7568.54</v>
      </c>
      <c r="I7" s="14"/>
      <c r="J7" s="14"/>
      <c r="K7" s="13"/>
      <c r="L7" s="16">
        <f t="shared" ca="1" si="0"/>
        <v>7568.54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7568.54</v>
      </c>
      <c r="R7" s="16">
        <f t="shared" ca="1" si="2"/>
        <v>7568.54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12007.869205205772</v>
      </c>
      <c r="J8" s="14">
        <f ca="1">Q10/J18</f>
        <v>4274.8307947942267</v>
      </c>
      <c r="K8" s="13"/>
      <c r="L8" s="16">
        <f t="shared" ca="1" si="0"/>
        <v>16282.699999999999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911.4</v>
      </c>
      <c r="P8" s="13" cm="1">
        <f t="array" aca="1" ref="P8" ca="1">-INDIRECT("'data'!$S$" &amp; $A$1)*parameters!$B$15</f>
        <v>-74.48</v>
      </c>
      <c r="Q8" s="16">
        <f ca="1">SUM(Q6:Q7)</f>
        <v>17119.62</v>
      </c>
      <c r="R8" s="16">
        <f t="shared" ca="1" si="2"/>
        <v>17119.62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12297.039999999999</v>
      </c>
      <c r="L9" s="16">
        <f t="shared" ca="1" si="0"/>
        <v>12297.039999999999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665.42</v>
      </c>
      <c r="P9" s="13" cm="1">
        <f t="array" aca="1" ref="P9" ca="1">-INDIRECT("'data'!$V$" &amp; $A$1)*parameters!$B$15</f>
        <v>-1916.8799999999999</v>
      </c>
      <c r="Q9" s="16" cm="1">
        <f t="array" aca="1" ref="Q9" ca="1">INDIRECT("'data'!$T$" &amp; $A$1)*parameters!$B$15</f>
        <v>11045.58</v>
      </c>
      <c r="R9" s="16">
        <f t="shared" ca="1" si="2"/>
        <v>11045.58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13719.513485064012</v>
      </c>
      <c r="L10" s="16">
        <f t="shared" ca="1" si="0"/>
        <v>13719.513485064012</v>
      </c>
      <c r="M10" s="16"/>
      <c r="N10" s="16">
        <f t="shared" ca="1" si="3"/>
        <v>0</v>
      </c>
      <c r="O10" s="11" cm="1">
        <f t="array" aca="1" ref="O10" ca="1">INDIRECT("'data'!$X$" &amp; $A$1)*parameters!$B$15</f>
        <v>2920.4</v>
      </c>
      <c r="P10" s="13" cm="1">
        <f t="array" aca="1" ref="P10" ca="1">-INDIRECT("'data'!$Y$" &amp; $A$1)*parameters!$B$15</f>
        <v>-12707.66</v>
      </c>
      <c r="Q10" s="16" cm="1">
        <f t="array" aca="1" ref="Q10" ca="1">INDIRECT("'data'!$W$" &amp; $A$1)*parameters!$B$15</f>
        <v>3932.2534850640113</v>
      </c>
      <c r="R10" s="16">
        <f t="shared" ca="1" si="2"/>
        <v>3932.2534850640113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24270.379197155045</v>
      </c>
      <c r="N11" s="19"/>
      <c r="O11" s="21" cm="1">
        <f t="array" aca="1" ref="O11" ca="1">INDIRECT("'data'!$Z$" &amp; $A$1)*parameters!$B$15</f>
        <v>1441.58</v>
      </c>
      <c r="P11" s="27" cm="1">
        <f t="array" aca="1" ref="P11" ca="1">-INDIRECT("'data'!$AA$" &amp; $A$1)*parameters!$B$15</f>
        <v>-2353.96</v>
      </c>
      <c r="Q11" s="16">
        <f ca="1">K9*parameters!$B$10+K10*parameters!$B$11</f>
        <v>23357.999197155048</v>
      </c>
      <c r="R11" s="16">
        <f t="shared" ref="R11:R17" ca="1" si="4">SUM(L11:P11)</f>
        <v>23357.999197155048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-58.929884270906769</v>
      </c>
      <c r="D12" s="9">
        <f ca="1">-(D17-Q4)</f>
        <v>0</v>
      </c>
      <c r="E12" s="9">
        <f ca="1">-(E17-Q5)</f>
        <v>-488.23478989207433</v>
      </c>
      <c r="F12" s="9">
        <f ca="1">-(F17-Q6)</f>
        <v>-631.30805970149231</v>
      </c>
      <c r="G12" s="9">
        <f ca="1">-(G17-Q7)</f>
        <v>-340.07024033437847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-1518.5429741988519</v>
      </c>
      <c r="M12" s="17"/>
      <c r="N12" s="17"/>
      <c r="O12" s="10"/>
      <c r="P12" s="12"/>
      <c r="Q12" s="9">
        <f t="shared" ref="Q12:Q17" ca="1" si="6">SUM(L12:P12)</f>
        <v>-1518.5429741988519</v>
      </c>
      <c r="R12" s="17">
        <f t="shared" ca="1" si="4"/>
        <v>-1518.5429741988519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-962.2892052057723</v>
      </c>
      <c r="J13" s="14">
        <f ca="1">-(J17-Q10)</f>
        <v>-342.57730973021535</v>
      </c>
      <c r="K13" s="13">
        <f ca="1">-(K17-Q11)</f>
        <v>-2658.5542879089626</v>
      </c>
      <c r="L13" s="14">
        <f t="shared" ca="1" si="5"/>
        <v>-3963.4208028449502</v>
      </c>
      <c r="M13" s="16">
        <f ca="1">-E15</f>
        <v>-475.07728708299601</v>
      </c>
      <c r="N13" s="16"/>
      <c r="O13" s="11"/>
      <c r="P13" s="13"/>
      <c r="Q13" s="14">
        <f t="shared" ca="1" si="6"/>
        <v>-4438.4980899279462</v>
      </c>
      <c r="R13" s="16">
        <f t="shared" ca="1" si="4"/>
        <v>-4438.4980899279462</v>
      </c>
    </row>
    <row r="14" spans="1:20">
      <c r="A14" s="18" t="s">
        <v>105</v>
      </c>
      <c r="B14" s="11"/>
      <c r="C14" s="14"/>
      <c r="D14" s="14"/>
      <c r="E14" s="14">
        <f ca="1">-(I13+J13)-K13</f>
        <v>3963.4208028449502</v>
      </c>
      <c r="F14" s="14"/>
      <c r="G14" s="14"/>
      <c r="H14" s="14"/>
      <c r="I14" s="14"/>
      <c r="J14" s="14"/>
      <c r="K14" s="13"/>
      <c r="L14" s="14">
        <f t="shared" ca="1" si="5"/>
        <v>3963.4208028449502</v>
      </c>
      <c r="M14" s="16"/>
      <c r="N14" s="16"/>
      <c r="O14" s="11"/>
      <c r="P14" s="13"/>
      <c r="Q14" s="14">
        <f t="shared" ca="1" si="6"/>
        <v>3963.4208028449502</v>
      </c>
      <c r="R14" s="16">
        <f t="shared" ca="1" si="4"/>
        <v>3963.4208028449502</v>
      </c>
    </row>
    <row r="15" spans="1:20">
      <c r="A15" s="18" t="s">
        <v>106</v>
      </c>
      <c r="B15" s="11"/>
      <c r="C15" s="14"/>
      <c r="D15" s="14"/>
      <c r="E15" s="14">
        <f ca="1">E17-E14</f>
        <v>475.07728708299601</v>
      </c>
      <c r="F15" s="14"/>
      <c r="G15" s="14"/>
      <c r="H15" s="14"/>
      <c r="I15" s="14"/>
      <c r="J15" s="14"/>
      <c r="K15" s="13"/>
      <c r="L15" s="14">
        <f t="shared" ca="1" si="5"/>
        <v>475.07728708299601</v>
      </c>
      <c r="M15" s="16"/>
      <c r="N15" s="16"/>
      <c r="O15" s="11"/>
      <c r="P15" s="13"/>
      <c r="Q15" s="14">
        <f t="shared" ca="1" si="6"/>
        <v>475.07728708299601</v>
      </c>
      <c r="R15" s="16">
        <f t="shared" ca="1" si="4"/>
        <v>475.07728708299601</v>
      </c>
    </row>
    <row r="16" spans="1:20">
      <c r="A16" s="30" t="s">
        <v>86</v>
      </c>
      <c r="B16" s="21">
        <f ca="1">Q2</f>
        <v>3236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3236</v>
      </c>
      <c r="M16" s="19"/>
      <c r="N16" s="19"/>
      <c r="O16" s="21"/>
      <c r="P16" s="27"/>
      <c r="Q16" s="22">
        <f t="shared" ca="1" si="6"/>
        <v>3236</v>
      </c>
      <c r="R16" s="19">
        <f t="shared" ca="1" si="4"/>
        <v>3236</v>
      </c>
    </row>
    <row r="17" spans="1:18">
      <c r="A17" s="29" t="s">
        <v>85</v>
      </c>
      <c r="B17" s="9">
        <f ca="1">B16</f>
        <v>3236</v>
      </c>
      <c r="C17" s="9">
        <f ca="1">SUM(C$2:C$11)</f>
        <v>9353.9498842709054</v>
      </c>
      <c r="D17" s="9">
        <f ca="1">SUM(D$2:D$11)</f>
        <v>0</v>
      </c>
      <c r="E17" s="9">
        <f ca="1">$Q$5/parameters!$B$4</f>
        <v>4438.4980899279462</v>
      </c>
      <c r="F17" s="9">
        <f t="shared" ref="F17:K17" ca="1" si="7">SUM(F$2:F$11)</f>
        <v>10182.388059701492</v>
      </c>
      <c r="G17" s="9">
        <f t="shared" ca="1" si="7"/>
        <v>7908.6102403343784</v>
      </c>
      <c r="H17" s="9">
        <f t="shared" ca="1" si="7"/>
        <v>17119.62</v>
      </c>
      <c r="I17" s="9">
        <f t="shared" ca="1" si="7"/>
        <v>12007.869205205772</v>
      </c>
      <c r="J17" s="9">
        <f t="shared" ca="1" si="7"/>
        <v>4274.8307947942267</v>
      </c>
      <c r="K17" s="9">
        <f t="shared" ca="1" si="7"/>
        <v>26016.553485064011</v>
      </c>
      <c r="L17" s="17">
        <f t="shared" ca="1" si="5"/>
        <v>94538.319759298727</v>
      </c>
      <c r="M17" s="17"/>
      <c r="N17" s="17"/>
      <c r="O17" s="9"/>
      <c r="P17" s="14"/>
      <c r="Q17" s="11">
        <f t="shared" ca="1" si="6"/>
        <v>94538.319759298727</v>
      </c>
      <c r="R17" s="17">
        <f t="shared" ca="1" si="4"/>
        <v>94538.319759298727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0.9198617849044699</v>
      </c>
      <c r="J18" s="39">
        <f ca="1">I18</f>
        <v>0.9198617849044699</v>
      </c>
      <c r="K18" s="40">
        <f ca="1">1-(-K13)/K17</f>
        <v>0.89781297167454455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9392.9405253094483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9392.9405253094483</v>
      </c>
      <c r="M2" s="17"/>
      <c r="N2" s="17">
        <f ca="1">Q2-(L2+O2+P2)</f>
        <v>0</v>
      </c>
      <c r="O2" s="11" cm="1">
        <f t="array" aca="1" ref="O2" ca="1">INDIRECT("'data'!$F$" &amp; $A$1)</f>
        <v>18.850000000000001</v>
      </c>
      <c r="P2" s="13">
        <f ca="1">IF(-(L2-Q2+O2)&lt;0, -(L2-Q2+O2), 0)</f>
        <v>-9411.7905253094486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8409.194029850747</v>
      </c>
      <c r="G3" s="14">
        <f ca="1">Q3-O3-P3-F3</f>
        <v>948.19597014925239</v>
      </c>
      <c r="H3" s="14"/>
      <c r="I3" s="14"/>
      <c r="J3" s="14"/>
      <c r="K3" s="13"/>
      <c r="L3" s="16">
        <f t="shared" ca="1" si="0"/>
        <v>9357.39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119.07</v>
      </c>
      <c r="P3" s="13" cm="1">
        <f t="array" aca="1" ref="P3" ca="1">-INDIRECT("'data'!$I$" &amp; $A$1)*parameters!$B$13</f>
        <v>-142.69499999999999</v>
      </c>
      <c r="Q3" s="16" cm="1">
        <f t="array" aca="1" ref="Q3" ca="1">INDIRECT("'data'!$G$" &amp; $A$1)*parameters!$B$13</f>
        <v>9333.7649999999994</v>
      </c>
      <c r="R3" s="16">
        <f t="shared" ref="R3:R10" ca="1" si="2">SUM(L3:P3)</f>
        <v>9333.7649999999994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332.12</v>
      </c>
      <c r="H4" s="14"/>
      <c r="I4" s="14"/>
      <c r="J4" s="14"/>
      <c r="K4" s="13"/>
      <c r="L4" s="16">
        <f t="shared" ca="1" si="0"/>
        <v>332.12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-332.12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Q6/parameters!$B$5*20%</f>
        <v>2102.2985074626868</v>
      </c>
      <c r="G5" s="14">
        <f ca="1">Q7/parameters!$B$7-(G3+G4)</f>
        <v>3213.1427550336111</v>
      </c>
      <c r="H5" s="14"/>
      <c r="I5" s="14"/>
      <c r="J5" s="14"/>
      <c r="K5" s="13"/>
      <c r="L5" s="16">
        <f t="shared" ca="1" si="0"/>
        <v>5315.4412624962979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6462.12</v>
      </c>
      <c r="P5" s="13" cm="1">
        <f t="array" aca="1" ref="P5" ca="1">-INDIRECT("'data'!$N$" &amp; $A$1)*parameters!$B$15</f>
        <v>-1494.5</v>
      </c>
      <c r="Q5" s="16">
        <f ca="1">SUM(L5:P5)</f>
        <v>10283.061262496298</v>
      </c>
      <c r="R5" s="16">
        <f t="shared" ca="1" si="2"/>
        <v>10283.061262496298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9859.7800000000007</v>
      </c>
      <c r="I6" s="14"/>
      <c r="J6" s="14"/>
      <c r="K6" s="13"/>
      <c r="L6" s="16">
        <f t="shared" ca="1" si="0"/>
        <v>9859.7800000000007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9859.7800000000007</v>
      </c>
      <c r="R6" s="16">
        <f t="shared" ca="1" si="2"/>
        <v>9859.7800000000007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4300.24</v>
      </c>
      <c r="I7" s="14"/>
      <c r="J7" s="14"/>
      <c r="K7" s="13"/>
      <c r="L7" s="16">
        <f t="shared" ca="1" si="0"/>
        <v>4300.24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4300.24</v>
      </c>
      <c r="R7" s="16">
        <f t="shared" ca="1" si="2"/>
        <v>4300.24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4157.1681770284868</v>
      </c>
      <c r="J8" s="14">
        <f ca="1">Q10/J18</f>
        <v>9999.911822971515</v>
      </c>
      <c r="K8" s="13"/>
      <c r="L8" s="16">
        <f t="shared" ca="1" si="0"/>
        <v>14157.080000000002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1438.6399999999999</v>
      </c>
      <c r="P8" s="13" cm="1">
        <f t="array" aca="1" ref="P8" ca="1">-INDIRECT("'data'!$S$" &amp; $A$1)*parameters!$B$15</f>
        <v>-1435.7</v>
      </c>
      <c r="Q8" s="16">
        <f ca="1">SUM(Q6:Q7)</f>
        <v>14160.02</v>
      </c>
      <c r="R8" s="16">
        <f t="shared" ca="1" si="2"/>
        <v>14160.02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5202.82</v>
      </c>
      <c r="L9" s="16">
        <f t="shared" ca="1" si="0"/>
        <v>5202.82</v>
      </c>
      <c r="M9" s="16"/>
      <c r="N9" s="16">
        <f t="shared" ca="1" si="3"/>
        <v>0</v>
      </c>
      <c r="O9" s="11" cm="1">
        <f t="array" aca="1" ref="O9" ca="1">INDIRECT("'data'!$U$" &amp; $A$1)*parameters!$B$15</f>
        <v>1995.28</v>
      </c>
      <c r="P9" s="13" cm="1">
        <f t="array" aca="1" ref="P9" ca="1">-INDIRECT("'data'!$V$" &amp; $A$1)*parameters!$B$15</f>
        <v>-3334.94</v>
      </c>
      <c r="Q9" s="16" cm="1">
        <f t="array" aca="1" ref="Q9" ca="1">INDIRECT("'data'!$T$" &amp; $A$1)*parameters!$B$15</f>
        <v>3863.16</v>
      </c>
      <c r="R9" s="16">
        <f t="shared" ca="1" si="2"/>
        <v>3863.1599999999994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8199.9862019914654</v>
      </c>
      <c r="L10" s="16">
        <f t="shared" ca="1" si="0"/>
        <v>8199.9862019914654</v>
      </c>
      <c r="M10" s="16"/>
      <c r="N10" s="16">
        <f t="shared" ca="1" si="3"/>
        <v>0</v>
      </c>
      <c r="O10" s="11" cm="1">
        <f t="array" aca="1" ref="O10" ca="1">INDIRECT("'data'!$X$" &amp; $A$1)*parameters!$B$15</f>
        <v>9292.36</v>
      </c>
      <c r="P10" s="13" cm="1">
        <f t="array" aca="1" ref="P10" ca="1">-INDIRECT("'data'!$Y$" &amp; $A$1)*parameters!$B$15</f>
        <v>-8199.66</v>
      </c>
      <c r="Q10" s="16" cm="1">
        <f t="array" aca="1" ref="Q10" ca="1">INDIRECT("'data'!$W$" &amp; $A$1)*parameters!$B$15</f>
        <v>9292.6862019914661</v>
      </c>
      <c r="R10" s="16">
        <f t="shared" ca="1" si="2"/>
        <v>9292.6862019914661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16964.158933712657</v>
      </c>
      <c r="N11" s="19"/>
      <c r="O11" s="21" cm="1">
        <f t="array" aca="1" ref="O11" ca="1">INDIRECT("'data'!$Z$" &amp; $A$1)*parameters!$B$15</f>
        <v>8459.36</v>
      </c>
      <c r="P11" s="27" cm="1">
        <f t="array" aca="1" ref="P11" ca="1">-INDIRECT("'data'!$AA$" &amp; $A$1)*parameters!$B$15</f>
        <v>-13480.88</v>
      </c>
      <c r="Q11" s="16">
        <f ca="1">K9*parameters!$B$10+K10*parameters!$B$11</f>
        <v>11942.63893371266</v>
      </c>
      <c r="R11" s="16">
        <f t="shared" ref="R11:R17" ca="1" si="4">SUM(L11:P11)</f>
        <v>11942.638933712658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-59.175525309448858</v>
      </c>
      <c r="D12" s="9">
        <f ca="1">-(D17-Q4)</f>
        <v>0</v>
      </c>
      <c r="E12" s="9">
        <f ca="1">-(E17-Q5)</f>
        <v>-1270.9401560388687</v>
      </c>
      <c r="F12" s="9">
        <f ca="1">-(F17-Q6)</f>
        <v>-651.71253731343313</v>
      </c>
      <c r="G12" s="9">
        <f ca="1">-(G17-Q7)</f>
        <v>-193.21872518286364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-2175.0469438446144</v>
      </c>
      <c r="M12" s="17"/>
      <c r="N12" s="17"/>
      <c r="O12" s="10"/>
      <c r="P12" s="12"/>
      <c r="Q12" s="9">
        <f t="shared" ref="Q12:Q17" ca="1" si="6">SUM(L12:P12)</f>
        <v>-2175.0469438446144</v>
      </c>
      <c r="R12" s="17">
        <f t="shared" ca="1" si="4"/>
        <v>-2175.0469438446144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-294.0081770284869</v>
      </c>
      <c r="J13" s="14">
        <f ca="1">-(J17-Q10)</f>
        <v>-707.22562098004892</v>
      </c>
      <c r="K13" s="13">
        <f ca="1">-(K17-Q11)</f>
        <v>-1460.1672682788048</v>
      </c>
      <c r="L13" s="14">
        <f t="shared" ca="1" si="5"/>
        <v>-2461.4010662873407</v>
      </c>
      <c r="M13" s="16">
        <f ca="1">-E15</f>
        <v>-9092.6003522478259</v>
      </c>
      <c r="N13" s="16"/>
      <c r="O13" s="11"/>
      <c r="P13" s="13"/>
      <c r="Q13" s="14">
        <f t="shared" ca="1" si="6"/>
        <v>-11554.001418535167</v>
      </c>
      <c r="R13" s="16">
        <f t="shared" ca="1" si="4"/>
        <v>-11554.001418535167</v>
      </c>
    </row>
    <row r="14" spans="1:20">
      <c r="A14" s="18" t="s">
        <v>105</v>
      </c>
      <c r="B14" s="11"/>
      <c r="C14" s="14"/>
      <c r="D14" s="14"/>
      <c r="E14" s="14">
        <f ca="1">-(I13+J13)-K13</f>
        <v>2461.4010662873407</v>
      </c>
      <c r="F14" s="14"/>
      <c r="G14" s="14"/>
      <c r="H14" s="14"/>
      <c r="I14" s="14"/>
      <c r="J14" s="14"/>
      <c r="K14" s="13"/>
      <c r="L14" s="14">
        <f t="shared" ca="1" si="5"/>
        <v>2461.4010662873407</v>
      </c>
      <c r="M14" s="16"/>
      <c r="N14" s="16"/>
      <c r="O14" s="11"/>
      <c r="P14" s="13"/>
      <c r="Q14" s="14">
        <f t="shared" ca="1" si="6"/>
        <v>2461.4010662873407</v>
      </c>
      <c r="R14" s="16">
        <f t="shared" ca="1" si="4"/>
        <v>2461.4010662873407</v>
      </c>
    </row>
    <row r="15" spans="1:20">
      <c r="A15" s="18" t="s">
        <v>106</v>
      </c>
      <c r="B15" s="11"/>
      <c r="C15" s="14"/>
      <c r="D15" s="14"/>
      <c r="E15" s="14">
        <f ca="1">E17-E14</f>
        <v>9092.6003522478259</v>
      </c>
      <c r="F15" s="14"/>
      <c r="G15" s="14"/>
      <c r="H15" s="14"/>
      <c r="I15" s="14"/>
      <c r="J15" s="14"/>
      <c r="K15" s="13"/>
      <c r="L15" s="14">
        <f t="shared" ca="1" si="5"/>
        <v>9092.6003522478259</v>
      </c>
      <c r="M15" s="16"/>
      <c r="N15" s="16"/>
      <c r="O15" s="11"/>
      <c r="P15" s="13"/>
      <c r="Q15" s="14">
        <f t="shared" ca="1" si="6"/>
        <v>9092.6003522478259</v>
      </c>
      <c r="R15" s="16">
        <f t="shared" ca="1" si="4"/>
        <v>9092.6003522478259</v>
      </c>
    </row>
    <row r="16" spans="1:20">
      <c r="A16" s="30" t="s">
        <v>86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85</v>
      </c>
      <c r="B17" s="9">
        <f ca="1">B16</f>
        <v>0</v>
      </c>
      <c r="C17" s="9">
        <f ca="1">SUM(C$2:C$11)</f>
        <v>9392.9405253094483</v>
      </c>
      <c r="D17" s="9">
        <f ca="1">SUM(D$2:D$11)</f>
        <v>0</v>
      </c>
      <c r="E17" s="9">
        <f ca="1">$Q$5/parameters!$B$4</f>
        <v>11554.001418535167</v>
      </c>
      <c r="F17" s="9">
        <f t="shared" ref="F17:K17" ca="1" si="7">SUM(F$2:F$11)</f>
        <v>10511.492537313434</v>
      </c>
      <c r="G17" s="9">
        <f t="shared" ca="1" si="7"/>
        <v>4493.4587251828634</v>
      </c>
      <c r="H17" s="9">
        <f t="shared" ca="1" si="7"/>
        <v>14160.02</v>
      </c>
      <c r="I17" s="9">
        <f t="shared" ca="1" si="7"/>
        <v>4157.1681770284868</v>
      </c>
      <c r="J17" s="9">
        <f t="shared" ca="1" si="7"/>
        <v>9999.911822971515</v>
      </c>
      <c r="K17" s="9">
        <f t="shared" ca="1" si="7"/>
        <v>13402.806201991465</v>
      </c>
      <c r="L17" s="17">
        <f t="shared" ca="1" si="5"/>
        <v>77671.799408332372</v>
      </c>
      <c r="M17" s="17"/>
      <c r="N17" s="17"/>
      <c r="O17" s="9"/>
      <c r="P17" s="14"/>
      <c r="Q17" s="11">
        <f t="shared" ca="1" si="6"/>
        <v>77671.799408332372</v>
      </c>
      <c r="R17" s="17">
        <f t="shared" ca="1" si="4"/>
        <v>77671.799408332372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0.92927681428595899</v>
      </c>
      <c r="J18" s="39">
        <f ca="1">I18</f>
        <v>0.92927681428595899</v>
      </c>
      <c r="K18" s="40">
        <f ca="1">1-(-K13)/K17</f>
        <v>0.89105510843976499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3689.8460299889302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3689.8460299889302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-3689.8460299889302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3543.8805970149251</v>
      </c>
      <c r="G3" s="14">
        <f ca="1">Q3-O3-P3-F3</f>
        <v>367.4744029850749</v>
      </c>
      <c r="H3" s="14"/>
      <c r="I3" s="14"/>
      <c r="J3" s="14"/>
      <c r="K3" s="13"/>
      <c r="L3" s="16">
        <f t="shared" ca="1" si="0"/>
        <v>3911.355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6.6149999999999993</v>
      </c>
      <c r="P3" s="13" cm="1">
        <f t="array" aca="1" ref="P3" ca="1">-INDIRECT("'data'!$I$" &amp; $A$1)*parameters!$B$13</f>
        <v>-251.36999999999998</v>
      </c>
      <c r="Q3" s="16" cm="1">
        <f t="array" aca="1" ref="Q3" ca="1">INDIRECT("'data'!$G$" &amp; $A$1)*parameters!$B$13</f>
        <v>3666.6</v>
      </c>
      <c r="R3" s="16">
        <f t="shared" ref="R3:R10" ca="1" si="2">SUM(L3:P3)</f>
        <v>3666.6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399.28000000000003</v>
      </c>
      <c r="H4" s="14"/>
      <c r="I4" s="14"/>
      <c r="J4" s="14"/>
      <c r="K4" s="13"/>
      <c r="L4" s="16">
        <f t="shared" ca="1" si="0"/>
        <v>399.28000000000003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-399.28000000000003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Q6/parameters!$B$5*20%</f>
        <v>885.97014925373139</v>
      </c>
      <c r="G5" s="14">
        <f ca="1">Q7/parameters!$B$7-(G3+G4)</f>
        <v>8805.9101738174322</v>
      </c>
      <c r="H5" s="14"/>
      <c r="I5" s="14"/>
      <c r="J5" s="14"/>
      <c r="K5" s="13"/>
      <c r="L5" s="16">
        <f t="shared" ca="1" si="0"/>
        <v>9691.8803230711637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550.76</v>
      </c>
      <c r="P5" s="13" cm="1">
        <f t="array" aca="1" ref="P5" ca="1">-INDIRECT("'data'!$N$" &amp; $A$1)*parameters!$B$15</f>
        <v>-3930.7799999999997</v>
      </c>
      <c r="Q5" s="16">
        <f ca="1">SUM(L5:P5)</f>
        <v>6311.8603230711642</v>
      </c>
      <c r="R5" s="16">
        <f t="shared" ca="1" si="2"/>
        <v>6311.8603230711642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4155.2</v>
      </c>
      <c r="I6" s="14"/>
      <c r="J6" s="14"/>
      <c r="K6" s="13"/>
      <c r="L6" s="16">
        <f t="shared" ca="1" si="0"/>
        <v>4155.2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4155.2</v>
      </c>
      <c r="R6" s="16">
        <f t="shared" ca="1" si="2"/>
        <v>4155.2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9161.0399999999991</v>
      </c>
      <c r="I7" s="14"/>
      <c r="J7" s="14"/>
      <c r="K7" s="13"/>
      <c r="L7" s="16">
        <f t="shared" ca="1" si="0"/>
        <v>9161.0399999999991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9161.0399999999991</v>
      </c>
      <c r="R7" s="16">
        <f t="shared" ca="1" si="2"/>
        <v>9161.0399999999991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9741.8394985788746</v>
      </c>
      <c r="J8" s="14">
        <f ca="1">Q10/J18</f>
        <v>4625.9405014211252</v>
      </c>
      <c r="K8" s="13"/>
      <c r="L8" s="16">
        <f t="shared" ca="1" si="0"/>
        <v>14367.779999999999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139.16</v>
      </c>
      <c r="P8" s="13" cm="1">
        <f t="array" aca="1" ref="P8" ca="1">-INDIRECT("'data'!$S$" &amp; $A$1)*parameters!$B$15</f>
        <v>-1190.7</v>
      </c>
      <c r="Q8" s="16">
        <f ca="1">SUM(Q6:Q7)</f>
        <v>13316.239999999998</v>
      </c>
      <c r="R8" s="16">
        <f t="shared" ca="1" si="2"/>
        <v>13316.239999999998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4679.5</v>
      </c>
      <c r="L9" s="16">
        <f t="shared" ca="1" si="0"/>
        <v>4679.5</v>
      </c>
      <c r="M9" s="16"/>
      <c r="N9" s="16">
        <f t="shared" ca="1" si="3"/>
        <v>0</v>
      </c>
      <c r="O9" s="11" cm="1">
        <f t="array" aca="1" ref="O9" ca="1">INDIRECT("'data'!$U$" &amp; $A$1)*parameters!$B$15</f>
        <v>5535.04</v>
      </c>
      <c r="P9" s="13" cm="1">
        <f t="array" aca="1" ref="P9" ca="1">-INDIRECT("'data'!$V$" &amp; $A$1)*parameters!$B$15</f>
        <v>-1410.22</v>
      </c>
      <c r="Q9" s="16" cm="1">
        <f t="array" aca="1" ref="Q9" ca="1">INDIRECT("'data'!$T$" &amp; $A$1)*parameters!$B$15</f>
        <v>8804.32</v>
      </c>
      <c r="R9" s="16">
        <f t="shared" ca="1" si="2"/>
        <v>8804.3200000000015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8476.0966714082497</v>
      </c>
      <c r="L10" s="16">
        <f t="shared" ca="1" si="0"/>
        <v>8476.0966714082497</v>
      </c>
      <c r="M10" s="16"/>
      <c r="N10" s="16">
        <f t="shared" ca="1" si="3"/>
        <v>0</v>
      </c>
      <c r="O10" s="11" cm="1">
        <f t="array" aca="1" ref="O10" ca="1">INDIRECT("'data'!$X$" &amp; $A$1)*parameters!$B$15</f>
        <v>2529.38</v>
      </c>
      <c r="P10" s="13" cm="1">
        <f t="array" aca="1" ref="P10" ca="1">-INDIRECT("'data'!$Y$" &amp; $A$1)*parameters!$B$15</f>
        <v>-6824.72</v>
      </c>
      <c r="Q10" s="16" cm="1">
        <f t="array" aca="1" ref="Q10" ca="1">INDIRECT("'data'!$W$" &amp; $A$1)*parameters!$B$15</f>
        <v>4180.7566714082504</v>
      </c>
      <c r="R10" s="16">
        <f t="shared" ca="1" si="2"/>
        <v>4180.7566714082504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10759.133137411094</v>
      </c>
      <c r="N11" s="19"/>
      <c r="O11" s="21" cm="1">
        <f t="array" aca="1" ref="O11" ca="1">INDIRECT("'data'!$Z$" &amp; $A$1)*parameters!$B$15</f>
        <v>9290.4</v>
      </c>
      <c r="P11" s="27" cm="1">
        <f t="array" aca="1" ref="P11" ca="1">-INDIRECT("'data'!$AA$" &amp; $A$1)*parameters!$B$15</f>
        <v>-8361.36</v>
      </c>
      <c r="Q11" s="16">
        <f ca="1">K9*parameters!$B$10+K10*parameters!$B$11</f>
        <v>11688.173137411093</v>
      </c>
      <c r="R11" s="16">
        <f t="shared" ref="R11:R17" ca="1" si="4">SUM(L11:P11)</f>
        <v>11688.173137411093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-23.246029988930331</v>
      </c>
      <c r="D12" s="9">
        <f ca="1">-(D17-Q4)</f>
        <v>0</v>
      </c>
      <c r="E12" s="9">
        <f ca="1">-(E17-Q5)</f>
        <v>-780.11756802003129</v>
      </c>
      <c r="F12" s="9">
        <f ca="1">-(F17-Q6)</f>
        <v>-274.6507462686568</v>
      </c>
      <c r="G12" s="9">
        <f ca="1">-(G17-Q7)</f>
        <v>-411.62457680250736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-1489.6389210801258</v>
      </c>
      <c r="M12" s="17"/>
      <c r="N12" s="17"/>
      <c r="O12" s="10"/>
      <c r="P12" s="12"/>
      <c r="Q12" s="9">
        <f t="shared" ref="Q12:Q17" ca="1" si="6">SUM(L12:P12)</f>
        <v>-1489.6389210801258</v>
      </c>
      <c r="R12" s="17">
        <f t="shared" ca="1" si="4"/>
        <v>-1489.6389210801258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-937.51949857887485</v>
      </c>
      <c r="J13" s="14">
        <f ca="1">-(J17-Q10)</f>
        <v>-445.18383001287475</v>
      </c>
      <c r="K13" s="13">
        <f ca="1">-(K17-Q11)</f>
        <v>-1467.4235339971565</v>
      </c>
      <c r="L13" s="14">
        <f t="shared" ca="1" si="5"/>
        <v>-2850.1268625889061</v>
      </c>
      <c r="M13" s="16">
        <f ca="1">-E15</f>
        <v>-4241.8510285022894</v>
      </c>
      <c r="N13" s="16"/>
      <c r="O13" s="11"/>
      <c r="P13" s="13"/>
      <c r="Q13" s="14">
        <f t="shared" ca="1" si="6"/>
        <v>-7091.9778910911955</v>
      </c>
      <c r="R13" s="16">
        <f t="shared" ca="1" si="4"/>
        <v>-7091.9778910911955</v>
      </c>
    </row>
    <row r="14" spans="1:20">
      <c r="A14" s="18" t="s">
        <v>105</v>
      </c>
      <c r="B14" s="11"/>
      <c r="C14" s="14"/>
      <c r="D14" s="14"/>
      <c r="E14" s="14">
        <f ca="1">-(I13+J13)-K13</f>
        <v>2850.1268625889061</v>
      </c>
      <c r="F14" s="14"/>
      <c r="G14" s="14"/>
      <c r="H14" s="14"/>
      <c r="I14" s="14"/>
      <c r="J14" s="14"/>
      <c r="K14" s="13"/>
      <c r="L14" s="14">
        <f t="shared" ca="1" si="5"/>
        <v>2850.1268625889061</v>
      </c>
      <c r="M14" s="16"/>
      <c r="N14" s="16"/>
      <c r="O14" s="11"/>
      <c r="P14" s="13"/>
      <c r="Q14" s="14">
        <f t="shared" ca="1" si="6"/>
        <v>2850.1268625889061</v>
      </c>
      <c r="R14" s="16">
        <f t="shared" ca="1" si="4"/>
        <v>2850.1268625889061</v>
      </c>
    </row>
    <row r="15" spans="1:20">
      <c r="A15" s="18" t="s">
        <v>106</v>
      </c>
      <c r="B15" s="11"/>
      <c r="C15" s="14"/>
      <c r="D15" s="14"/>
      <c r="E15" s="14">
        <f ca="1">E17-E14</f>
        <v>4241.8510285022894</v>
      </c>
      <c r="F15" s="14"/>
      <c r="G15" s="14"/>
      <c r="H15" s="14"/>
      <c r="I15" s="14"/>
      <c r="J15" s="14"/>
      <c r="K15" s="13"/>
      <c r="L15" s="14">
        <f t="shared" ca="1" si="5"/>
        <v>4241.8510285022894</v>
      </c>
      <c r="M15" s="16"/>
      <c r="N15" s="16"/>
      <c r="O15" s="11"/>
      <c r="P15" s="13"/>
      <c r="Q15" s="14">
        <f t="shared" ca="1" si="6"/>
        <v>4241.8510285022894</v>
      </c>
      <c r="R15" s="16">
        <f t="shared" ca="1" si="4"/>
        <v>4241.8510285022894</v>
      </c>
    </row>
    <row r="16" spans="1:20">
      <c r="A16" s="30" t="s">
        <v>86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85</v>
      </c>
      <c r="B17" s="9">
        <f ca="1">B16</f>
        <v>0</v>
      </c>
      <c r="C17" s="9">
        <f ca="1">SUM(C$2:C$11)</f>
        <v>3689.8460299889302</v>
      </c>
      <c r="D17" s="9">
        <f ca="1">SUM(D$2:D$11)</f>
        <v>0</v>
      </c>
      <c r="E17" s="9">
        <f ca="1">$Q$5/parameters!$B$4</f>
        <v>7091.9778910911955</v>
      </c>
      <c r="F17" s="9">
        <f t="shared" ref="F17:K17" ca="1" si="7">SUM(F$2:F$11)</f>
        <v>4429.8507462686566</v>
      </c>
      <c r="G17" s="9">
        <f t="shared" ca="1" si="7"/>
        <v>9572.6645768025064</v>
      </c>
      <c r="H17" s="9">
        <f t="shared" ca="1" si="7"/>
        <v>13316.239999999998</v>
      </c>
      <c r="I17" s="9">
        <f t="shared" ca="1" si="7"/>
        <v>9741.8394985788746</v>
      </c>
      <c r="J17" s="9">
        <f t="shared" ca="1" si="7"/>
        <v>4625.9405014211252</v>
      </c>
      <c r="K17" s="9">
        <f t="shared" ca="1" si="7"/>
        <v>13155.59667140825</v>
      </c>
      <c r="L17" s="17">
        <f t="shared" ca="1" si="5"/>
        <v>65623.955915559534</v>
      </c>
      <c r="M17" s="17"/>
      <c r="N17" s="17"/>
      <c r="O17" s="9"/>
      <c r="P17" s="14"/>
      <c r="Q17" s="11">
        <f t="shared" ca="1" si="6"/>
        <v>65623.955915559534</v>
      </c>
      <c r="R17" s="17">
        <f t="shared" ca="1" si="4"/>
        <v>65623.955915559534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0.90376360658419397</v>
      </c>
      <c r="J18" s="39">
        <f ca="1">I18</f>
        <v>0.90376360658419397</v>
      </c>
      <c r="K18" s="40">
        <f ca="1">1-(-K13)/K17</f>
        <v>0.88845632998263124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6010.2646674046491</v>
      </c>
      <c r="D2" s="9">
        <f ca="1">Q4/parameters!$B$3</f>
        <v>1333.1991546744489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7343.4638220790985</v>
      </c>
      <c r="M2" s="17"/>
      <c r="N2" s="17">
        <f ca="1">Q2-(L2+O2+P2)</f>
        <v>0</v>
      </c>
      <c r="O2" s="11" cm="1">
        <f t="array" aca="1" ref="O2" ca="1">INDIRECT("'data'!$F$" &amp; $A$1)</f>
        <v>31401.395539745521</v>
      </c>
      <c r="P2" s="13">
        <f ca="1">IF(-(L2-Q2+O2)&lt;0, -(L2-Q2+O2), 0)</f>
        <v>-3544.8593618246196</v>
      </c>
      <c r="Q2" s="17" cm="1">
        <f t="array" aca="1" ref="Q2" ca="1">INDIRECT("'data'!$D$" &amp; $A$1)</f>
        <v>35200</v>
      </c>
      <c r="R2" s="17">
        <f ca="1">SUM(L2:P2)</f>
        <v>35200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5887.8358208955233</v>
      </c>
      <c r="G3" s="14">
        <f ca="1">Q3-O3-P3-F3</f>
        <v>53.379179104475952</v>
      </c>
      <c r="H3" s="14"/>
      <c r="I3" s="14"/>
      <c r="J3" s="14"/>
      <c r="K3" s="13"/>
      <c r="L3" s="16">
        <f t="shared" ca="1" si="0"/>
        <v>5941.2149999999992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51.974999999999994</v>
      </c>
      <c r="P3" s="13" cm="1">
        <f t="array" aca="1" ref="P3" ca="1">-INDIRECT("'data'!$I$" &amp; $A$1)*parameters!$B$13</f>
        <v>-20.79</v>
      </c>
      <c r="Q3" s="16" cm="1">
        <f t="array" aca="1" ref="Q3" ca="1">INDIRECT("'data'!$G$" &amp; $A$1)*parameters!$B$13</f>
        <v>5972.4</v>
      </c>
      <c r="R3" s="16">
        <f t="shared" ref="R3:R10" ca="1" si="2">SUM(L3:P3)</f>
        <v>5972.4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1337.6799999999998</v>
      </c>
      <c r="H4" s="14"/>
      <c r="I4" s="14"/>
      <c r="J4" s="14"/>
      <c r="K4" s="13"/>
      <c r="L4" s="16">
        <f t="shared" ca="1" si="0"/>
        <v>1337.6799999999998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-13.8</v>
      </c>
      <c r="Q4" s="16" cm="1">
        <f t="array" aca="1" ref="Q4" ca="1">INDIRECT("'data'!$J$" &amp; $A$1)*parameters!$B$14</f>
        <v>1324.8</v>
      </c>
      <c r="R4" s="16">
        <f t="shared" ca="1" si="2"/>
        <v>1324.8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Q6/parameters!$B$5*22%</f>
        <v>1660.671641791045</v>
      </c>
      <c r="G5" s="14">
        <f ca="1">Q7/parameters!$B$7-(G3+G4)</f>
        <v>4420.3305805611453</v>
      </c>
      <c r="H5" s="14"/>
      <c r="I5" s="14"/>
      <c r="J5" s="14"/>
      <c r="K5" s="13"/>
      <c r="L5" s="16">
        <f t="shared" ca="1" si="0"/>
        <v>6081.0022223521901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4264.96</v>
      </c>
      <c r="P5" s="13" cm="1">
        <f t="array" aca="1" ref="P5" ca="1">-INDIRECT("'data'!$N$" &amp; $A$1)*parameters!$B$15</f>
        <v>-2092.3000000000002</v>
      </c>
      <c r="Q5" s="16">
        <f ca="1">SUM(L5:P5)</f>
        <v>8253.6622223521917</v>
      </c>
      <c r="R5" s="16">
        <f t="shared" ca="1" si="2"/>
        <v>8253.6622223521917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7080.5</v>
      </c>
      <c r="I6" s="14"/>
      <c r="J6" s="14"/>
      <c r="K6" s="13"/>
      <c r="L6" s="16">
        <f t="shared" ca="1" si="0"/>
        <v>7080.5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7080.5</v>
      </c>
      <c r="R6" s="16">
        <f t="shared" ca="1" si="2"/>
        <v>7080.5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5561.5</v>
      </c>
      <c r="I7" s="14"/>
      <c r="J7" s="14"/>
      <c r="K7" s="13"/>
      <c r="L7" s="16">
        <f t="shared" ca="1" si="0"/>
        <v>5561.5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5561.5</v>
      </c>
      <c r="R7" s="16">
        <f t="shared" ca="1" si="2"/>
        <v>5561.5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3513.7701818181818</v>
      </c>
      <c r="J8" s="14">
        <f ca="1">Q10/J18</f>
        <v>11145.069818181819</v>
      </c>
      <c r="K8" s="13"/>
      <c r="L8" s="16">
        <f t="shared" ca="1" si="0"/>
        <v>14658.84</v>
      </c>
      <c r="M8" s="16"/>
      <c r="N8" s="16">
        <f t="shared" ca="1" si="3"/>
        <v>0</v>
      </c>
      <c r="O8" s="11" cm="1">
        <f t="array" aca="1" ref="O8" ca="1">INDIRECT("'data'!$R$" &amp; $A$1)*parameters!$B$15</f>
        <v>389.06</v>
      </c>
      <c r="P8" s="13" cm="1">
        <f t="array" aca="1" ref="P8" ca="1">-INDIRECT("'data'!$S$" &amp; $A$1)*parameters!$B$15</f>
        <v>-2405.9</v>
      </c>
      <c r="Q8" s="16">
        <f ca="1">SUM(Q6:Q7)</f>
        <v>12642</v>
      </c>
      <c r="R8" s="16">
        <f t="shared" ca="1" si="2"/>
        <v>12642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2554.86</v>
      </c>
      <c r="L9" s="16">
        <f t="shared" ca="1" si="0"/>
        <v>2554.86</v>
      </c>
      <c r="M9" s="16"/>
      <c r="N9" s="16">
        <f t="shared" ca="1" si="3"/>
        <v>0</v>
      </c>
      <c r="O9" s="11" cm="1">
        <f t="array" aca="1" ref="O9" ca="1">INDIRECT("'data'!$U$" &amp; $A$1)*parameters!$B$15</f>
        <v>3064.46</v>
      </c>
      <c r="P9" s="13" cm="1">
        <f t="array" aca="1" ref="P9" ca="1">-INDIRECT("'data'!$V$" &amp; $A$1)*parameters!$B$15</f>
        <v>-2287.3200000000002</v>
      </c>
      <c r="Q9" s="16" cm="1">
        <f t="array" aca="1" ref="Q9" ca="1">INDIRECT("'data'!$T$" &amp; $A$1)*parameters!$B$15</f>
        <v>3332</v>
      </c>
      <c r="R9" s="16">
        <f t="shared" ca="1" si="2"/>
        <v>3331.9999999999995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10000.126315789474</v>
      </c>
      <c r="L10" s="16">
        <f t="shared" ca="1" si="0"/>
        <v>10000.126315789474</v>
      </c>
      <c r="M10" s="16"/>
      <c r="N10" s="16">
        <f t="shared" ca="1" si="3"/>
        <v>0</v>
      </c>
      <c r="O10" s="11" cm="1">
        <f t="array" aca="1" ref="O10" ca="1">INDIRECT("'data'!$X$" &amp; $A$1)*parameters!$B$15</f>
        <v>3382.96</v>
      </c>
      <c r="P10" s="13" cm="1">
        <f t="array" aca="1" ref="P10" ca="1">-INDIRECT("'data'!$Y$" &amp; $A$1)*parameters!$B$15</f>
        <v>-2814.56</v>
      </c>
      <c r="Q10" s="16" cm="1">
        <f t="array" aca="1" ref="Q10" ca="1">INDIRECT("'data'!$W$" &amp; $A$1)*parameters!$B$15</f>
        <v>10568.526315789473</v>
      </c>
      <c r="R10" s="16">
        <f t="shared" ca="1" si="2"/>
        <v>10568.526315789475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16127.077031578949</v>
      </c>
      <c r="N11" s="19"/>
      <c r="O11" s="21" cm="1">
        <f t="array" aca="1" ref="O11" ca="1">INDIRECT("'data'!$Z$" &amp; $A$1)*parameters!$B$15</f>
        <v>6197.5199999999995</v>
      </c>
      <c r="P11" s="27" cm="1">
        <f t="array" aca="1" ref="P11" ca="1">-INDIRECT("'data'!$AA$" &amp; $A$1)*parameters!$B$15</f>
        <v>-11322.92</v>
      </c>
      <c r="Q11" s="16">
        <f ca="1">K9*parameters!$B$10+K10*parameters!$B$11</f>
        <v>11001.677031578947</v>
      </c>
      <c r="R11" s="16">
        <f t="shared" ref="R11:R17" ca="1" si="4">SUM(L11:P11)</f>
        <v>11001.677031578949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-37.864667404649481</v>
      </c>
      <c r="D12" s="9">
        <f ca="1">-(D17-Q4)</f>
        <v>-8.3991546744489369</v>
      </c>
      <c r="E12" s="9">
        <f ca="1">-(E17-Q5)</f>
        <v>-1020.1155555716196</v>
      </c>
      <c r="F12" s="9">
        <f ca="1">-(F17-Q6)</f>
        <v>-468.00746268656803</v>
      </c>
      <c r="G12" s="9">
        <f ca="1">-(G17-Q7)</f>
        <v>-249.88975966562066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-1784.2766000029067</v>
      </c>
      <c r="M12" s="17"/>
      <c r="N12" s="17"/>
      <c r="O12" s="10"/>
      <c r="P12" s="12"/>
      <c r="Q12" s="9">
        <f t="shared" ref="Q12:Q17" ca="1" si="6">SUM(L12:P12)</f>
        <v>-1784.2766000029067</v>
      </c>
      <c r="R12" s="17">
        <f t="shared" ca="1" si="4"/>
        <v>-1784.2766000029067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-181.77018181818175</v>
      </c>
      <c r="J13" s="14">
        <f ca="1">-(J17-Q10)</f>
        <v>-576.54350239234554</v>
      </c>
      <c r="K13" s="13">
        <f ca="1">-(K17-Q11)</f>
        <v>-1553.309284210527</v>
      </c>
      <c r="L13" s="14">
        <f t="shared" ca="1" si="5"/>
        <v>-2311.6229684210543</v>
      </c>
      <c r="M13" s="16">
        <f ca="1">-E15</f>
        <v>-6962.1548095027574</v>
      </c>
      <c r="N13" s="16"/>
      <c r="O13" s="11"/>
      <c r="P13" s="13"/>
      <c r="Q13" s="14">
        <f t="shared" ca="1" si="6"/>
        <v>-9273.7777779238113</v>
      </c>
      <c r="R13" s="16">
        <f t="shared" ca="1" si="4"/>
        <v>-9273.7777779238113</v>
      </c>
    </row>
    <row r="14" spans="1:20">
      <c r="A14" s="18" t="s">
        <v>105</v>
      </c>
      <c r="B14" s="11"/>
      <c r="C14" s="14"/>
      <c r="D14" s="14"/>
      <c r="E14" s="14">
        <f ca="1">-(I13+J13)-K13</f>
        <v>2311.6229684210543</v>
      </c>
      <c r="F14" s="14"/>
      <c r="G14" s="14"/>
      <c r="H14" s="14"/>
      <c r="I14" s="14"/>
      <c r="J14" s="14"/>
      <c r="K14" s="13"/>
      <c r="L14" s="14">
        <f t="shared" ca="1" si="5"/>
        <v>2311.6229684210543</v>
      </c>
      <c r="M14" s="16"/>
      <c r="N14" s="16"/>
      <c r="O14" s="11"/>
      <c r="P14" s="13"/>
      <c r="Q14" s="14">
        <f t="shared" ca="1" si="6"/>
        <v>2311.6229684210543</v>
      </c>
      <c r="R14" s="16">
        <f t="shared" ca="1" si="4"/>
        <v>2311.6229684210543</v>
      </c>
    </row>
    <row r="15" spans="1:20">
      <c r="A15" s="18" t="s">
        <v>106</v>
      </c>
      <c r="B15" s="11"/>
      <c r="C15" s="14"/>
      <c r="D15" s="14"/>
      <c r="E15" s="14">
        <f ca="1">E17-E14</f>
        <v>6962.1548095027574</v>
      </c>
      <c r="F15" s="14"/>
      <c r="G15" s="14"/>
      <c r="H15" s="14"/>
      <c r="I15" s="14"/>
      <c r="J15" s="14"/>
      <c r="K15" s="13"/>
      <c r="L15" s="14">
        <f t="shared" ca="1" si="5"/>
        <v>6962.1548095027574</v>
      </c>
      <c r="M15" s="16"/>
      <c r="N15" s="16"/>
      <c r="O15" s="11"/>
      <c r="P15" s="13"/>
      <c r="Q15" s="14">
        <f t="shared" ca="1" si="6"/>
        <v>6962.1548095027574</v>
      </c>
      <c r="R15" s="16">
        <f t="shared" ca="1" si="4"/>
        <v>6962.1548095027574</v>
      </c>
    </row>
    <row r="16" spans="1:20">
      <c r="A16" s="30" t="s">
        <v>86</v>
      </c>
      <c r="B16" s="21">
        <f ca="1">Q2</f>
        <v>35200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35200</v>
      </c>
      <c r="M16" s="19"/>
      <c r="N16" s="19"/>
      <c r="O16" s="21"/>
      <c r="P16" s="27"/>
      <c r="Q16" s="22">
        <f t="shared" ca="1" si="6"/>
        <v>35200</v>
      </c>
      <c r="R16" s="19">
        <f t="shared" ca="1" si="4"/>
        <v>35200</v>
      </c>
    </row>
    <row r="17" spans="1:18">
      <c r="A17" s="29" t="s">
        <v>85</v>
      </c>
      <c r="B17" s="9">
        <f ca="1">B16</f>
        <v>35200</v>
      </c>
      <c r="C17" s="9">
        <f ca="1">SUM(C$2:C$11)</f>
        <v>6010.2646674046491</v>
      </c>
      <c r="D17" s="9">
        <f ca="1">SUM(D$2:D$11)</f>
        <v>1333.1991546744489</v>
      </c>
      <c r="E17" s="9">
        <f ca="1">$Q$5/parameters!$B$4</f>
        <v>9273.7777779238113</v>
      </c>
      <c r="F17" s="9">
        <f t="shared" ref="F17:K17" ca="1" si="7">SUM(F$2:F$11)</f>
        <v>7548.507462686568</v>
      </c>
      <c r="G17" s="9">
        <f t="shared" ca="1" si="7"/>
        <v>5811.3897596656207</v>
      </c>
      <c r="H17" s="9">
        <f t="shared" ca="1" si="7"/>
        <v>12642</v>
      </c>
      <c r="I17" s="9">
        <f t="shared" ca="1" si="7"/>
        <v>3513.7701818181818</v>
      </c>
      <c r="J17" s="9">
        <f t="shared" ca="1" si="7"/>
        <v>11145.069818181819</v>
      </c>
      <c r="K17" s="9">
        <f t="shared" ca="1" si="7"/>
        <v>12554.986315789474</v>
      </c>
      <c r="L17" s="17">
        <f t="shared" ca="1" si="5"/>
        <v>105032.96513814456</v>
      </c>
      <c r="M17" s="17"/>
      <c r="N17" s="17"/>
      <c r="O17" s="9"/>
      <c r="P17" s="14"/>
      <c r="Q17" s="11">
        <f t="shared" ca="1" si="6"/>
        <v>105032.96513814456</v>
      </c>
      <c r="R17" s="17">
        <f t="shared" ca="1" si="4"/>
        <v>105032.96513814456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0.95700000000000018</v>
      </c>
      <c r="H18" s="39">
        <f t="shared" ref="H18" ca="1" si="9">1-(-H12)/H17</f>
        <v>1</v>
      </c>
      <c r="I18" s="39">
        <f ca="1">(Q9+Q10)/(Q8-O8-P8)</f>
        <v>0.94826918881640521</v>
      </c>
      <c r="J18" s="39">
        <f ca="1">I18</f>
        <v>0.94826918881640521</v>
      </c>
      <c r="K18" s="40">
        <f ca="1">1-(-K13)/K17</f>
        <v>0.87627949205671019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2757.8746100432727</v>
      </c>
      <c r="D2" s="9">
        <f ca="1">Q4/parameters!$B$3</f>
        <v>111.09992955620409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2868.9745395994769</v>
      </c>
      <c r="M2" s="17"/>
      <c r="N2" s="17">
        <f ca="1">Q2-(L2+O2+P2)</f>
        <v>0</v>
      </c>
      <c r="O2" s="11" cm="1">
        <f t="array" aca="1" ref="O2" ca="1">INDIRECT("'data'!$F$" &amp; $A$1)</f>
        <v>1410.0753623188407</v>
      </c>
      <c r="P2" s="13">
        <f ca="1">IF(-(L2-Q2+O2)&lt;0, -(L2-Q2+O2), 0)</f>
        <v>-2549.0499019183176</v>
      </c>
      <c r="Q2" s="17" cm="1">
        <f t="array" aca="1" ref="Q2" ca="1">INDIRECT("'data'!$D$" &amp; $A$1)</f>
        <v>1730</v>
      </c>
      <c r="R2" s="17">
        <f ca="1">SUM(L2:P2)</f>
        <v>1729.9999999999995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2674.626865671642</v>
      </c>
      <c r="G3" s="14">
        <f ca="1">Q3-O3-P3-F3</f>
        <v>20.513134328358319</v>
      </c>
      <c r="H3" s="14"/>
      <c r="I3" s="14"/>
      <c r="J3" s="14"/>
      <c r="K3" s="13"/>
      <c r="L3" s="16">
        <f t="shared" ca="1" si="0"/>
        <v>2695.1400000000003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101.11499999999999</v>
      </c>
      <c r="P3" s="13" cm="1">
        <f t="array" aca="1" ref="P3" ca="1">-INDIRECT("'data'!$I$" &amp; $A$1)*parameters!$B$13</f>
        <v>-55.754999999999995</v>
      </c>
      <c r="Q3" s="16" cm="1">
        <f t="array" aca="1" ref="Q3" ca="1">INDIRECT("'data'!$G$" &amp; $A$1)*parameters!$B$13</f>
        <v>2740.5</v>
      </c>
      <c r="R3" s="16">
        <f t="shared" ref="R3:R10" ca="1" si="2">SUM(L3:P3)</f>
        <v>2740.5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137.08000000000001</v>
      </c>
      <c r="H4" s="14"/>
      <c r="I4" s="14"/>
      <c r="J4" s="14"/>
      <c r="K4" s="13"/>
      <c r="L4" s="16">
        <f t="shared" ca="1" si="0"/>
        <v>137.08000000000001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-27.6</v>
      </c>
      <c r="Q4" s="16" cm="1">
        <f t="array" aca="1" ref="Q4" ca="1">INDIRECT("'data'!$J$" &amp; $A$1)*parameters!$B$14</f>
        <v>110.4</v>
      </c>
      <c r="R4" s="16">
        <f t="shared" ca="1" si="2"/>
        <v>110.4</v>
      </c>
      <c r="S4" s="7"/>
    </row>
    <row r="5" spans="1:19" ht="17">
      <c r="A5" s="15" t="s">
        <v>104</v>
      </c>
      <c r="B5" s="11"/>
      <c r="C5" s="14"/>
      <c r="D5" s="14"/>
      <c r="E5" s="14"/>
      <c r="F5" s="14">
        <f ca="1">Q6/parameters!$B$5*50%</f>
        <v>2674.626865671642</v>
      </c>
      <c r="G5" s="14">
        <f ca="1">Q7/parameters!$B$7-(G3+G4)</f>
        <v>3365.0818917949437</v>
      </c>
      <c r="H5" s="14"/>
      <c r="I5" s="14"/>
      <c r="J5" s="14"/>
      <c r="K5" s="13"/>
      <c r="L5" s="16">
        <f t="shared" ca="1" si="0"/>
        <v>6039.7087574665857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48.019999999999996</v>
      </c>
      <c r="P5" s="13" cm="1">
        <f t="array" aca="1" ref="P5" ca="1">-INDIRECT("'data'!$N$" &amp; $A$1)*parameters!$B$15</f>
        <v>-2561.7199999999998</v>
      </c>
      <c r="Q5" s="16">
        <f ca="1">SUM(L5:P5)</f>
        <v>3526.0087574665863</v>
      </c>
      <c r="R5" s="16">
        <f t="shared" ca="1" si="2"/>
        <v>3526.0087574665863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5017.6000000000004</v>
      </c>
      <c r="I6" s="14"/>
      <c r="J6" s="14"/>
      <c r="K6" s="13"/>
      <c r="L6" s="16">
        <f t="shared" ca="1" si="0"/>
        <v>5017.6000000000004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5017.6000000000004</v>
      </c>
      <c r="R6" s="16">
        <f t="shared" ca="1" si="2"/>
        <v>5017.6000000000004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3371.2</v>
      </c>
      <c r="I7" s="14"/>
      <c r="J7" s="14"/>
      <c r="K7" s="13"/>
      <c r="L7" s="16">
        <f t="shared" ca="1" si="0"/>
        <v>3371.2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3371.2</v>
      </c>
      <c r="R7" s="16">
        <f t="shared" ca="1" si="2"/>
        <v>3371.2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5886.8622632740908</v>
      </c>
      <c r="J8" s="14">
        <f ca="1">Q10/J18</f>
        <v>6409.1977367259078</v>
      </c>
      <c r="K8" s="13"/>
      <c r="L8" s="16">
        <f t="shared" ca="1" si="0"/>
        <v>12296.059999999998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765.38</v>
      </c>
      <c r="P8" s="13" cm="1">
        <f t="array" aca="1" ref="P8" ca="1">-INDIRECT("'data'!$S$" &amp; $A$1)*parameters!$B$15</f>
        <v>-4672.6400000000003</v>
      </c>
      <c r="Q8" s="16">
        <f ca="1">SUM(Q6:Q7)</f>
        <v>8388.7999999999993</v>
      </c>
      <c r="R8" s="16">
        <f t="shared" ca="1" si="2"/>
        <v>8388.7999999999956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6705.16</v>
      </c>
      <c r="L9" s="16">
        <f t="shared" ca="1" si="0"/>
        <v>6705.16</v>
      </c>
      <c r="M9" s="16"/>
      <c r="N9" s="16">
        <f t="shared" ca="1" si="3"/>
        <v>0</v>
      </c>
      <c r="O9" s="11" cm="1">
        <f t="array" aca="1" ref="O9" ca="1">INDIRECT("'data'!$U$" &amp; $A$1)*parameters!$B$15</f>
        <v>173.46</v>
      </c>
      <c r="P9" s="13" cm="1">
        <f t="array" aca="1" ref="P9" ca="1">-INDIRECT("'data'!$V$" &amp; $A$1)*parameters!$B$15</f>
        <v>-1800.26</v>
      </c>
      <c r="Q9" s="16" cm="1">
        <f t="array" aca="1" ref="Q9" ca="1">INDIRECT("'data'!$T$" &amp; $A$1)*parameters!$B$15</f>
        <v>5078.3599999999997</v>
      </c>
      <c r="R9" s="16">
        <f t="shared" ca="1" si="2"/>
        <v>5078.3599999999997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8768.8378662873401</v>
      </c>
      <c r="L10" s="16">
        <f t="shared" ca="1" si="0"/>
        <v>8768.8378662873401</v>
      </c>
      <c r="M10" s="16"/>
      <c r="N10" s="16">
        <f t="shared" ca="1" si="3"/>
        <v>0</v>
      </c>
      <c r="O10" s="11" cm="1">
        <f t="array" aca="1" ref="O10" ca="1">INDIRECT("'data'!$X$" &amp; $A$1)*parameters!$B$15</f>
        <v>2739.1</v>
      </c>
      <c r="P10" s="13" cm="1">
        <f t="array" aca="1" ref="P10" ca="1">-INDIRECT("'data'!$Y$" &amp; $A$1)*parameters!$B$15</f>
        <v>-5978.98</v>
      </c>
      <c r="Q10" s="16" cm="1">
        <f t="array" aca="1" ref="Q10" ca="1">INDIRECT("'data'!$W$" &amp; $A$1)*parameters!$B$15</f>
        <v>5528.95786628734</v>
      </c>
      <c r="R10" s="16">
        <f t="shared" ca="1" si="2"/>
        <v>5528.9578662873409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16645.87096500711</v>
      </c>
      <c r="N11" s="19"/>
      <c r="O11" s="21" cm="1">
        <f t="array" aca="1" ref="O11" ca="1">INDIRECT("'data'!$Z$" &amp; $A$1)*parameters!$B$15</f>
        <v>1249.5</v>
      </c>
      <c r="P11" s="27" cm="1">
        <f t="array" aca="1" ref="P11" ca="1">-INDIRECT("'data'!$AA$" &amp; $A$1)*parameters!$B$15</f>
        <v>-4051.3199999999997</v>
      </c>
      <c r="Q11" s="16">
        <f ca="1">K9*parameters!$B$10+K10*parameters!$B$11</f>
        <v>13844.050965007111</v>
      </c>
      <c r="R11" s="16">
        <f t="shared" ref="R11:R17" ca="1" si="4">SUM(L11:P11)</f>
        <v>13844.050965007111</v>
      </c>
      <c r="S11" s="7"/>
    </row>
    <row r="12" spans="1:19">
      <c r="A12" s="29" t="s">
        <v>107</v>
      </c>
      <c r="B12" s="10">
        <f ca="1">-(B17-Q2)</f>
        <v>0</v>
      </c>
      <c r="C12" s="9">
        <f ca="1">-(C17-Q3)</f>
        <v>-17.374610043272696</v>
      </c>
      <c r="D12" s="9">
        <f ca="1">-(D17-Q4)</f>
        <v>-0.69992955620408281</v>
      </c>
      <c r="E12" s="9">
        <f ca="1">-(E17-Q5)</f>
        <v>-435.79883519249915</v>
      </c>
      <c r="F12" s="9">
        <f ca="1">-(F17-Q6)</f>
        <v>-331.65373134328365</v>
      </c>
      <c r="G12" s="9">
        <f ca="1">-(G17-Q7)</f>
        <v>-151.47502612330209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-937.00213225856169</v>
      </c>
      <c r="M12" s="17"/>
      <c r="N12" s="17"/>
      <c r="O12" s="10"/>
      <c r="P12" s="12"/>
      <c r="Q12" s="9">
        <f t="shared" ref="Q12:Q17" ca="1" si="6">SUM(L12:P12)</f>
        <v>-937.00213225856169</v>
      </c>
      <c r="R12" s="17">
        <f t="shared" ca="1" si="4"/>
        <v>-937.00213225856169</v>
      </c>
    </row>
    <row r="13" spans="1:19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-808.50226327409109</v>
      </c>
      <c r="J13" s="14">
        <f ca="1">-(J17-Q10)</f>
        <v>-880.23987043856778</v>
      </c>
      <c r="K13" s="13">
        <f ca="1">-(K17-Q11)</f>
        <v>-1629.9469012802292</v>
      </c>
      <c r="L13" s="14">
        <f t="shared" ca="1" si="5"/>
        <v>-3318.6890349928881</v>
      </c>
      <c r="M13" s="16">
        <f ca="1">-E15</f>
        <v>-643.11855766619738</v>
      </c>
      <c r="N13" s="16"/>
      <c r="O13" s="11"/>
      <c r="P13" s="13"/>
      <c r="Q13" s="14">
        <f t="shared" ca="1" si="6"/>
        <v>-3961.8075926590855</v>
      </c>
      <c r="R13" s="16">
        <f t="shared" ca="1" si="4"/>
        <v>-3961.8075926590855</v>
      </c>
    </row>
    <row r="14" spans="1:19">
      <c r="A14" s="18" t="s">
        <v>105</v>
      </c>
      <c r="B14" s="11"/>
      <c r="C14" s="14"/>
      <c r="D14" s="14"/>
      <c r="E14" s="14">
        <f ca="1">-(I13+J13)-K13</f>
        <v>3318.6890349928881</v>
      </c>
      <c r="F14" s="14"/>
      <c r="G14" s="14"/>
      <c r="H14" s="14"/>
      <c r="I14" s="14"/>
      <c r="J14" s="14"/>
      <c r="K14" s="13"/>
      <c r="L14" s="14">
        <f t="shared" ca="1" si="5"/>
        <v>3318.6890349928881</v>
      </c>
      <c r="M14" s="16"/>
      <c r="N14" s="16"/>
      <c r="O14" s="11"/>
      <c r="P14" s="13"/>
      <c r="Q14" s="14">
        <f t="shared" ca="1" si="6"/>
        <v>3318.6890349928881</v>
      </c>
      <c r="R14" s="16">
        <f t="shared" ca="1" si="4"/>
        <v>3318.6890349928881</v>
      </c>
    </row>
    <row r="15" spans="1:19">
      <c r="A15" s="18" t="s">
        <v>106</v>
      </c>
      <c r="B15" s="11"/>
      <c r="C15" s="14"/>
      <c r="D15" s="14"/>
      <c r="E15" s="14">
        <f ca="1">E17-E14</f>
        <v>643.11855766619738</v>
      </c>
      <c r="F15" s="14"/>
      <c r="G15" s="14"/>
      <c r="H15" s="14"/>
      <c r="I15" s="14"/>
      <c r="J15" s="14"/>
      <c r="K15" s="13"/>
      <c r="L15" s="14">
        <f t="shared" ca="1" si="5"/>
        <v>643.11855766619738</v>
      </c>
      <c r="M15" s="16"/>
      <c r="N15" s="16"/>
      <c r="O15" s="11"/>
      <c r="P15" s="13"/>
      <c r="Q15" s="14">
        <f t="shared" ca="1" si="6"/>
        <v>643.11855766619738</v>
      </c>
      <c r="R15" s="16">
        <f t="shared" ca="1" si="4"/>
        <v>643.11855766619738</v>
      </c>
    </row>
    <row r="16" spans="1:19">
      <c r="A16" s="30" t="s">
        <v>86</v>
      </c>
      <c r="B16" s="21">
        <f ca="1">Q2</f>
        <v>1730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1730</v>
      </c>
      <c r="M16" s="19"/>
      <c r="N16" s="19"/>
      <c r="O16" s="21"/>
      <c r="P16" s="27"/>
      <c r="Q16" s="22">
        <f t="shared" ca="1" si="6"/>
        <v>1730</v>
      </c>
      <c r="R16" s="19">
        <f t="shared" ca="1" si="4"/>
        <v>1730</v>
      </c>
    </row>
    <row r="17" spans="1:18">
      <c r="A17" s="29" t="s">
        <v>85</v>
      </c>
      <c r="B17" s="9">
        <f ca="1">B16</f>
        <v>1730</v>
      </c>
      <c r="C17" s="9">
        <f ca="1">SUM(C$2:C$11)</f>
        <v>2757.8746100432727</v>
      </c>
      <c r="D17" s="9">
        <f ca="1">SUM(D$2:D$11)</f>
        <v>111.09992955620409</v>
      </c>
      <c r="E17" s="9">
        <f ca="1">$Q$5/parameters!$B$4</f>
        <v>3961.8075926590855</v>
      </c>
      <c r="F17" s="9">
        <f t="shared" ref="F17:K17" ca="1" si="7">SUM(F$2:F$11)</f>
        <v>5349.253731343284</v>
      </c>
      <c r="G17" s="9">
        <f t="shared" ca="1" si="7"/>
        <v>3522.6750261233019</v>
      </c>
      <c r="H17" s="9">
        <f t="shared" ca="1" si="7"/>
        <v>8388.7999999999993</v>
      </c>
      <c r="I17" s="9">
        <f t="shared" ca="1" si="7"/>
        <v>5886.8622632740908</v>
      </c>
      <c r="J17" s="9">
        <f t="shared" ca="1" si="7"/>
        <v>6409.1977367259078</v>
      </c>
      <c r="K17" s="9">
        <f t="shared" ca="1" si="7"/>
        <v>15473.99786628734</v>
      </c>
      <c r="L17" s="17">
        <f t="shared" ca="1" si="5"/>
        <v>53591.568756012486</v>
      </c>
      <c r="M17" s="17"/>
      <c r="N17" s="17"/>
      <c r="O17" s="9"/>
      <c r="P17" s="14"/>
      <c r="Q17" s="11">
        <f t="shared" ca="1" si="6"/>
        <v>53591.568756012486</v>
      </c>
      <c r="R17" s="17">
        <f t="shared" ca="1" si="4"/>
        <v>53591.568756012486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0.86265989807201171</v>
      </c>
      <c r="J18" s="39">
        <f ca="1">I18</f>
        <v>0.86265989807201171</v>
      </c>
      <c r="K18" s="40">
        <f ca="1">1-(-K13)/K17</f>
        <v>0.89466543065568482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4171.047599879239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4171.047599879239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-4171.047599879239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4112.2388059701498</v>
      </c>
      <c r="G3" s="14">
        <f ca="1">Q3-O3-P3-F3</f>
        <v>170.50119402985001</v>
      </c>
      <c r="H3" s="14"/>
      <c r="I3" s="14"/>
      <c r="J3" s="14"/>
      <c r="K3" s="13"/>
      <c r="L3" s="16">
        <f t="shared" ca="1" si="0"/>
        <v>4282.74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71.819999999999993</v>
      </c>
      <c r="P3" s="13" cm="1">
        <f t="array" aca="1" ref="P3" ca="1">-INDIRECT("'data'!$I$" &amp; $A$1)*parameters!$B$13</f>
        <v>-209.79</v>
      </c>
      <c r="Q3" s="16" cm="1">
        <f t="array" aca="1" ref="Q3" ca="1">INDIRECT("'data'!$G$" &amp; $A$1)*parameters!$B$13</f>
        <v>4144.7699999999995</v>
      </c>
      <c r="R3" s="16">
        <f t="shared" ref="R3:R10" ca="1" si="2">SUM(L3:P3)</f>
        <v>4144.7699999999995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Q6/parameters!$B$5*20%</f>
        <v>1028.0597014925377</v>
      </c>
      <c r="G5" s="14">
        <f ca="1">Q7/parameters!$B$7-(G3+G4)</f>
        <v>3963.521794475897</v>
      </c>
      <c r="H5" s="14"/>
      <c r="I5" s="14"/>
      <c r="J5" s="14"/>
      <c r="K5" s="13"/>
      <c r="L5" s="16">
        <f t="shared" ca="1" si="0"/>
        <v>4991.5814959684349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2085.44</v>
      </c>
      <c r="P5" s="13" cm="1">
        <f t="array" aca="1" ref="P5" ca="1">-INDIRECT("'data'!$N$" &amp; $A$1)*parameters!$B$15</f>
        <v>-754.6</v>
      </c>
      <c r="Q5" s="16">
        <f ca="1">SUM(L5:P5)</f>
        <v>6322.4214959684341</v>
      </c>
      <c r="R5" s="16">
        <f t="shared" ca="1" si="2"/>
        <v>6322.4214959684341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4821.6000000000004</v>
      </c>
      <c r="I6" s="14"/>
      <c r="J6" s="14"/>
      <c r="K6" s="13"/>
      <c r="L6" s="16">
        <f t="shared" ca="1" si="0"/>
        <v>4821.6000000000004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4821.6000000000004</v>
      </c>
      <c r="R6" s="16">
        <f t="shared" ca="1" si="2"/>
        <v>4821.6000000000004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3956.2599999999998</v>
      </c>
      <c r="I7" s="14"/>
      <c r="J7" s="14"/>
      <c r="K7" s="13"/>
      <c r="L7" s="16">
        <f t="shared" ca="1" si="0"/>
        <v>3956.2599999999998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3956.2599999999998</v>
      </c>
      <c r="R7" s="16">
        <f t="shared" ca="1" si="2"/>
        <v>3956.2599999999998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5665.2813800881913</v>
      </c>
      <c r="J8" s="14">
        <f ca="1">Q10/J18</f>
        <v>2872.478619911808</v>
      </c>
      <c r="K8" s="13"/>
      <c r="L8" s="16">
        <f t="shared" ca="1" si="0"/>
        <v>8537.7599999999984</v>
      </c>
      <c r="M8" s="16"/>
      <c r="N8" s="16">
        <f t="shared" ca="1" si="3"/>
        <v>0</v>
      </c>
      <c r="O8" s="11" cm="1">
        <f t="array" aca="1" ref="O8" ca="1">INDIRECT("'data'!$R$" &amp; $A$1)*parameters!$B$15</f>
        <v>750.68</v>
      </c>
      <c r="P8" s="13" cm="1">
        <f t="array" aca="1" ref="P8" ca="1">-INDIRECT("'data'!$S$" &amp; $A$1)*parameters!$B$15</f>
        <v>-510.58</v>
      </c>
      <c r="Q8" s="16">
        <f ca="1">SUM(Q6:Q7)</f>
        <v>8777.86</v>
      </c>
      <c r="R8" s="16">
        <f t="shared" ca="1" si="2"/>
        <v>8777.8599999999988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5062.68</v>
      </c>
      <c r="L9" s="16">
        <f t="shared" ca="1" si="0"/>
        <v>5062.68</v>
      </c>
      <c r="M9" s="16"/>
      <c r="N9" s="16">
        <f t="shared" ca="1" si="3"/>
        <v>0</v>
      </c>
      <c r="O9" s="11" cm="1">
        <f t="array" aca="1" ref="O9" ca="1">INDIRECT("'data'!$U$" &amp; $A$1)*parameters!$B$15</f>
        <v>2537.2199999999998</v>
      </c>
      <c r="P9" s="13" cm="1">
        <f t="array" aca="1" ref="P9" ca="1">-INDIRECT("'data'!$V$" &amp; $A$1)*parameters!$B$15</f>
        <v>-2426.48</v>
      </c>
      <c r="Q9" s="16" cm="1">
        <f t="array" aca="1" ref="Q9" ca="1">INDIRECT("'data'!$T$" &amp; $A$1)*parameters!$B$15</f>
        <v>5173.42</v>
      </c>
      <c r="R9" s="16">
        <f t="shared" ca="1" si="2"/>
        <v>5173.42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7693.6091891891892</v>
      </c>
      <c r="L10" s="16">
        <f t="shared" ca="1" si="0"/>
        <v>7693.6091891891892</v>
      </c>
      <c r="M10" s="16"/>
      <c r="N10" s="16">
        <f t="shared" ca="1" si="3"/>
        <v>0</v>
      </c>
      <c r="O10" s="11" cm="1">
        <f t="array" aca="1" ref="O10" ca="1">INDIRECT("'data'!$X$" &amp; $A$1)*parameters!$B$15</f>
        <v>1817.8999999999999</v>
      </c>
      <c r="P10" s="13" cm="1">
        <f t="array" aca="1" ref="P10" ca="1">-INDIRECT("'data'!$Y$" &amp; $A$1)*parameters!$B$15</f>
        <v>-6888.42</v>
      </c>
      <c r="Q10" s="16" cm="1">
        <f t="array" aca="1" ref="Q10" ca="1">INDIRECT("'data'!$W$" &amp; $A$1)*parameters!$B$15</f>
        <v>2623.0891891891893</v>
      </c>
      <c r="R10" s="16">
        <f t="shared" ca="1" si="2"/>
        <v>2623.0891891891897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8512.8431027027</v>
      </c>
      <c r="N11" s="19"/>
      <c r="O11" s="21" cm="1">
        <f t="array" aca="1" ref="O11" ca="1">INDIRECT("'data'!$Z$" &amp; $A$1)*parameters!$B$15</f>
        <v>9667.7000000000007</v>
      </c>
      <c r="P11" s="27" cm="1">
        <f t="array" aca="1" ref="P11" ca="1">-INDIRECT("'data'!$AA$" &amp; $A$1)*parameters!$B$15</f>
        <v>-6805.12</v>
      </c>
      <c r="Q11" s="16">
        <f ca="1">K9*parameters!$B$10+K10*parameters!$B$11</f>
        <v>11375.423102702702</v>
      </c>
      <c r="R11" s="16">
        <f t="shared" ref="R11:R17" ca="1" si="4">SUM(L11:P11)</f>
        <v>11375.423102702702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-26.27759987923946</v>
      </c>
      <c r="D12" s="9">
        <f ca="1">-(D17-Q4)</f>
        <v>0</v>
      </c>
      <c r="E12" s="9">
        <f ca="1">-(E17-Q5)</f>
        <v>-781.4228815241886</v>
      </c>
      <c r="F12" s="9">
        <f ca="1">-(F17-Q6)</f>
        <v>-318.6985074626873</v>
      </c>
      <c r="G12" s="9">
        <f ca="1">-(G17-Q7)</f>
        <v>-177.76298850574722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-1304.1619773718626</v>
      </c>
      <c r="M12" s="17"/>
      <c r="N12" s="17"/>
      <c r="O12" s="10"/>
      <c r="P12" s="12"/>
      <c r="Q12" s="9">
        <f t="shared" ref="Q12:Q17" ca="1" si="6">SUM(L12:P12)</f>
        <v>-1304.1619773718626</v>
      </c>
      <c r="R12" s="17">
        <f t="shared" ca="1" si="4"/>
        <v>-1304.1619773718626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-491.86138008819125</v>
      </c>
      <c r="J13" s="14">
        <f ca="1">-(J17-Q10)</f>
        <v>-249.38943072261873</v>
      </c>
      <c r="K13" s="13">
        <f ca="1">-(K17-Q11)</f>
        <v>-1380.8660864864869</v>
      </c>
      <c r="L13" s="14">
        <f t="shared" ca="1" si="5"/>
        <v>-2122.1168972972969</v>
      </c>
      <c r="M13" s="16">
        <f ca="1">-E15</f>
        <v>-4981.7274801953263</v>
      </c>
      <c r="N13" s="16"/>
      <c r="O13" s="11"/>
      <c r="P13" s="13"/>
      <c r="Q13" s="14">
        <f t="shared" ca="1" si="6"/>
        <v>-7103.8443774926236</v>
      </c>
      <c r="R13" s="16">
        <f t="shared" ca="1" si="4"/>
        <v>-7103.8443774926236</v>
      </c>
    </row>
    <row r="14" spans="1:20">
      <c r="A14" s="18" t="s">
        <v>105</v>
      </c>
      <c r="B14" s="11"/>
      <c r="C14" s="14"/>
      <c r="D14" s="14"/>
      <c r="E14" s="14">
        <f ca="1">-(I13+J13)-K13</f>
        <v>2122.1168972972969</v>
      </c>
      <c r="F14" s="14"/>
      <c r="G14" s="14"/>
      <c r="H14" s="14"/>
      <c r="I14" s="14"/>
      <c r="J14" s="14"/>
      <c r="K14" s="13"/>
      <c r="L14" s="14">
        <f t="shared" ca="1" si="5"/>
        <v>2122.1168972972969</v>
      </c>
      <c r="M14" s="16"/>
      <c r="N14" s="16"/>
      <c r="O14" s="11"/>
      <c r="P14" s="13"/>
      <c r="Q14" s="14">
        <f t="shared" ca="1" si="6"/>
        <v>2122.1168972972969</v>
      </c>
      <c r="R14" s="16">
        <f t="shared" ca="1" si="4"/>
        <v>2122.1168972972969</v>
      </c>
    </row>
    <row r="15" spans="1:20">
      <c r="A15" s="18" t="s">
        <v>106</v>
      </c>
      <c r="B15" s="11"/>
      <c r="C15" s="14"/>
      <c r="D15" s="14"/>
      <c r="E15" s="14">
        <f ca="1">E17-E14</f>
        <v>4981.7274801953263</v>
      </c>
      <c r="F15" s="14"/>
      <c r="G15" s="14"/>
      <c r="H15" s="14"/>
      <c r="I15" s="14"/>
      <c r="J15" s="14"/>
      <c r="K15" s="13"/>
      <c r="L15" s="14">
        <f t="shared" ca="1" si="5"/>
        <v>4981.7274801953263</v>
      </c>
      <c r="M15" s="16"/>
      <c r="N15" s="16"/>
      <c r="O15" s="11"/>
      <c r="P15" s="13"/>
      <c r="Q15" s="14">
        <f t="shared" ca="1" si="6"/>
        <v>4981.7274801953263</v>
      </c>
      <c r="R15" s="16">
        <f t="shared" ca="1" si="4"/>
        <v>4981.7274801953263</v>
      </c>
    </row>
    <row r="16" spans="1:20">
      <c r="A16" s="30" t="s">
        <v>86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85</v>
      </c>
      <c r="B17" s="9">
        <f ca="1">B16</f>
        <v>0</v>
      </c>
      <c r="C17" s="9">
        <f ca="1">SUM(C$2:C$11)</f>
        <v>4171.047599879239</v>
      </c>
      <c r="D17" s="9">
        <f ca="1">SUM(D$2:D$11)</f>
        <v>0</v>
      </c>
      <c r="E17" s="9">
        <f ca="1">$Q$5/parameters!$B$4</f>
        <v>7103.8443774926227</v>
      </c>
      <c r="F17" s="9">
        <f t="shared" ref="F17:K17" ca="1" si="7">SUM(F$2:F$11)</f>
        <v>5140.2985074626877</v>
      </c>
      <c r="G17" s="9">
        <f t="shared" ca="1" si="7"/>
        <v>4134.022988505747</v>
      </c>
      <c r="H17" s="9">
        <f t="shared" ca="1" si="7"/>
        <v>8777.86</v>
      </c>
      <c r="I17" s="9">
        <f t="shared" ca="1" si="7"/>
        <v>5665.2813800881913</v>
      </c>
      <c r="J17" s="9">
        <f t="shared" ca="1" si="7"/>
        <v>2872.478619911808</v>
      </c>
      <c r="K17" s="9">
        <f t="shared" ca="1" si="7"/>
        <v>12756.289189189189</v>
      </c>
      <c r="L17" s="17">
        <f t="shared" ca="1" si="5"/>
        <v>50621.122662529495</v>
      </c>
      <c r="M17" s="17"/>
      <c r="N17" s="17"/>
      <c r="O17" s="9"/>
      <c r="P17" s="14"/>
      <c r="Q17" s="11">
        <f t="shared" ca="1" si="6"/>
        <v>50621.122662529495</v>
      </c>
      <c r="R17" s="17">
        <f t="shared" ca="1" si="4"/>
        <v>50621.122662529495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0.91317970863425413</v>
      </c>
      <c r="J18" s="39">
        <f ca="1">I18</f>
        <v>0.91317970863425413</v>
      </c>
      <c r="K18" s="40">
        <f ca="1">1-(-K13)/K17</f>
        <v>0.89175017389408551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S28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161.66851162322632</v>
      </c>
      <c r="D2" s="9">
        <f ca="1">Q4/parameters!$B$3</f>
        <v>4097.7357351313276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4259.4042467545542</v>
      </c>
      <c r="M2" s="17"/>
      <c r="N2" s="17">
        <f ca="1">Q2-(L2+O2+P2)</f>
        <v>0</v>
      </c>
      <c r="O2" s="11" cm="1">
        <f t="array" aca="1" ref="O2" ca="1">INDIRECT("'data'!$F$" &amp; $A$1)</f>
        <v>9.92</v>
      </c>
      <c r="P2" s="13">
        <f ca="1">IF(-(L2-Q2+O2)&lt;0, -(L2-Q2+O2), 0)</f>
        <v>-3897.3242467545542</v>
      </c>
      <c r="Q2" s="17" cm="1">
        <f t="array" aca="1" ref="Q2" ca="1">INDIRECT("'data'!$D$" &amp; $A$1)</f>
        <v>372</v>
      </c>
      <c r="R2" s="17">
        <f ca="1">SUM(L2:P2)</f>
        <v>372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153.79104477611941</v>
      </c>
      <c r="G3" s="14">
        <f ca="1">Q3-O3-P3-F3</f>
        <v>6.8589552238805993</v>
      </c>
      <c r="H3" s="14"/>
      <c r="I3" s="14"/>
      <c r="J3" s="14"/>
      <c r="K3" s="13"/>
      <c r="L3" s="16">
        <f t="shared" ca="1" si="0"/>
        <v>160.65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160.65</v>
      </c>
      <c r="R3" s="16">
        <f t="shared" ref="R3:R10" ca="1" si="2">SUM(L3:P3)</f>
        <v>160.65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4071.92</v>
      </c>
      <c r="H4" s="14"/>
      <c r="I4" s="14"/>
      <c r="J4" s="14"/>
      <c r="K4" s="13"/>
      <c r="L4" s="16">
        <f t="shared" ca="1" si="0"/>
        <v>4071.92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4071.92</v>
      </c>
      <c r="R4" s="16">
        <f t="shared" ca="1" si="2"/>
        <v>4071.92</v>
      </c>
      <c r="S4" s="7"/>
    </row>
    <row r="5" spans="1:19" ht="17">
      <c r="A5" s="15" t="s">
        <v>104</v>
      </c>
      <c r="B5" s="11"/>
      <c r="C5" s="14"/>
      <c r="D5" s="14"/>
      <c r="E5" s="14"/>
      <c r="F5" s="14">
        <f ca="1">Q6/parameters!$B$5*20%</f>
        <v>38.447761194029852</v>
      </c>
      <c r="G5" s="14">
        <f ca="1">Q7/parameters!$B$7-(G3+G4)</f>
        <v>3164.209550523246</v>
      </c>
      <c r="H5" s="14"/>
      <c r="I5" s="14"/>
      <c r="J5" s="14"/>
      <c r="K5" s="13"/>
      <c r="L5" s="16">
        <f t="shared" ca="1" si="0"/>
        <v>3202.6573117172757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295.95999999999998</v>
      </c>
      <c r="P5" s="13" cm="1">
        <f t="array" aca="1" ref="P5" ca="1">-INDIRECT("'data'!$N$" &amp; $A$1)*parameters!$B$15</f>
        <v>-1620.92</v>
      </c>
      <c r="Q5" s="16">
        <f ca="1">SUM(L5:P5)</f>
        <v>1877.6973117172756</v>
      </c>
      <c r="R5" s="16">
        <f t="shared" ca="1" si="2"/>
        <v>1877.6973117172756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180.32</v>
      </c>
      <c r="I6" s="14"/>
      <c r="J6" s="14"/>
      <c r="K6" s="13"/>
      <c r="L6" s="16">
        <f t="shared" ca="1" si="0"/>
        <v>180.32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180.32</v>
      </c>
      <c r="R6" s="16">
        <f t="shared" ca="1" si="2"/>
        <v>180.32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6931.54</v>
      </c>
      <c r="I7" s="14"/>
      <c r="J7" s="14"/>
      <c r="K7" s="13"/>
      <c r="L7" s="16">
        <f t="shared" ca="1" si="0"/>
        <v>6931.54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6931.54</v>
      </c>
      <c r="R7" s="16">
        <f t="shared" ca="1" si="2"/>
        <v>6931.54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7487.2000000000007</v>
      </c>
      <c r="J8" s="14">
        <f ca="1">Q10/J18</f>
        <v>1165.5946994085498</v>
      </c>
      <c r="K8" s="13"/>
      <c r="L8" s="16">
        <f t="shared" ca="1" si="0"/>
        <v>8652.7946994085505</v>
      </c>
      <c r="M8" s="16"/>
      <c r="N8" s="16">
        <f t="shared" ca="1" si="3"/>
        <v>-1516.4346994085508</v>
      </c>
      <c r="O8" s="11" cm="1">
        <f t="array" aca="1" ref="O8" ca="1">INDIRECT("'data'!$R$" &amp; $A$1)*parameters!$B$15</f>
        <v>1.96</v>
      </c>
      <c r="P8" s="13" cm="1">
        <f t="array" aca="1" ref="P8" ca="1">-INDIRECT("'data'!$S$" &amp; $A$1)*parameters!$B$15</f>
        <v>-26.46</v>
      </c>
      <c r="Q8" s="16">
        <f ca="1">SUM(Q6:Q7)</f>
        <v>7111.86</v>
      </c>
      <c r="R8" s="16">
        <f t="shared" ca="1" si="2"/>
        <v>7111.86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6805.12</v>
      </c>
      <c r="L9" s="16">
        <f t="shared" ca="1" si="0"/>
        <v>6805.12</v>
      </c>
      <c r="M9" s="16"/>
      <c r="N9" s="16">
        <f t="shared" ca="1" si="3"/>
        <v>0</v>
      </c>
      <c r="O9" s="11" cm="1">
        <f t="array" aca="1" ref="O9" ca="1">INDIRECT("'data'!$U$" &amp; $A$1)*parameters!$B$15</f>
        <v>338.09999999999997</v>
      </c>
      <c r="P9" s="13" cm="1">
        <f t="array" aca="1" ref="P9" ca="1">-INDIRECT("'data'!$V$" &amp; $A$1)*parameters!$B$15</f>
        <v>-30.38</v>
      </c>
      <c r="Q9" s="16" cm="1">
        <f t="array" aca="1" ref="Q9" ca="1">INDIRECT("'data'!$T$" &amp; $A$1)*parameters!$B$15</f>
        <v>7112.84</v>
      </c>
      <c r="R9" s="16">
        <f t="shared" ca="1" si="2"/>
        <v>7112.84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460.51496443812209</v>
      </c>
      <c r="L10" s="16">
        <f t="shared" ca="1" si="0"/>
        <v>460.51496443812209</v>
      </c>
      <c r="M10" s="16"/>
      <c r="N10" s="16">
        <f t="shared" ca="1" si="3"/>
        <v>0</v>
      </c>
      <c r="O10" s="11" cm="1">
        <f t="array" aca="1" ref="O10" ca="1">INDIRECT("'data'!$X$" &amp; $A$1)*parameters!$B$15</f>
        <v>761.46</v>
      </c>
      <c r="P10" s="13" cm="1">
        <f t="array" aca="1" ref="P10" ca="1">-INDIRECT("'data'!$Y$" &amp; $A$1)*parameters!$B$15</f>
        <v>-114.66</v>
      </c>
      <c r="Q10" s="16" cm="1">
        <f t="array" aca="1" ref="Q10" ca="1">INDIRECT("'data'!$W$" &amp; $A$1)*parameters!$B$15</f>
        <v>1107.3149644381222</v>
      </c>
      <c r="R10" s="16">
        <f t="shared" ca="1" si="2"/>
        <v>1107.3149644381222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8294.2156694167843</v>
      </c>
      <c r="N11" s="19"/>
      <c r="O11" s="21" cm="1">
        <f t="array" aca="1" ref="O11" ca="1">INDIRECT("'data'!$Z$" &amp; $A$1)*parameters!$B$15</f>
        <v>166.6</v>
      </c>
      <c r="P11" s="27" cm="1">
        <f t="array" aca="1" ref="P11" ca="1">-INDIRECT("'data'!$AA$" &amp; $A$1)*parameters!$B$15</f>
        <v>-1667.96</v>
      </c>
      <c r="Q11" s="16">
        <f ca="1">K9*parameters!$B$10+K10*parameters!$B$11</f>
        <v>6792.8556694167846</v>
      </c>
      <c r="R11" s="16">
        <f t="shared" ref="R11:R17" ca="1" si="4">SUM(L11:P11)</f>
        <v>6792.8556694167846</v>
      </c>
      <c r="S11" s="7"/>
    </row>
    <row r="12" spans="1:19">
      <c r="A12" s="29" t="s">
        <v>107</v>
      </c>
      <c r="B12" s="10">
        <f ca="1">-(B17-Q2)</f>
        <v>0</v>
      </c>
      <c r="C12" s="9">
        <f ca="1">-(C17-Q3)</f>
        <v>-1.0185116232263169</v>
      </c>
      <c r="D12" s="9">
        <f ca="1">-(D17-Q4)</f>
        <v>-25.815735131327529</v>
      </c>
      <c r="E12" s="9">
        <f ca="1">-(E17-Q5)</f>
        <v>-232.07494863921374</v>
      </c>
      <c r="F12" s="9">
        <f ca="1">-(F17-Q6)</f>
        <v>-11.918805970149265</v>
      </c>
      <c r="G12" s="9">
        <f ca="1">-(G17-Q7)</f>
        <v>-311.44850574712655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-582.27650711104343</v>
      </c>
      <c r="M12" s="17"/>
      <c r="N12" s="17"/>
      <c r="O12" s="10"/>
      <c r="P12" s="12"/>
      <c r="Q12" s="9">
        <f t="shared" ref="Q12:Q17" ca="1" si="6">SUM(L12:P12)</f>
        <v>-582.27650711104343</v>
      </c>
      <c r="R12" s="17">
        <f t="shared" ca="1" si="4"/>
        <v>-582.27650711104343</v>
      </c>
    </row>
    <row r="13" spans="1:19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-374.36000000000058</v>
      </c>
      <c r="J13" s="14">
        <f ca="1">-(J17-Q10)</f>
        <v>-58.279734970427626</v>
      </c>
      <c r="K13" s="13">
        <f ca="1">-(K17-Q11)</f>
        <v>-472.77929502133702</v>
      </c>
      <c r="L13" s="14">
        <f t="shared" ca="1" si="5"/>
        <v>-905.41902999176523</v>
      </c>
      <c r="M13" s="16">
        <f ca="1">-E15</f>
        <v>-1204.3532303647241</v>
      </c>
      <c r="N13" s="16"/>
      <c r="O13" s="11"/>
      <c r="P13" s="13"/>
      <c r="Q13" s="14">
        <f t="shared" ca="1" si="6"/>
        <v>-2109.7722603564894</v>
      </c>
      <c r="R13" s="16">
        <f t="shared" ca="1" si="4"/>
        <v>-2109.7722603564894</v>
      </c>
    </row>
    <row r="14" spans="1:19">
      <c r="A14" s="18" t="s">
        <v>105</v>
      </c>
      <c r="B14" s="11"/>
      <c r="C14" s="14"/>
      <c r="D14" s="14"/>
      <c r="E14" s="14">
        <f ca="1">-(I13+J13)-K13</f>
        <v>905.41902999176523</v>
      </c>
      <c r="F14" s="14"/>
      <c r="G14" s="14"/>
      <c r="H14" s="14"/>
      <c r="I14" s="14"/>
      <c r="J14" s="14"/>
      <c r="K14" s="13"/>
      <c r="L14" s="14">
        <f t="shared" ca="1" si="5"/>
        <v>905.41902999176523</v>
      </c>
      <c r="M14" s="16"/>
      <c r="N14" s="16"/>
      <c r="O14" s="11"/>
      <c r="P14" s="13"/>
      <c r="Q14" s="14">
        <f t="shared" ca="1" si="6"/>
        <v>905.41902999176523</v>
      </c>
      <c r="R14" s="16">
        <f t="shared" ca="1" si="4"/>
        <v>905.41902999176523</v>
      </c>
    </row>
    <row r="15" spans="1:19">
      <c r="A15" s="18" t="s">
        <v>106</v>
      </c>
      <c r="B15" s="11"/>
      <c r="C15" s="14"/>
      <c r="D15" s="14"/>
      <c r="E15" s="14">
        <f ca="1">E17-E14</f>
        <v>1204.3532303647241</v>
      </c>
      <c r="F15" s="14"/>
      <c r="G15" s="14"/>
      <c r="H15" s="14"/>
      <c r="I15" s="14"/>
      <c r="J15" s="14"/>
      <c r="K15" s="13"/>
      <c r="L15" s="14">
        <f t="shared" ca="1" si="5"/>
        <v>1204.3532303647241</v>
      </c>
      <c r="M15" s="16"/>
      <c r="N15" s="16"/>
      <c r="O15" s="11"/>
      <c r="P15" s="13"/>
      <c r="Q15" s="14">
        <f t="shared" ca="1" si="6"/>
        <v>1204.3532303647241</v>
      </c>
      <c r="R15" s="16">
        <f t="shared" ca="1" si="4"/>
        <v>1204.3532303647241</v>
      </c>
    </row>
    <row r="16" spans="1:19">
      <c r="A16" s="30" t="s">
        <v>86</v>
      </c>
      <c r="B16" s="21">
        <f ca="1">Q2</f>
        <v>372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372</v>
      </c>
      <c r="M16" s="19"/>
      <c r="N16" s="19"/>
      <c r="O16" s="21"/>
      <c r="P16" s="27"/>
      <c r="Q16" s="22">
        <f t="shared" ca="1" si="6"/>
        <v>372</v>
      </c>
      <c r="R16" s="19">
        <f t="shared" ca="1" si="4"/>
        <v>372</v>
      </c>
    </row>
    <row r="17" spans="1:18">
      <c r="A17" s="29" t="s">
        <v>85</v>
      </c>
      <c r="B17" s="9">
        <f ca="1">B16</f>
        <v>372</v>
      </c>
      <c r="C17" s="9">
        <f ca="1">SUM(C$2:C$11)</f>
        <v>161.66851162322632</v>
      </c>
      <c r="D17" s="9">
        <f ca="1">SUM(D$2:D$11)</f>
        <v>4097.7357351313276</v>
      </c>
      <c r="E17" s="9">
        <f ca="1">$Q$5/parameters!$B$4</f>
        <v>2109.7722603564894</v>
      </c>
      <c r="F17" s="9">
        <f t="shared" ref="F17:K17" ca="1" si="7">SUM(F$2:F$11)</f>
        <v>192.23880597014926</v>
      </c>
      <c r="G17" s="9">
        <f t="shared" ca="1" si="7"/>
        <v>7242.9885057471265</v>
      </c>
      <c r="H17" s="9">
        <f t="shared" ca="1" si="7"/>
        <v>7111.86</v>
      </c>
      <c r="I17" s="9">
        <f t="shared" ca="1" si="7"/>
        <v>7487.2000000000007</v>
      </c>
      <c r="J17" s="9">
        <f t="shared" ca="1" si="7"/>
        <v>1165.5946994085498</v>
      </c>
      <c r="K17" s="9">
        <f t="shared" ca="1" si="7"/>
        <v>7265.6349644381216</v>
      </c>
      <c r="L17" s="17">
        <f t="shared" ca="1" si="5"/>
        <v>37206.693482674993</v>
      </c>
      <c r="M17" s="17"/>
      <c r="N17" s="17"/>
      <c r="O17" s="9"/>
      <c r="P17" s="14"/>
      <c r="Q17" s="11">
        <f t="shared" ca="1" si="6"/>
        <v>37206.693482674993</v>
      </c>
      <c r="R17" s="17">
        <f t="shared" ca="1" si="4"/>
        <v>37206.693482674993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0.95</v>
      </c>
      <c r="J18" s="44">
        <f>I18</f>
        <v>0.95</v>
      </c>
      <c r="K18" s="40">
        <f ca="1">1-(-K13)/K17</f>
        <v>0.93492939057145452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4211.1064477111813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4211.1064477111813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-4211.1064477111813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202.23</v>
      </c>
      <c r="H3" s="14"/>
      <c r="I3" s="14"/>
      <c r="J3" s="14"/>
      <c r="K3" s="13"/>
      <c r="L3" s="16">
        <f t="shared" ca="1" si="0"/>
        <v>202.23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-202.23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7698.7254663160265</v>
      </c>
      <c r="H4" s="14"/>
      <c r="I4" s="14"/>
      <c r="J4" s="14"/>
      <c r="K4" s="13"/>
      <c r="L4" s="16">
        <f t="shared" ca="1" si="0"/>
        <v>7698.7254663160265</v>
      </c>
      <c r="M4" s="16"/>
      <c r="N4" s="16">
        <f t="shared" ca="1" si="1"/>
        <v>0</v>
      </c>
      <c r="O4" s="11" cm="1">
        <f t="array" aca="1" ref="O4" ca="1">INDIRECT("'data'!$K$" &amp; $A$1)*parameters!$B$14</f>
        <v>25.76</v>
      </c>
      <c r="P4" s="13" cm="1">
        <f t="array" aca="1" ref="P4" ca="1">-INDIRECT("'data'!$L$" &amp; $A$1)*parameters!$B$14</f>
        <v>-3539.908989225426</v>
      </c>
      <c r="Q4" s="16" cm="1">
        <f t="array" aca="1" ref="Q4" ca="1">INDIRECT("'data'!$J$" &amp; $A$1)*parameters!$B$14</f>
        <v>4184.5764770906007</v>
      </c>
      <c r="R4" s="16">
        <f t="shared" ca="1" si="2"/>
        <v>4184.5764770906007</v>
      </c>
      <c r="S4" s="7"/>
    </row>
    <row r="5" spans="1:22" ht="17">
      <c r="A5" s="15" t="s">
        <v>104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486.90242292117455</v>
      </c>
      <c r="H5" s="14"/>
      <c r="I5" s="14"/>
      <c r="J5" s="14"/>
      <c r="K5" s="13"/>
      <c r="L5" s="16">
        <f t="shared" ca="1" si="0"/>
        <v>486.90242292117455</v>
      </c>
      <c r="M5" s="16"/>
      <c r="N5" s="49">
        <f ca="1">IF($E$14*parameters!$B$4-$P$5-$L$5-$O$5&lt;0, 0, $E$14*parameters!$B$4-$P$5-$L$5-$O$5)</f>
        <v>1380.6775518213585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1867.5799747425331</v>
      </c>
      <c r="R5" s="16">
        <f t="shared" ca="1" si="2"/>
        <v>1867.5799747425331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8027.18</v>
      </c>
      <c r="I7" s="14"/>
      <c r="J7" s="14"/>
      <c r="K7" s="13"/>
      <c r="L7" s="16">
        <f t="shared" ca="1" si="0"/>
        <v>8027.18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8027.18</v>
      </c>
      <c r="R7" s="16">
        <f t="shared" ca="1" si="2"/>
        <v>8027.18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4978.2110503597123</v>
      </c>
      <c r="J8" s="14">
        <f ca="1">Q10/J18</f>
        <v>3224.388949640288</v>
      </c>
      <c r="K8" s="13"/>
      <c r="L8" s="16">
        <f t="shared" ca="1" si="0"/>
        <v>8202.6</v>
      </c>
      <c r="M8" s="16"/>
      <c r="N8" s="16">
        <f t="shared" ca="1" si="3"/>
        <v>0</v>
      </c>
      <c r="O8" s="11" cm="1">
        <f t="array" aca="1" ref="O8" ca="1">INDIRECT("'data'!$R$" &amp; $A$1)*parameters!$B$15</f>
        <v>161.69999999999999</v>
      </c>
      <c r="P8" s="13" cm="1">
        <f t="array" aca="1" ref="P8" ca="1">-INDIRECT("'data'!$S$" &amp; $A$1)*parameters!$B$15</f>
        <v>-337.12</v>
      </c>
      <c r="Q8" s="16">
        <f ca="1">SUM(Q6:Q7)</f>
        <v>8027.18</v>
      </c>
      <c r="R8" s="16">
        <f t="shared" ca="1" si="2"/>
        <v>8027.1800000000012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5219.4799999999996</v>
      </c>
      <c r="L9" s="16">
        <f t="shared" ca="1" si="0"/>
        <v>5219.4799999999996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965.3</v>
      </c>
      <c r="P9" s="13" cm="1">
        <f t="array" aca="1" ref="P9" ca="1">-INDIRECT("'data'!$V$" &amp; $A$1)*parameters!$B$15</f>
        <v>-1745.3799999999999</v>
      </c>
      <c r="Q9" s="16" cm="1">
        <f t="array" aca="1" ref="Q9" ca="1">INDIRECT("'data'!$T$" &amp; $A$1)*parameters!$B$15</f>
        <v>4439.3999999999996</v>
      </c>
      <c r="R9" s="16">
        <f t="shared" ca="1" si="2"/>
        <v>4439.3999999999996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6410.2608534850642</v>
      </c>
      <c r="L10" s="16">
        <f t="shared" ca="1" si="0"/>
        <v>6410.2608534850642</v>
      </c>
      <c r="M10" s="16"/>
      <c r="N10" s="16">
        <f t="shared" ca="1" si="3"/>
        <v>0</v>
      </c>
      <c r="O10" s="11" cm="1">
        <f t="array" aca="1" ref="O10" ca="1">INDIRECT("'data'!$X$" &amp; $A$1)*parameters!$B$15</f>
        <v>895.72</v>
      </c>
      <c r="P10" s="13" cm="1">
        <f t="array" aca="1" ref="P10" ca="1">-INDIRECT("'data'!$Y$" &amp; $A$1)*parameters!$B$15</f>
        <v>-4430.58</v>
      </c>
      <c r="Q10" s="16" cm="1">
        <f t="array" aca="1" ref="Q10" ca="1">INDIRECT("'data'!$W$" &amp; $A$1)*parameters!$B$15</f>
        <v>2875.4008534850641</v>
      </c>
      <c r="R10" s="16">
        <f t="shared" ca="1" si="2"/>
        <v>2875.4008534850645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14075.515533997153</v>
      </c>
      <c r="N11" s="19"/>
      <c r="O11" s="21" cm="1">
        <f t="array" aca="1" ref="O11" ca="1">INDIRECT("'data'!$Z$" &amp; $A$1)*parameters!$B$15</f>
        <v>335.15999999999997</v>
      </c>
      <c r="P11" s="27" cm="1">
        <f t="array" aca="1" ref="P11" ca="1">-INDIRECT("'data'!$AA$" &amp; $A$1)*parameters!$B$15</f>
        <v>-3991.54</v>
      </c>
      <c r="Q11" s="16">
        <f ca="1">K9*parameters!$B$10+K10*parameters!$B$11</f>
        <v>10419.135533997154</v>
      </c>
      <c r="R11" s="16">
        <f t="shared" ref="R11:R17" ca="1" si="4">SUM(L11:P11)</f>
        <v>10419.135533997152</v>
      </c>
      <c r="S11" s="7"/>
    </row>
    <row r="12" spans="1:22">
      <c r="A12" s="29" t="s">
        <v>107</v>
      </c>
      <c r="B12" s="10">
        <f ca="1">-(B17-Q2)</f>
        <v>0</v>
      </c>
      <c r="C12" s="9">
        <f ca="1">-(C17-Q3)</f>
        <v>0</v>
      </c>
      <c r="D12" s="9">
        <f ca="1">-(D17-Q4)</f>
        <v>-26.529970620580571</v>
      </c>
      <c r="E12" s="9">
        <f ca="1">-(E17-Q5)</f>
        <v>-230.82449126031315</v>
      </c>
      <c r="F12" s="9">
        <f ca="1">-(F17-Q6)</f>
        <v>0</v>
      </c>
      <c r="G12" s="9">
        <f ca="1">-(G17-Q7)</f>
        <v>-360.67788923720036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-618.03235111809408</v>
      </c>
      <c r="M12" s="17"/>
      <c r="N12" s="17"/>
      <c r="O12" s="10"/>
      <c r="P12" s="12"/>
      <c r="Q12" s="9">
        <f t="shared" ref="Q12:Q17" ca="1" si="6">SUM(L12:P12)</f>
        <v>-618.03235111809408</v>
      </c>
      <c r="R12" s="17">
        <f t="shared" ca="1" si="4"/>
        <v>-618.03235111809408</v>
      </c>
    </row>
    <row r="13" spans="1:22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-538.81105035971268</v>
      </c>
      <c r="J13" s="14">
        <f ca="1">-(J17-Q10)</f>
        <v>-348.98809615522396</v>
      </c>
      <c r="K13" s="13">
        <f ca="1">-(K17-Q11)</f>
        <v>-1210.6053194879096</v>
      </c>
      <c r="L13" s="14">
        <f t="shared" ca="1" si="5"/>
        <v>-2098.4044660028462</v>
      </c>
      <c r="M13" s="16">
        <f ca="1">-E15</f>
        <v>0</v>
      </c>
      <c r="N13" s="16"/>
      <c r="O13" s="11"/>
      <c r="P13" s="13"/>
      <c r="Q13" s="14">
        <f t="shared" ca="1" si="6"/>
        <v>-2098.4044660028462</v>
      </c>
      <c r="R13" s="16">
        <f t="shared" ca="1" si="4"/>
        <v>-2098.4044660028462</v>
      </c>
    </row>
    <row r="14" spans="1:22">
      <c r="A14" s="18" t="s">
        <v>105</v>
      </c>
      <c r="B14" s="11"/>
      <c r="C14" s="14"/>
      <c r="D14" s="14"/>
      <c r="E14" s="14">
        <f ca="1">-(I13+J13)-K13</f>
        <v>2098.4044660028462</v>
      </c>
      <c r="F14" s="14"/>
      <c r="G14" s="14"/>
      <c r="H14" s="14"/>
      <c r="I14" s="14"/>
      <c r="J14" s="14"/>
      <c r="K14" s="13"/>
      <c r="L14" s="14">
        <f t="shared" ca="1" si="5"/>
        <v>2098.4044660028462</v>
      </c>
      <c r="M14" s="16"/>
      <c r="N14" s="16"/>
      <c r="O14" s="11"/>
      <c r="P14" s="13"/>
      <c r="Q14" s="14">
        <f t="shared" ca="1" si="6"/>
        <v>2098.4044660028462</v>
      </c>
      <c r="R14" s="16">
        <f t="shared" ca="1" si="4"/>
        <v>2098.4044660028462</v>
      </c>
    </row>
    <row r="15" spans="1:22">
      <c r="A15" s="18" t="s">
        <v>106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2">
      <c r="A16" s="30" t="s">
        <v>86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85</v>
      </c>
      <c r="B17" s="9">
        <f ca="1">B16</f>
        <v>0</v>
      </c>
      <c r="C17" s="9">
        <f ca="1">SUM(C$2:C$11)</f>
        <v>0</v>
      </c>
      <c r="D17" s="9">
        <f ca="1">SUM(D$2:D$11)</f>
        <v>4211.1064477111813</v>
      </c>
      <c r="E17" s="9">
        <f ca="1">$Q$5/parameters!$B$4</f>
        <v>2098.4044660028462</v>
      </c>
      <c r="F17" s="9">
        <f t="shared" ref="F17:K17" ca="1" si="7">SUM(F$2:F$11)</f>
        <v>0</v>
      </c>
      <c r="G17" s="9">
        <f t="shared" ca="1" si="7"/>
        <v>8387.8578892372007</v>
      </c>
      <c r="H17" s="9">
        <f t="shared" ca="1" si="7"/>
        <v>8027.18</v>
      </c>
      <c r="I17" s="9">
        <f t="shared" ca="1" si="7"/>
        <v>4978.2110503597123</v>
      </c>
      <c r="J17" s="9">
        <f t="shared" ca="1" si="7"/>
        <v>3224.388949640288</v>
      </c>
      <c r="K17" s="9">
        <f t="shared" ca="1" si="7"/>
        <v>11629.740853485064</v>
      </c>
      <c r="L17" s="17">
        <f t="shared" ca="1" si="5"/>
        <v>42556.889656436295</v>
      </c>
      <c r="M17" s="17"/>
      <c r="N17" s="17"/>
      <c r="O17" s="9"/>
      <c r="P17" s="14"/>
      <c r="Q17" s="11">
        <f t="shared" ca="1" si="6"/>
        <v>42556.889656436295</v>
      </c>
      <c r="R17" s="17">
        <f t="shared" ca="1" si="4"/>
        <v>42556.889656436295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0.89176612945713107</v>
      </c>
      <c r="J18" s="39">
        <f ca="1">I18</f>
        <v>0.89176612945713107</v>
      </c>
      <c r="K18" s="40">
        <f ca="1">1-(-K13)/K17</f>
        <v>0.89590435980135108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5468.1996578444196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5468.1996578444196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-4571.1996578444196</v>
      </c>
      <c r="Q2" s="17" cm="1">
        <f t="array" aca="1" ref="Q2" ca="1">INDIRECT("'data'!$D$" &amp; $A$1)</f>
        <v>897</v>
      </c>
      <c r="R2" s="17">
        <f ca="1">SUM(L2:P2)</f>
        <v>897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5401.2626865671646</v>
      </c>
      <c r="G3" s="14">
        <f ca="1">Q3-O3-P3-F3</f>
        <v>54.222313432835108</v>
      </c>
      <c r="H3" s="14"/>
      <c r="I3" s="14"/>
      <c r="J3" s="14"/>
      <c r="K3" s="13"/>
      <c r="L3" s="16">
        <f t="shared" ca="1" si="0"/>
        <v>5455.4849999999997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-21.734999999999999</v>
      </c>
      <c r="Q3" s="16" cm="1">
        <f t="array" aca="1" ref="Q3" ca="1">INDIRECT("'data'!$G$" &amp; $A$1)*parameters!$B$13</f>
        <v>5433.75</v>
      </c>
      <c r="R3" s="16">
        <f t="shared" ref="R3:R10" ca="1" si="2">SUM(L3:P3)</f>
        <v>5433.75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157.32</v>
      </c>
      <c r="H4" s="14"/>
      <c r="I4" s="14"/>
      <c r="J4" s="14"/>
      <c r="K4" s="13"/>
      <c r="L4" s="16">
        <f t="shared" ca="1" si="0"/>
        <v>157.32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-157.32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Q6/parameters!$B$5*23%</f>
        <v>1613.3641791044779</v>
      </c>
      <c r="G5" s="14">
        <f ca="1">Q7/parameters!$B$7-(G3+G4)</f>
        <v>514.49739398618271</v>
      </c>
      <c r="H5" s="14"/>
      <c r="I5" s="14"/>
      <c r="J5" s="14"/>
      <c r="K5" s="13"/>
      <c r="L5" s="16">
        <f t="shared" ca="1" si="0"/>
        <v>2127.8615730906604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1112.3</v>
      </c>
      <c r="P5" s="13" cm="1">
        <f t="array" aca="1" ref="P5" ca="1">-INDIRECT("'data'!$N$" &amp; $A$1)*parameters!$B$15</f>
        <v>-1129.94</v>
      </c>
      <c r="Q5" s="16">
        <f ca="1">SUM(L5:P5)</f>
        <v>2110.2215730906605</v>
      </c>
      <c r="R5" s="16">
        <f t="shared" ca="1" si="2"/>
        <v>2110.2215730906605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6579.72</v>
      </c>
      <c r="I6" s="14"/>
      <c r="J6" s="14"/>
      <c r="K6" s="13"/>
      <c r="L6" s="16">
        <f t="shared" ca="1" si="0"/>
        <v>6579.72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6579.72</v>
      </c>
      <c r="R6" s="16">
        <f t="shared" ca="1" si="2"/>
        <v>6579.72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694.81999999999994</v>
      </c>
      <c r="I7" s="14"/>
      <c r="J7" s="14"/>
      <c r="K7" s="13"/>
      <c r="L7" s="16">
        <f t="shared" ca="1" si="0"/>
        <v>694.81999999999994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694.81999999999994</v>
      </c>
      <c r="R7" s="16">
        <f t="shared" ca="1" si="2"/>
        <v>694.81999999999994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1990.5818444416109</v>
      </c>
      <c r="J8" s="14">
        <f ca="1">Q10/J18</f>
        <v>5170.2781555583906</v>
      </c>
      <c r="K8" s="13"/>
      <c r="L8" s="16">
        <f t="shared" ca="1" si="0"/>
        <v>7160.8600000000015</v>
      </c>
      <c r="M8" s="16"/>
      <c r="N8" s="16">
        <f t="shared" ca="1" si="3"/>
        <v>0</v>
      </c>
      <c r="O8" s="11" cm="1">
        <f t="array" aca="1" ref="O8" ca="1">INDIRECT("'data'!$R$" &amp; $A$1)*parameters!$B$15</f>
        <v>202.85999999999999</v>
      </c>
      <c r="P8" s="13" cm="1">
        <f t="array" aca="1" ref="P8" ca="1">-INDIRECT("'data'!$S$" &amp; $A$1)*parameters!$B$15</f>
        <v>-89.179999999999993</v>
      </c>
      <c r="Q8" s="16">
        <f ca="1">SUM(Q6:Q7)</f>
        <v>7274.54</v>
      </c>
      <c r="R8" s="16">
        <f t="shared" ca="1" si="2"/>
        <v>7274.5400000000009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2015.86</v>
      </c>
      <c r="L9" s="16">
        <f t="shared" ca="1" si="0"/>
        <v>2015.86</v>
      </c>
      <c r="M9" s="16"/>
      <c r="N9" s="16">
        <f t="shared" ca="1" si="3"/>
        <v>0</v>
      </c>
      <c r="O9" s="11" cm="1">
        <f t="array" aca="1" ref="O9" ca="1">INDIRECT("'data'!$U$" &amp; $A$1)*parameters!$B$15</f>
        <v>1406.3</v>
      </c>
      <c r="P9" s="13" cm="1">
        <f t="array" aca="1" ref="P9" ca="1">-INDIRECT("'data'!$V$" &amp; $A$1)*parameters!$B$15</f>
        <v>-1489.6</v>
      </c>
      <c r="Q9" s="16" cm="1">
        <f t="array" aca="1" ref="Q9" ca="1">INDIRECT("'data'!$T$" &amp; $A$1)*parameters!$B$15</f>
        <v>1932.56</v>
      </c>
      <c r="R9" s="16">
        <f t="shared" ca="1" si="2"/>
        <v>1932.56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2439.2339402560447</v>
      </c>
      <c r="L10" s="16">
        <f t="shared" ca="1" si="0"/>
        <v>2439.2339402560447</v>
      </c>
      <c r="M10" s="16"/>
      <c r="N10" s="16">
        <f t="shared" ca="1" si="3"/>
        <v>0</v>
      </c>
      <c r="O10" s="11" cm="1">
        <f t="array" aca="1" ref="O10" ca="1">INDIRECT("'data'!$X$" &amp; $A$1)*parameters!$B$15</f>
        <v>4540.34</v>
      </c>
      <c r="P10" s="13" cm="1">
        <f t="array" aca="1" ref="P10" ca="1">-INDIRECT("'data'!$Y$" &amp; $A$1)*parameters!$B$15</f>
        <v>-1960</v>
      </c>
      <c r="Q10" s="16" cm="1">
        <f t="array" aca="1" ref="Q10" ca="1">INDIRECT("'data'!$W$" &amp; $A$1)*parameters!$B$15</f>
        <v>5019.5739402560448</v>
      </c>
      <c r="R10" s="16">
        <f t="shared" ca="1" si="2"/>
        <v>5019.5739402560448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4374.8495886201981</v>
      </c>
      <c r="N11" s="19"/>
      <c r="O11" s="21" cm="1">
        <f t="array" aca="1" ref="O11" ca="1">INDIRECT("'data'!$Z$" &amp; $A$1)*parameters!$B$15</f>
        <v>3897.46</v>
      </c>
      <c r="P11" s="27" cm="1">
        <f t="array" aca="1" ref="P11" ca="1">-INDIRECT("'data'!$AA$" &amp; $A$1)*parameters!$B$15</f>
        <v>-4279.66</v>
      </c>
      <c r="Q11" s="16">
        <f ca="1">K9*parameters!$B$10+K10*parameters!$B$11</f>
        <v>3992.6495886201983</v>
      </c>
      <c r="R11" s="16">
        <f t="shared" ref="R11:R17" ca="1" si="4">SUM(L11:P11)</f>
        <v>3992.6495886201992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-34.449657844419562</v>
      </c>
      <c r="D12" s="9">
        <f ca="1">-(D17-Q4)</f>
        <v>0</v>
      </c>
      <c r="E12" s="9">
        <f ca="1">-(E17-Q5)</f>
        <v>-260.8139022921041</v>
      </c>
      <c r="F12" s="9">
        <f ca="1">-(F17-Q6)</f>
        <v>-434.90686567164175</v>
      </c>
      <c r="G12" s="9">
        <f ca="1">-(G17-Q7)</f>
        <v>-31.219707419017823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-761.39013322718324</v>
      </c>
      <c r="M12" s="17"/>
      <c r="N12" s="17"/>
      <c r="O12" s="10"/>
      <c r="P12" s="12"/>
      <c r="Q12" s="9">
        <f t="shared" ref="Q12:Q17" ca="1" si="6">SUM(L12:P12)</f>
        <v>-761.39013322718324</v>
      </c>
      <c r="R12" s="17">
        <f t="shared" ca="1" si="4"/>
        <v>-761.39013322718324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-58.021844441610938</v>
      </c>
      <c r="J13" s="14">
        <f ca="1">-(J17-Q10)</f>
        <v>-150.7042153023458</v>
      </c>
      <c r="K13" s="13">
        <f ca="1">-(K17-Q11)</f>
        <v>-462.44435163584603</v>
      </c>
      <c r="L13" s="14">
        <f t="shared" ca="1" si="5"/>
        <v>-671.17041137980277</v>
      </c>
      <c r="M13" s="16">
        <f ca="1">-E15</f>
        <v>-1699.8650640029618</v>
      </c>
      <c r="N13" s="16"/>
      <c r="O13" s="11"/>
      <c r="P13" s="13"/>
      <c r="Q13" s="14">
        <f t="shared" ca="1" si="6"/>
        <v>-2371.0354753827646</v>
      </c>
      <c r="R13" s="16">
        <f t="shared" ca="1" si="4"/>
        <v>-2371.0354753827646</v>
      </c>
    </row>
    <row r="14" spans="1:20">
      <c r="A14" s="18" t="s">
        <v>105</v>
      </c>
      <c r="B14" s="11"/>
      <c r="C14" s="14"/>
      <c r="D14" s="14"/>
      <c r="E14" s="14">
        <f ca="1">-(I13+J13)-K13</f>
        <v>671.17041137980277</v>
      </c>
      <c r="F14" s="14"/>
      <c r="G14" s="14"/>
      <c r="H14" s="14"/>
      <c r="I14" s="14"/>
      <c r="J14" s="14"/>
      <c r="K14" s="13"/>
      <c r="L14" s="14">
        <f t="shared" ca="1" si="5"/>
        <v>671.17041137980277</v>
      </c>
      <c r="M14" s="16"/>
      <c r="N14" s="16"/>
      <c r="O14" s="11"/>
      <c r="P14" s="13"/>
      <c r="Q14" s="14">
        <f t="shared" ca="1" si="6"/>
        <v>671.17041137980277</v>
      </c>
      <c r="R14" s="16">
        <f t="shared" ca="1" si="4"/>
        <v>671.17041137980277</v>
      </c>
    </row>
    <row r="15" spans="1:20">
      <c r="A15" s="18" t="s">
        <v>106</v>
      </c>
      <c r="B15" s="11"/>
      <c r="C15" s="14"/>
      <c r="D15" s="14"/>
      <c r="E15" s="14">
        <f ca="1">E17-E14</f>
        <v>1699.8650640029618</v>
      </c>
      <c r="F15" s="14"/>
      <c r="G15" s="14"/>
      <c r="H15" s="14"/>
      <c r="I15" s="14"/>
      <c r="J15" s="14"/>
      <c r="K15" s="13"/>
      <c r="L15" s="14">
        <f t="shared" ca="1" si="5"/>
        <v>1699.8650640029618</v>
      </c>
      <c r="M15" s="16"/>
      <c r="N15" s="16"/>
      <c r="O15" s="11"/>
      <c r="P15" s="13"/>
      <c r="Q15" s="14">
        <f t="shared" ca="1" si="6"/>
        <v>1699.8650640029618</v>
      </c>
      <c r="R15" s="16">
        <f t="shared" ca="1" si="4"/>
        <v>1699.8650640029618</v>
      </c>
    </row>
    <row r="16" spans="1:20">
      <c r="A16" s="30" t="s">
        <v>86</v>
      </c>
      <c r="B16" s="21">
        <f ca="1">Q2</f>
        <v>897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897</v>
      </c>
      <c r="M16" s="19"/>
      <c r="N16" s="19"/>
      <c r="O16" s="21"/>
      <c r="P16" s="27"/>
      <c r="Q16" s="22">
        <f t="shared" ca="1" si="6"/>
        <v>897</v>
      </c>
      <c r="R16" s="19">
        <f t="shared" ca="1" si="4"/>
        <v>897</v>
      </c>
    </row>
    <row r="17" spans="1:18">
      <c r="A17" s="29" t="s">
        <v>85</v>
      </c>
      <c r="B17" s="9">
        <f ca="1">B16</f>
        <v>897</v>
      </c>
      <c r="C17" s="9">
        <f ca="1">SUM(C$2:C$11)</f>
        <v>5468.1996578444196</v>
      </c>
      <c r="D17" s="9">
        <f ca="1">SUM(D$2:D$11)</f>
        <v>0</v>
      </c>
      <c r="E17" s="9">
        <f ca="1">$Q$5/parameters!$B$4</f>
        <v>2371.0354753827646</v>
      </c>
      <c r="F17" s="9">
        <f t="shared" ref="F17:K17" ca="1" si="7">SUM(F$2:F$11)</f>
        <v>7014.626865671642</v>
      </c>
      <c r="G17" s="9">
        <f t="shared" ca="1" si="7"/>
        <v>726.03970741901776</v>
      </c>
      <c r="H17" s="9">
        <f t="shared" ca="1" si="7"/>
        <v>7274.54</v>
      </c>
      <c r="I17" s="9">
        <f t="shared" ca="1" si="7"/>
        <v>1990.5818444416109</v>
      </c>
      <c r="J17" s="9">
        <f t="shared" ca="1" si="7"/>
        <v>5170.2781555583906</v>
      </c>
      <c r="K17" s="9">
        <f t="shared" ca="1" si="7"/>
        <v>4455.0939402560443</v>
      </c>
      <c r="L17" s="17">
        <f t="shared" ca="1" si="5"/>
        <v>35367.395646573888</v>
      </c>
      <c r="M17" s="17"/>
      <c r="N17" s="17"/>
      <c r="O17" s="9"/>
      <c r="P17" s="14"/>
      <c r="Q17" s="11">
        <f t="shared" ca="1" si="6"/>
        <v>35367.395646573888</v>
      </c>
      <c r="R17" s="17">
        <f t="shared" ca="1" si="4"/>
        <v>35367.395646573888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0.97085181671699261</v>
      </c>
      <c r="J18" s="39">
        <f ca="1">I18</f>
        <v>0.97085181671699261</v>
      </c>
      <c r="K18" s="40">
        <f ca="1">1-(-K13)/K17</f>
        <v>0.89619874286887247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4581.8758176512029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4581.8758176512029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-4581.8758176512029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4667.4850746268658</v>
      </c>
      <c r="G3" s="14">
        <f ca="1">Q3-O3-P3-F3</f>
        <v>45.229925373134392</v>
      </c>
      <c r="H3" s="14"/>
      <c r="I3" s="14"/>
      <c r="J3" s="14"/>
      <c r="K3" s="13"/>
      <c r="L3" s="16">
        <f t="shared" ca="1" si="0"/>
        <v>4712.7150000000001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79.38</v>
      </c>
      <c r="P3" s="13" cm="1">
        <f t="array" aca="1" ref="P3" ca="1">-INDIRECT("'data'!$I$" &amp; $A$1)*parameters!$B$13</f>
        <v>-239.08499999999998</v>
      </c>
      <c r="Q3" s="16" cm="1">
        <f t="array" aca="1" ref="Q3" ca="1">INDIRECT("'data'!$G$" &amp; $A$1)*parameters!$B$13</f>
        <v>4553.01</v>
      </c>
      <c r="R3" s="16">
        <f t="shared" ref="R3:R10" ca="1" si="2">SUM(L3:P3)</f>
        <v>4553.01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107.63999999999999</v>
      </c>
      <c r="H4" s="14"/>
      <c r="I4" s="14"/>
      <c r="J4" s="14"/>
      <c r="K4" s="13"/>
      <c r="L4" s="16">
        <f t="shared" ca="1" si="0"/>
        <v>107.63999999999999</v>
      </c>
      <c r="M4" s="16"/>
      <c r="N4" s="16">
        <f t="shared" ca="1" si="1"/>
        <v>0</v>
      </c>
      <c r="O4" s="11" cm="1">
        <f t="array" aca="1" ref="O4" ca="1">INDIRECT("'data'!$K$" &amp; $A$1)*parameters!$B$14</f>
        <v>207.92000000000002</v>
      </c>
      <c r="P4" s="13" cm="1">
        <f t="array" aca="1" ref="P4" ca="1">-INDIRECT("'data'!$L$" &amp; $A$1)*parameters!$B$14</f>
        <v>-315.56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Q6/parameters!$B$5*21%</f>
        <v>1240.7238805970148</v>
      </c>
      <c r="G5" s="14">
        <f ca="1">Q7/parameters!$B$7-(G3+G4)</f>
        <v>2001.6964278139089</v>
      </c>
      <c r="H5" s="14"/>
      <c r="I5" s="14"/>
      <c r="J5" s="14"/>
      <c r="K5" s="13"/>
      <c r="L5" s="16">
        <f t="shared" ca="1" si="0"/>
        <v>3242.420308410924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3690.68</v>
      </c>
      <c r="P5" s="13" cm="1">
        <f t="array" aca="1" ref="P5" ca="1">-INDIRECT("'data'!$N$" &amp; $A$1)*parameters!$B$15</f>
        <v>-4404.12</v>
      </c>
      <c r="Q5" s="16">
        <f ca="1">SUM(L5:P5)</f>
        <v>2528.9803084109235</v>
      </c>
      <c r="R5" s="16">
        <f t="shared" ca="1" si="2"/>
        <v>2528.9803084109235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5541.9</v>
      </c>
      <c r="I6" s="14"/>
      <c r="J6" s="14"/>
      <c r="K6" s="13"/>
      <c r="L6" s="16">
        <f t="shared" ca="1" si="0"/>
        <v>5541.9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5541.9</v>
      </c>
      <c r="R6" s="16">
        <f t="shared" ca="1" si="2"/>
        <v>5541.9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2061.92</v>
      </c>
      <c r="I7" s="14"/>
      <c r="J7" s="14"/>
      <c r="K7" s="13"/>
      <c r="L7" s="16">
        <f t="shared" ca="1" si="0"/>
        <v>2061.92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2061.92</v>
      </c>
      <c r="R7" s="16">
        <f t="shared" ca="1" si="2"/>
        <v>2061.92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594.54626478317994</v>
      </c>
      <c r="J8" s="14">
        <f ca="1">Q10/J18</f>
        <v>9324.033735216819</v>
      </c>
      <c r="K8" s="13"/>
      <c r="L8" s="16">
        <f t="shared" ca="1" si="0"/>
        <v>9918.5799999999981</v>
      </c>
      <c r="M8" s="16"/>
      <c r="N8" s="16">
        <f t="shared" ca="1" si="3"/>
        <v>0</v>
      </c>
      <c r="O8" s="11" cm="1">
        <f t="array" aca="1" ref="O8" ca="1">INDIRECT("'data'!$R$" &amp; $A$1)*parameters!$B$15</f>
        <v>122.5</v>
      </c>
      <c r="P8" s="13" cm="1">
        <f t="array" aca="1" ref="P8" ca="1">-INDIRECT("'data'!$S$" &amp; $A$1)*parameters!$B$15</f>
        <v>-2437.2599999999998</v>
      </c>
      <c r="Q8" s="16">
        <f ca="1">SUM(Q6:Q7)</f>
        <v>7603.82</v>
      </c>
      <c r="R8" s="16">
        <f t="shared" ca="1" si="2"/>
        <v>7603.8199999999979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1044.6799999999998</v>
      </c>
      <c r="L9" s="16">
        <f t="shared" ca="1" si="0"/>
        <v>1044.6799999999998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1383.76</v>
      </c>
      <c r="P9" s="13" cm="1">
        <f t="array" aca="1" ref="P9" ca="1">-INDIRECT("'data'!$V$" &amp; $A$1)*parameters!$B$15</f>
        <v>-1882.58</v>
      </c>
      <c r="Q9" s="16" cm="1">
        <f t="array" aca="1" ref="Q9" ca="1">INDIRECT("'data'!$T$" &amp; $A$1)*parameters!$B$15</f>
        <v>545.86</v>
      </c>
      <c r="R9" s="16">
        <f t="shared" ca="1" si="2"/>
        <v>545.85999999999967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1682.8663157894744</v>
      </c>
      <c r="L10" s="16">
        <f t="shared" ca="1" si="0"/>
        <v>1682.8663157894744</v>
      </c>
      <c r="M10" s="16"/>
      <c r="N10" s="16">
        <f t="shared" ca="1" si="3"/>
        <v>0</v>
      </c>
      <c r="O10" s="11" cm="1">
        <f t="array" aca="1" ref="O10" ca="1">INDIRECT("'data'!$X$" &amp; $A$1)*parameters!$B$15</f>
        <v>14731.36</v>
      </c>
      <c r="P10" s="13" cm="1">
        <f t="array" aca="1" ref="P10" ca="1">-INDIRECT("'data'!$Y$" &amp; $A$1)*parameters!$B$15</f>
        <v>-7853.72</v>
      </c>
      <c r="Q10" s="16" cm="1">
        <f t="array" aca="1" ref="Q10" ca="1">INDIRECT("'data'!$W$" &amp; $A$1)*parameters!$B$15</f>
        <v>8560.5063157894747</v>
      </c>
      <c r="R10" s="16">
        <f t="shared" ca="1" si="2"/>
        <v>8560.5063157894729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2995.7042315789477</v>
      </c>
      <c r="N11" s="19"/>
      <c r="O11" s="21" cm="1">
        <f t="array" aca="1" ref="O11" ca="1">INDIRECT("'data'!$Z$" &amp; $A$1)*parameters!$B$15</f>
        <v>8083.04</v>
      </c>
      <c r="P11" s="27" cm="1">
        <f t="array" aca="1" ref="P11" ca="1">-INDIRECT("'data'!$AA$" &amp; $A$1)*parameters!$B$15</f>
        <v>-8649.48</v>
      </c>
      <c r="Q11" s="16">
        <f ca="1">K9*parameters!$B$10+K10*parameters!$B$11</f>
        <v>2429.2642315789476</v>
      </c>
      <c r="R11" s="16">
        <f t="shared" ref="R11:R17" ca="1" si="4">SUM(L11:P11)</f>
        <v>2429.264231578949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-28.865817651202633</v>
      </c>
      <c r="D12" s="9">
        <f ca="1">-(D17-Q4)</f>
        <v>0</v>
      </c>
      <c r="E12" s="9">
        <f ca="1">-(E17-Q5)</f>
        <v>-312.57059991595679</v>
      </c>
      <c r="F12" s="9">
        <f ca="1">-(F17-Q6)</f>
        <v>-366.30895522388073</v>
      </c>
      <c r="G12" s="9">
        <f ca="1">-(G17-Q7)</f>
        <v>-92.646353187043132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-800.39172597808329</v>
      </c>
      <c r="M12" s="17"/>
      <c r="N12" s="17"/>
      <c r="O12" s="10"/>
      <c r="P12" s="12"/>
      <c r="Q12" s="9">
        <f t="shared" ref="Q12:Q17" ca="1" si="6">SUM(L12:P12)</f>
        <v>-800.39172597808329</v>
      </c>
      <c r="R12" s="17">
        <f t="shared" ca="1" si="4"/>
        <v>-800.39172597808329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-48.686264783179922</v>
      </c>
      <c r="J13" s="14">
        <f ca="1">-(J17-Q10)</f>
        <v>-763.52741942734428</v>
      </c>
      <c r="K13" s="13">
        <f ca="1">-(K17-Q11)</f>
        <v>-298.28208421052659</v>
      </c>
      <c r="L13" s="14">
        <f t="shared" ca="1" si="5"/>
        <v>-1110.4957684210508</v>
      </c>
      <c r="M13" s="16">
        <f ca="1">-E15</f>
        <v>-1731.0551399058295</v>
      </c>
      <c r="N13" s="16"/>
      <c r="O13" s="11"/>
      <c r="P13" s="13"/>
      <c r="Q13" s="14">
        <f t="shared" ca="1" si="6"/>
        <v>-2841.5509083268803</v>
      </c>
      <c r="R13" s="16">
        <f t="shared" ca="1" si="4"/>
        <v>-2841.5509083268803</v>
      </c>
    </row>
    <row r="14" spans="1:20">
      <c r="A14" s="18" t="s">
        <v>105</v>
      </c>
      <c r="B14" s="11"/>
      <c r="C14" s="14"/>
      <c r="D14" s="14"/>
      <c r="E14" s="14">
        <f ca="1">-(I13+J13)-K13</f>
        <v>1110.4957684210508</v>
      </c>
      <c r="F14" s="14"/>
      <c r="G14" s="14"/>
      <c r="H14" s="14"/>
      <c r="I14" s="14"/>
      <c r="J14" s="14"/>
      <c r="K14" s="13"/>
      <c r="L14" s="14">
        <f t="shared" ca="1" si="5"/>
        <v>1110.4957684210508</v>
      </c>
      <c r="M14" s="16"/>
      <c r="N14" s="16"/>
      <c r="O14" s="11"/>
      <c r="P14" s="13"/>
      <c r="Q14" s="14">
        <f t="shared" ca="1" si="6"/>
        <v>1110.4957684210508</v>
      </c>
      <c r="R14" s="16">
        <f t="shared" ca="1" si="4"/>
        <v>1110.4957684210508</v>
      </c>
    </row>
    <row r="15" spans="1:20">
      <c r="A15" s="18" t="s">
        <v>106</v>
      </c>
      <c r="B15" s="11"/>
      <c r="C15" s="14"/>
      <c r="D15" s="14"/>
      <c r="E15" s="14">
        <f ca="1">E17-E14</f>
        <v>1731.0551399058295</v>
      </c>
      <c r="F15" s="14"/>
      <c r="G15" s="14"/>
      <c r="H15" s="14"/>
      <c r="I15" s="14"/>
      <c r="J15" s="14"/>
      <c r="K15" s="13"/>
      <c r="L15" s="14">
        <f t="shared" ca="1" si="5"/>
        <v>1731.0551399058295</v>
      </c>
      <c r="M15" s="16"/>
      <c r="N15" s="16"/>
      <c r="O15" s="11"/>
      <c r="P15" s="13"/>
      <c r="Q15" s="14">
        <f t="shared" ca="1" si="6"/>
        <v>1731.0551399058295</v>
      </c>
      <c r="R15" s="16">
        <f t="shared" ca="1" si="4"/>
        <v>1731.0551399058295</v>
      </c>
    </row>
    <row r="16" spans="1:20">
      <c r="A16" s="30" t="s">
        <v>86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85</v>
      </c>
      <c r="B17" s="9">
        <f ca="1">B16</f>
        <v>0</v>
      </c>
      <c r="C17" s="9">
        <f ca="1">SUM(C$2:C$11)</f>
        <v>4581.8758176512029</v>
      </c>
      <c r="D17" s="9">
        <f ca="1">SUM(D$2:D$11)</f>
        <v>0</v>
      </c>
      <c r="E17" s="9">
        <f ca="1">$Q$5/parameters!$B$4</f>
        <v>2841.5509083268803</v>
      </c>
      <c r="F17" s="9">
        <f t="shared" ref="F17:K17" ca="1" si="7">SUM(F$2:F$11)</f>
        <v>5908.2089552238804</v>
      </c>
      <c r="G17" s="9">
        <f t="shared" ca="1" si="7"/>
        <v>2154.5663531870432</v>
      </c>
      <c r="H17" s="9">
        <f t="shared" ca="1" si="7"/>
        <v>7603.82</v>
      </c>
      <c r="I17" s="9">
        <f t="shared" ca="1" si="7"/>
        <v>594.54626478317994</v>
      </c>
      <c r="J17" s="9">
        <f t="shared" ca="1" si="7"/>
        <v>9324.033735216819</v>
      </c>
      <c r="K17" s="9">
        <f t="shared" ca="1" si="7"/>
        <v>2727.5463157894742</v>
      </c>
      <c r="L17" s="17">
        <f t="shared" ca="1" si="5"/>
        <v>35736.148350178482</v>
      </c>
      <c r="M17" s="17"/>
      <c r="N17" s="17"/>
      <c r="O17" s="9"/>
      <c r="P17" s="14"/>
      <c r="Q17" s="11">
        <f t="shared" ca="1" si="6"/>
        <v>35736.148350178482</v>
      </c>
      <c r="R17" s="17">
        <f t="shared" ca="1" si="4"/>
        <v>35736.148350178482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0.9181118986578195</v>
      </c>
      <c r="J18" s="39">
        <f ca="1">I18</f>
        <v>0.9181118986578195</v>
      </c>
      <c r="K18" s="40">
        <f ca="1">1-(-K13)/K17</f>
        <v>0.89064087290331118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5346.4727785045789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5346.4727785045789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-5346.4727785045789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4990.9791044776121</v>
      </c>
      <c r="G3" s="14">
        <f ca="1">Q3-O3-P3-F3</f>
        <v>363.39089552238784</v>
      </c>
      <c r="H3" s="14"/>
      <c r="I3" s="14"/>
      <c r="J3" s="14"/>
      <c r="K3" s="13"/>
      <c r="L3" s="16">
        <f t="shared" ca="1" si="0"/>
        <v>5354.37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5.67</v>
      </c>
      <c r="P3" s="13" cm="1">
        <f t="array" aca="1" ref="P3" ca="1">-INDIRECT("'data'!$I$" &amp; $A$1)*parameters!$B$13</f>
        <v>-47.25</v>
      </c>
      <c r="Q3" s="16" cm="1">
        <f t="array" aca="1" ref="Q3" ca="1">INDIRECT("'data'!$G$" &amp; $A$1)*parameters!$B$13</f>
        <v>5312.79</v>
      </c>
      <c r="R3" s="16">
        <f t="shared" ref="R3:R10" ca="1" si="2">SUM(L3:P3)</f>
        <v>5312.79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Q6/parameters!$B$5*16%</f>
        <v>950.6626865671642</v>
      </c>
      <c r="G5" s="14">
        <f ca="1">Q7/parameters!$B$7-(G3+G4)</f>
        <v>1204.4042977900467</v>
      </c>
      <c r="H5" s="14"/>
      <c r="I5" s="14"/>
      <c r="J5" s="14"/>
      <c r="K5" s="13"/>
      <c r="L5" s="16">
        <f t="shared" ca="1" si="0"/>
        <v>2155.0669843572109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7891.94</v>
      </c>
      <c r="P5" s="13" cm="1">
        <f t="array" aca="1" ref="P5" ca="1">-INDIRECT("'data'!$N$" &amp; $A$1)*parameters!$B$15</f>
        <v>-290.08</v>
      </c>
      <c r="Q5" s="16">
        <f ca="1">SUM(L5:P5)</f>
        <v>9756.926984357211</v>
      </c>
      <c r="R5" s="16">
        <f t="shared" ca="1" si="2"/>
        <v>9756.926984357211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5573.26</v>
      </c>
      <c r="I6" s="14"/>
      <c r="J6" s="14"/>
      <c r="K6" s="13"/>
      <c r="L6" s="16">
        <f t="shared" ca="1" si="0"/>
        <v>5573.26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5573.26</v>
      </c>
      <c r="R6" s="16">
        <f t="shared" ca="1" si="2"/>
        <v>5573.26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1500.3799999999999</v>
      </c>
      <c r="I7" s="14"/>
      <c r="J7" s="14"/>
      <c r="K7" s="13"/>
      <c r="L7" s="16">
        <f t="shared" ca="1" si="0"/>
        <v>1500.3799999999999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1500.3799999999999</v>
      </c>
      <c r="R7" s="16">
        <f t="shared" ca="1" si="2"/>
        <v>1500.3799999999999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3020.8229077424703</v>
      </c>
      <c r="J8" s="14">
        <f ca="1">Q10/J18</f>
        <v>3910.7170922575306</v>
      </c>
      <c r="K8" s="13"/>
      <c r="L8" s="16">
        <f t="shared" ca="1" si="0"/>
        <v>6931.5400000000009</v>
      </c>
      <c r="M8" s="16"/>
      <c r="N8" s="16">
        <f t="shared" ca="1" si="3"/>
        <v>0</v>
      </c>
      <c r="O8" s="11" cm="1">
        <f t="array" aca="1" ref="O8" ca="1">INDIRECT("'data'!$R$" &amp; $A$1)*parameters!$B$15</f>
        <v>740.88</v>
      </c>
      <c r="P8" s="13" cm="1">
        <f t="array" aca="1" ref="P8" ca="1">-INDIRECT("'data'!$S$" &amp; $A$1)*parameters!$B$15</f>
        <v>-598.78</v>
      </c>
      <c r="Q8" s="16">
        <f ca="1">SUM(Q6:Q7)</f>
        <v>7073.64</v>
      </c>
      <c r="R8" s="16">
        <f t="shared" ca="1" si="2"/>
        <v>7073.6400000000012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3437.84</v>
      </c>
      <c r="L9" s="16">
        <f t="shared" ca="1" si="0"/>
        <v>3437.84</v>
      </c>
      <c r="M9" s="16"/>
      <c r="N9" s="16">
        <f t="shared" ca="1" si="3"/>
        <v>0</v>
      </c>
      <c r="O9" s="11" cm="1">
        <f t="array" aca="1" ref="O9" ca="1">INDIRECT("'data'!$U$" &amp; $A$1)*parameters!$B$15</f>
        <v>1355.34</v>
      </c>
      <c r="P9" s="13" cm="1">
        <f t="array" aca="1" ref="P9" ca="1">-INDIRECT("'data'!$V$" &amp; $A$1)*parameters!$B$15</f>
        <v>-2063.88</v>
      </c>
      <c r="Q9" s="16" cm="1">
        <f t="array" aca="1" ref="Q9" ca="1">INDIRECT("'data'!$T$" &amp; $A$1)*parameters!$B$15</f>
        <v>2729.2999999999997</v>
      </c>
      <c r="R9" s="16">
        <f t="shared" ca="1" si="2"/>
        <v>2729.3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5568.7754196301566</v>
      </c>
      <c r="L10" s="16">
        <f t="shared" ca="1" si="0"/>
        <v>5568.7754196301566</v>
      </c>
      <c r="M10" s="16"/>
      <c r="N10" s="16">
        <f t="shared" ca="1" si="3"/>
        <v>0</v>
      </c>
      <c r="O10" s="11" cm="1">
        <f t="array" aca="1" ref="O10" ca="1">INDIRECT("'data'!$X$" &amp; $A$1)*parameters!$B$15</f>
        <v>1539.58</v>
      </c>
      <c r="P10" s="13" cm="1">
        <f t="array" aca="1" ref="P10" ca="1">-INDIRECT("'data'!$Y$" &amp; $A$1)*parameters!$B$15</f>
        <v>-3575.04</v>
      </c>
      <c r="Q10" s="16" cm="1">
        <f t="array" aca="1" ref="Q10" ca="1">INDIRECT("'data'!$W$" &amp; $A$1)*parameters!$B$15</f>
        <v>3533.3154196301566</v>
      </c>
      <c r="R10" s="16">
        <f t="shared" ca="1" si="2"/>
        <v>3533.3154196301566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13857.596460881936</v>
      </c>
      <c r="N11" s="19"/>
      <c r="O11" s="21" cm="1">
        <f t="array" aca="1" ref="O11" ca="1">INDIRECT("'data'!$Z$" &amp; $A$1)*parameters!$B$15</f>
        <v>5852.5599999999995</v>
      </c>
      <c r="P11" s="27" cm="1">
        <f t="array" aca="1" ref="P11" ca="1">-INDIRECT("'data'!$AA$" &amp; $A$1)*parameters!$B$15</f>
        <v>-11689.44</v>
      </c>
      <c r="Q11" s="16">
        <f ca="1">K9*parameters!$B$10+K10*parameters!$B$11</f>
        <v>8020.7164608819348</v>
      </c>
      <c r="R11" s="16">
        <f t="shared" ref="R11:R17" ca="1" si="4">SUM(L11:P11)</f>
        <v>8020.7164608819348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-33.682778504578891</v>
      </c>
      <c r="D12" s="9">
        <f ca="1">-(D17-Q4)</f>
        <v>0</v>
      </c>
      <c r="E12" s="9">
        <f ca="1">-(E17-Q5)</f>
        <v>-1205.9123239093187</v>
      </c>
      <c r="F12" s="9">
        <f ca="1">-(F17-Q6)</f>
        <v>-368.38179104477604</v>
      </c>
      <c r="G12" s="9">
        <f ca="1">-(G17-Q7)</f>
        <v>-67.415193312434667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-1675.3920867711083</v>
      </c>
      <c r="M12" s="17"/>
      <c r="N12" s="17"/>
      <c r="O12" s="10"/>
      <c r="P12" s="12"/>
      <c r="Q12" s="9">
        <f t="shared" ref="Q12:Q17" ca="1" si="6">SUM(L12:P12)</f>
        <v>-1675.3920867711083</v>
      </c>
      <c r="R12" s="17">
        <f t="shared" ca="1" si="4"/>
        <v>-1675.3920867711083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-291.52290774247058</v>
      </c>
      <c r="J13" s="14">
        <f ca="1">-(J17-Q10)</f>
        <v>-377.40167262737396</v>
      </c>
      <c r="K13" s="13">
        <f ca="1">-(K17-Q11)</f>
        <v>-985.89895874822287</v>
      </c>
      <c r="L13" s="14">
        <f t="shared" ca="1" si="5"/>
        <v>-1654.8235391180674</v>
      </c>
      <c r="M13" s="16">
        <f ca="1">-E15</f>
        <v>-9308.0157691484619</v>
      </c>
      <c r="N13" s="16"/>
      <c r="O13" s="11"/>
      <c r="P13" s="13"/>
      <c r="Q13" s="14">
        <f t="shared" ca="1" si="6"/>
        <v>-10962.83930826653</v>
      </c>
      <c r="R13" s="16">
        <f t="shared" ca="1" si="4"/>
        <v>-10962.83930826653</v>
      </c>
    </row>
    <row r="14" spans="1:20">
      <c r="A14" s="18" t="s">
        <v>105</v>
      </c>
      <c r="B14" s="11"/>
      <c r="C14" s="14"/>
      <c r="D14" s="14"/>
      <c r="E14" s="14">
        <f ca="1">-(I13+J13)-K13</f>
        <v>1654.8235391180674</v>
      </c>
      <c r="F14" s="14"/>
      <c r="G14" s="14"/>
      <c r="H14" s="14"/>
      <c r="I14" s="14"/>
      <c r="J14" s="14"/>
      <c r="K14" s="13"/>
      <c r="L14" s="14">
        <f t="shared" ca="1" si="5"/>
        <v>1654.8235391180674</v>
      </c>
      <c r="M14" s="16"/>
      <c r="N14" s="16"/>
      <c r="O14" s="11"/>
      <c r="P14" s="13"/>
      <c r="Q14" s="14">
        <f t="shared" ca="1" si="6"/>
        <v>1654.8235391180674</v>
      </c>
      <c r="R14" s="16">
        <f t="shared" ca="1" si="4"/>
        <v>1654.8235391180674</v>
      </c>
    </row>
    <row r="15" spans="1:20">
      <c r="A15" s="18" t="s">
        <v>106</v>
      </c>
      <c r="B15" s="11"/>
      <c r="C15" s="14"/>
      <c r="D15" s="14"/>
      <c r="E15" s="14">
        <f ca="1">E17-E14</f>
        <v>9308.0157691484619</v>
      </c>
      <c r="F15" s="14"/>
      <c r="G15" s="14"/>
      <c r="H15" s="14"/>
      <c r="I15" s="14"/>
      <c r="J15" s="14"/>
      <c r="K15" s="13"/>
      <c r="L15" s="14">
        <f t="shared" ca="1" si="5"/>
        <v>9308.0157691484619</v>
      </c>
      <c r="M15" s="16"/>
      <c r="N15" s="16"/>
      <c r="O15" s="11"/>
      <c r="P15" s="13"/>
      <c r="Q15" s="14">
        <f t="shared" ca="1" si="6"/>
        <v>9308.0157691484619</v>
      </c>
      <c r="R15" s="16">
        <f t="shared" ca="1" si="4"/>
        <v>9308.0157691484619</v>
      </c>
    </row>
    <row r="16" spans="1:20">
      <c r="A16" s="30" t="s">
        <v>86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85</v>
      </c>
      <c r="B17" s="9">
        <f ca="1">B16</f>
        <v>0</v>
      </c>
      <c r="C17" s="9">
        <f ca="1">SUM(C$2:C$11)</f>
        <v>5346.4727785045789</v>
      </c>
      <c r="D17" s="9">
        <f ca="1">SUM(D$2:D$11)</f>
        <v>0</v>
      </c>
      <c r="E17" s="9">
        <f ca="1">$Q$5/parameters!$B$4</f>
        <v>10962.83930826653</v>
      </c>
      <c r="F17" s="9">
        <f t="shared" ref="F17:K17" ca="1" si="7">SUM(F$2:F$11)</f>
        <v>5941.6417910447763</v>
      </c>
      <c r="G17" s="9">
        <f t="shared" ca="1" si="7"/>
        <v>1567.7951933124345</v>
      </c>
      <c r="H17" s="9">
        <f t="shared" ca="1" si="7"/>
        <v>7073.64</v>
      </c>
      <c r="I17" s="9">
        <f t="shared" ca="1" si="7"/>
        <v>3020.8229077424703</v>
      </c>
      <c r="J17" s="9">
        <f t="shared" ca="1" si="7"/>
        <v>3910.7170922575306</v>
      </c>
      <c r="K17" s="9">
        <f t="shared" ca="1" si="7"/>
        <v>9006.6154196301577</v>
      </c>
      <c r="L17" s="17">
        <f t="shared" ca="1" si="5"/>
        <v>46830.544490758475</v>
      </c>
      <c r="M17" s="17"/>
      <c r="N17" s="17"/>
      <c r="O17" s="9"/>
      <c r="P17" s="14"/>
      <c r="Q17" s="11">
        <f t="shared" ca="1" si="6"/>
        <v>46830.544490758475</v>
      </c>
      <c r="R17" s="17">
        <f t="shared" ca="1" si="4"/>
        <v>46830.544490758475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0.9034955319640593</v>
      </c>
      <c r="J18" s="39">
        <f ca="1">I18</f>
        <v>0.9034955319640593</v>
      </c>
      <c r="K18" s="40">
        <f ca="1">1-(-K13)/K17</f>
        <v>0.89053613229677486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S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</row>
    <row r="2" spans="1:19">
      <c r="A2" s="29" t="s">
        <v>63</v>
      </c>
      <c r="B2" s="10"/>
      <c r="C2" s="9">
        <f ca="1">Q3/parameters!$B$2</f>
        <v>5197.9835359116387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5197.9835359116387</v>
      </c>
      <c r="M2" s="17"/>
      <c r="N2" s="17">
        <f ca="1">Q2-(L2+O2+P2)</f>
        <v>0</v>
      </c>
      <c r="O2" s="11" cm="1">
        <f t="array" aca="1" ref="O2" ca="1">INDIRECT("'data'!$F$" &amp; $A$1)</f>
        <v>13733.85</v>
      </c>
      <c r="P2" s="13">
        <f ca="1">IF(-(L2-Q2+O2)&lt;0, -(L2-Q2+O2), 0)</f>
        <v>-18931.833535911639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38">
        <f ca="1">Q3-O3-P3</f>
        <v>5194.5312396353957</v>
      </c>
      <c r="G3" s="14">
        <f ca="1">Q3-O3-P3-F3</f>
        <v>0</v>
      </c>
      <c r="H3" s="14"/>
      <c r="I3" s="14"/>
      <c r="J3" s="14"/>
      <c r="K3" s="13"/>
      <c r="L3" s="16">
        <f t="shared" ca="1" si="0"/>
        <v>5194.5312396353957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494.23499999999996</v>
      </c>
      <c r="P3" s="13" cm="1">
        <f t="array" aca="1" ref="P3" ca="1">-INDIRECT("'data'!$I$" &amp; $A$1)*parameters!$B$13</f>
        <v>-523.53</v>
      </c>
      <c r="Q3" s="16" cm="1">
        <f t="array" aca="1" ref="Q3" ca="1">INDIRECT("'data'!$G$" &amp; $A$1)*parameters!$B$13</f>
        <v>5165.2362396353956</v>
      </c>
      <c r="R3" s="16">
        <f t="shared" ref="R3:R10" ca="1" si="2">SUM(L3:P3)</f>
        <v>5165.2362396353956</v>
      </c>
    </row>
    <row r="4" spans="1:19">
      <c r="A4" s="18" t="s">
        <v>65</v>
      </c>
      <c r="B4" s="11"/>
      <c r="C4" s="14"/>
      <c r="D4" s="14"/>
      <c r="E4" s="14"/>
      <c r="F4" s="14"/>
      <c r="G4" s="38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18.399999999999999</v>
      </c>
      <c r="O4" s="11" cm="1">
        <f t="array" aca="1" ref="O4" ca="1">INDIRECT("'data'!$K$" &amp; $A$1)*parameters!$B$14</f>
        <v>59.800000000000004</v>
      </c>
      <c r="P4" s="13" cm="1">
        <f t="array" aca="1" ref="P4" ca="1">-INDIRECT("'data'!$L$" &amp; $A$1)*parameters!$B$14</f>
        <v>-78.2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 ht="17">
      <c r="A5" s="15" t="s">
        <v>104</v>
      </c>
      <c r="B5" s="11"/>
      <c r="C5" s="14"/>
      <c r="D5" s="14"/>
      <c r="E5" s="14"/>
      <c r="F5" s="14">
        <f ca="1">Q6/parameters!$B$5-F3</f>
        <v>1760.5433872302765</v>
      </c>
      <c r="G5" s="14">
        <f ca="1">Q7/parameters!$B$7-(G3+G4)</f>
        <v>0</v>
      </c>
      <c r="H5" s="14"/>
      <c r="I5" s="14"/>
      <c r="J5" s="14"/>
      <c r="K5" s="13"/>
      <c r="L5" s="16">
        <f t="shared" ca="1" si="0"/>
        <v>1760.5433872302765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6215.16</v>
      </c>
      <c r="P5" s="13" cm="1">
        <f t="array" aca="1" ref="P5" ca="1">-INDIRECT("'data'!$N$" &amp; $A$1)*parameters!$B$15</f>
        <v>-3139.92</v>
      </c>
      <c r="Q5" s="16">
        <f ca="1">SUM(L5:P5)</f>
        <v>4835.7833872302763</v>
      </c>
      <c r="R5" s="16">
        <f t="shared" ca="1" si="2"/>
        <v>4835.7833872302763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6523.86</v>
      </c>
      <c r="I6" s="14"/>
      <c r="J6" s="14"/>
      <c r="K6" s="13"/>
      <c r="L6" s="16">
        <f t="shared" ca="1" si="0"/>
        <v>6523.86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6523.86</v>
      </c>
      <c r="R6" s="16">
        <f t="shared" ca="1" si="2"/>
        <v>6523.86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0</v>
      </c>
      <c r="I7" s="14"/>
      <c r="J7" s="14"/>
      <c r="K7" s="13"/>
      <c r="L7" s="16">
        <f t="shared" ca="1" si="0"/>
        <v>0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0</v>
      </c>
      <c r="R7" s="16">
        <f t="shared" ca="1" si="2"/>
        <v>0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152.31598815007141</v>
      </c>
      <c r="J8" s="14">
        <f ca="1">Q10/J18</f>
        <v>6387.2240118499285</v>
      </c>
      <c r="K8" s="13"/>
      <c r="L8" s="16">
        <f t="shared" ca="1" si="0"/>
        <v>6539.54</v>
      </c>
      <c r="M8" s="16"/>
      <c r="N8" s="16">
        <f t="shared" ca="1" si="3"/>
        <v>0</v>
      </c>
      <c r="O8" s="11" cm="1">
        <f t="array" aca="1" ref="O8" ca="1">INDIRECT("'data'!$R$" &amp; $A$1)*parameters!$B$15</f>
        <v>329.28</v>
      </c>
      <c r="P8" s="13" cm="1">
        <f t="array" aca="1" ref="P8" ca="1">-INDIRECT("'data'!$S$" &amp; $A$1)*parameters!$B$15</f>
        <v>-344.96</v>
      </c>
      <c r="Q8" s="16">
        <f ca="1">SUM(Q6:Q7)</f>
        <v>6523.86</v>
      </c>
      <c r="R8" s="16">
        <f t="shared" ca="1" si="2"/>
        <v>6523.86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2773.3999999999996</v>
      </c>
      <c r="L9" s="16">
        <f t="shared" ca="1" si="0"/>
        <v>2773.3999999999996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864.36</v>
      </c>
      <c r="P9" s="13" cm="1">
        <f t="array" aca="1" ref="P9" ca="1">-INDIRECT("'data'!$V$" &amp; $A$1)*parameters!$B$15</f>
        <v>-3498.6</v>
      </c>
      <c r="Q9" s="16" cm="1">
        <f t="array" aca="1" ref="Q9" ca="1">INDIRECT("'data'!$T$" &amp; $A$1)*parameters!$B$15</f>
        <v>139.16</v>
      </c>
      <c r="R9" s="16">
        <f t="shared" ca="1" si="2"/>
        <v>139.15999999999985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2425.1403413940261</v>
      </c>
      <c r="L10" s="16">
        <f t="shared" ca="1" si="0"/>
        <v>2425.1403413940261</v>
      </c>
      <c r="M10" s="16"/>
      <c r="N10" s="16">
        <f t="shared" ca="1" si="3"/>
        <v>0</v>
      </c>
      <c r="O10" s="11" cm="1">
        <f t="array" aca="1" ref="O10" ca="1">INDIRECT("'data'!$X$" &amp; $A$1)*parameters!$B$15</f>
        <v>8057.5599999999995</v>
      </c>
      <c r="P10" s="13" cm="1">
        <f t="array" aca="1" ref="P10" ca="1">-INDIRECT("'data'!$Y$" &amp; $A$1)*parameters!$B$15</f>
        <v>-4647.16</v>
      </c>
      <c r="Q10" s="16" cm="1">
        <f t="array" aca="1" ref="Q10" ca="1">INDIRECT("'data'!$W$" &amp; $A$1)*parameters!$B$15</f>
        <v>5835.5403413940257</v>
      </c>
      <c r="R10" s="16">
        <f t="shared" ca="1" si="2"/>
        <v>5835.5403413940257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5748.0766935988622</v>
      </c>
      <c r="N11" s="19"/>
      <c r="O11" s="21" cm="1">
        <f t="array" aca="1" ref="O11" ca="1">INDIRECT("'data'!$Z$" &amp; $A$1)*parameters!$B$15</f>
        <v>6990.34</v>
      </c>
      <c r="P11" s="27" cm="1">
        <f t="array" aca="1" ref="P11" ca="1">-INDIRECT("'data'!$AA$" &amp; $A$1)*parameters!$B$15</f>
        <v>-8045.8</v>
      </c>
      <c r="Q11" s="16">
        <f ca="1">K9*parameters!$B$10+K10*parameters!$B$11</f>
        <v>4692.6166935988622</v>
      </c>
      <c r="R11" s="16">
        <f t="shared" ref="R11:R17" ca="1" si="4">SUM(L11:P11)</f>
        <v>4692.6166935988613</v>
      </c>
    </row>
    <row r="12" spans="1:19">
      <c r="A12" s="29" t="s">
        <v>107</v>
      </c>
      <c r="B12" s="10">
        <f ca="1">-(B17-Q2)</f>
        <v>0</v>
      </c>
      <c r="C12" s="9">
        <f ca="1">-(C17-Q3)</f>
        <v>-32.747296276243105</v>
      </c>
      <c r="D12" s="9">
        <f ca="1">-(D17-Q4)</f>
        <v>0</v>
      </c>
      <c r="E12" s="9">
        <f ca="1">-(E17-Q5)</f>
        <v>-597.6810928037421</v>
      </c>
      <c r="F12" s="9">
        <f ca="1">-(F17-Q6)</f>
        <v>-431.21462686567247</v>
      </c>
      <c r="G12" s="9">
        <f ca="1">-(G17-Q7)</f>
        <v>0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-1061.6430159456577</v>
      </c>
      <c r="M12" s="17"/>
      <c r="N12" s="17"/>
      <c r="O12" s="10"/>
      <c r="P12" s="12"/>
      <c r="Q12" s="9">
        <f t="shared" ref="Q12:Q17" ca="1" si="6">SUM(L12:P12)</f>
        <v>-1061.6430159456577</v>
      </c>
      <c r="R12" s="17">
        <f t="shared" ca="1" si="4"/>
        <v>-1061.6430159456577</v>
      </c>
    </row>
    <row r="13" spans="1:19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-13.155988150071408</v>
      </c>
      <c r="J13" s="14">
        <f ca="1">-(J17-Q10)</f>
        <v>-551.68367045590276</v>
      </c>
      <c r="K13" s="13">
        <f ca="1">-(K17-Q11)</f>
        <v>-505.92364779516356</v>
      </c>
      <c r="L13" s="14">
        <f t="shared" ca="1" si="5"/>
        <v>-1070.7633064011377</v>
      </c>
      <c r="M13" s="16">
        <f ca="1">-E15</f>
        <v>-4362.7011736328805</v>
      </c>
      <c r="N13" s="16"/>
      <c r="O13" s="11"/>
      <c r="P13" s="13"/>
      <c r="Q13" s="14">
        <f t="shared" ca="1" si="6"/>
        <v>-5433.4644800340184</v>
      </c>
      <c r="R13" s="16">
        <f t="shared" ca="1" si="4"/>
        <v>-5433.4644800340184</v>
      </c>
    </row>
    <row r="14" spans="1:19">
      <c r="A14" s="18" t="s">
        <v>105</v>
      </c>
      <c r="B14" s="11"/>
      <c r="C14" s="14"/>
      <c r="D14" s="14"/>
      <c r="E14" s="14">
        <f ca="1">-(I13+J13)-K13</f>
        <v>1070.7633064011377</v>
      </c>
      <c r="F14" s="14"/>
      <c r="G14" s="14"/>
      <c r="H14" s="14"/>
      <c r="I14" s="14"/>
      <c r="J14" s="14"/>
      <c r="K14" s="13"/>
      <c r="L14" s="14">
        <f t="shared" ca="1" si="5"/>
        <v>1070.7633064011377</v>
      </c>
      <c r="M14" s="16"/>
      <c r="N14" s="16"/>
      <c r="O14" s="11"/>
      <c r="P14" s="13"/>
      <c r="Q14" s="14">
        <f t="shared" ca="1" si="6"/>
        <v>1070.7633064011377</v>
      </c>
      <c r="R14" s="16">
        <f t="shared" ca="1" si="4"/>
        <v>1070.7633064011377</v>
      </c>
    </row>
    <row r="15" spans="1:19">
      <c r="A15" s="18" t="s">
        <v>106</v>
      </c>
      <c r="B15" s="11"/>
      <c r="C15" s="14"/>
      <c r="D15" s="14"/>
      <c r="E15" s="14">
        <f ca="1">E17-E14</f>
        <v>4362.7011736328805</v>
      </c>
      <c r="F15" s="14"/>
      <c r="G15" s="14"/>
      <c r="H15" s="14"/>
      <c r="I15" s="14"/>
      <c r="J15" s="14"/>
      <c r="K15" s="13"/>
      <c r="L15" s="14">
        <f t="shared" ca="1" si="5"/>
        <v>4362.7011736328805</v>
      </c>
      <c r="M15" s="16"/>
      <c r="N15" s="16"/>
      <c r="O15" s="11"/>
      <c r="P15" s="13"/>
      <c r="Q15" s="14">
        <f t="shared" ca="1" si="6"/>
        <v>4362.7011736328805</v>
      </c>
      <c r="R15" s="16">
        <f t="shared" ca="1" si="4"/>
        <v>4362.7011736328805</v>
      </c>
    </row>
    <row r="16" spans="1:19">
      <c r="A16" s="30" t="s">
        <v>86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85</v>
      </c>
      <c r="B17" s="9">
        <f ca="1">B16</f>
        <v>0</v>
      </c>
      <c r="C17" s="9">
        <f ca="1">SUM(C$2:C$11)</f>
        <v>5197.9835359116387</v>
      </c>
      <c r="D17" s="9">
        <f ca="1">SUM(D$2:D$11)</f>
        <v>0</v>
      </c>
      <c r="E17" s="9">
        <f ca="1">$Q$5/parameters!$B$4</f>
        <v>5433.4644800340184</v>
      </c>
      <c r="F17" s="9">
        <f t="shared" ref="F17:K17" ca="1" si="7">SUM(F$2:F$11)</f>
        <v>6955.0746268656721</v>
      </c>
      <c r="G17" s="9">
        <f t="shared" ca="1" si="7"/>
        <v>0</v>
      </c>
      <c r="H17" s="9">
        <f t="shared" ca="1" si="7"/>
        <v>6523.86</v>
      </c>
      <c r="I17" s="9">
        <f t="shared" ca="1" si="7"/>
        <v>152.31598815007141</v>
      </c>
      <c r="J17" s="9">
        <f t="shared" ca="1" si="7"/>
        <v>6387.2240118499285</v>
      </c>
      <c r="K17" s="9">
        <f t="shared" ca="1" si="7"/>
        <v>5198.5403413940257</v>
      </c>
      <c r="L17" s="17">
        <f t="shared" ca="1" si="5"/>
        <v>35848.462984205355</v>
      </c>
      <c r="M17" s="17"/>
      <c r="N17" s="17"/>
      <c r="O17" s="9"/>
      <c r="P17" s="14"/>
      <c r="Q17" s="11">
        <f t="shared" ca="1" si="6"/>
        <v>35848.462984205355</v>
      </c>
      <c r="R17" s="17">
        <f t="shared" ca="1" si="4"/>
        <v>35848.462984205355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 t="str">
        <f t="shared" ca="1" si="8"/>
        <v/>
      </c>
      <c r="H18" s="39">
        <f t="shared" ref="H18" ca="1" si="9">1-(-H12)/H17</f>
        <v>1</v>
      </c>
      <c r="I18" s="39">
        <f ca="1">(Q9+Q10)/(Q8-O8-P8)</f>
        <v>0.91362700455904022</v>
      </c>
      <c r="J18" s="39">
        <f ca="1">I18</f>
        <v>0.91362700455904022</v>
      </c>
      <c r="K18" s="40">
        <f ca="1">1-(-K13)/K17</f>
        <v>0.90267967264451454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3484.4319211029483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3484.4319211029483</v>
      </c>
      <c r="M2" s="17"/>
      <c r="N2" s="17">
        <f ca="1">Q2-(L2+O2+P2)</f>
        <v>46571.312996818335</v>
      </c>
      <c r="O2" s="11" cm="1">
        <f t="array" aca="1" ref="O2" ca="1">INDIRECT("'data'!$F$" &amp; $A$1)</f>
        <v>517901.25508207874</v>
      </c>
      <c r="P2" s="13">
        <f ca="1">IF(-(L2-Q2+O2)&lt;0, -(L2-Q2+O2), 0)</f>
        <v>0</v>
      </c>
      <c r="Q2" s="17" cm="1">
        <f t="array" aca="1" ref="Q2" ca="1">INDIRECT("'data'!$D$" &amp; $A$1)</f>
        <v>567957</v>
      </c>
      <c r="R2" s="17">
        <f ca="1">SUM(L2:P2)</f>
        <v>567957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3362.5074626865671</v>
      </c>
      <c r="G3" s="14">
        <f ca="1">Q3-O3-P3-F3</f>
        <v>119.81753731343269</v>
      </c>
      <c r="H3" s="14"/>
      <c r="I3" s="14"/>
      <c r="J3" s="14"/>
      <c r="K3" s="13"/>
      <c r="L3" s="16">
        <f t="shared" ca="1" si="0"/>
        <v>3482.3249999999998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-19.844999999999999</v>
      </c>
      <c r="Q3" s="16" cm="1">
        <f t="array" aca="1" ref="Q3" ca="1">INDIRECT("'data'!$G$" &amp; $A$1)*parameters!$B$13</f>
        <v>3462.48</v>
      </c>
      <c r="R3" s="16">
        <f t="shared" ref="R3:R10" ca="1" si="2">SUM(L3:P3)</f>
        <v>3462.48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0.92</v>
      </c>
      <c r="H4" s="14"/>
      <c r="I4" s="14"/>
      <c r="J4" s="14"/>
      <c r="K4" s="13"/>
      <c r="L4" s="16">
        <f t="shared" ca="1" si="0"/>
        <v>0.92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 ht="17">
      <c r="A5" s="15" t="s">
        <v>104</v>
      </c>
      <c r="B5" s="11"/>
      <c r="C5" s="14"/>
      <c r="D5" s="14"/>
      <c r="E5" s="14"/>
      <c r="F5" s="14">
        <f ca="1">Q6/parameters!$B$5*20%</f>
        <v>840.62686567164189</v>
      </c>
      <c r="G5" s="14">
        <f ca="1">Q7/parameters!$B$7-(G3+G4)</f>
        <v>1384.5916162915828</v>
      </c>
      <c r="H5" s="14"/>
      <c r="I5" s="14"/>
      <c r="J5" s="14"/>
      <c r="K5" s="13"/>
      <c r="L5" s="16">
        <f t="shared" ca="1" si="0"/>
        <v>2225.2184819632248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2186.38</v>
      </c>
      <c r="P5" s="13" cm="1">
        <f t="array" aca="1" ref="P5" ca="1">-INDIRECT("'data'!$N$" &amp; $A$1)*parameters!$B$15</f>
        <v>-113.67999999999999</v>
      </c>
      <c r="Q5" s="16">
        <f ca="1">SUM(L5:P5)</f>
        <v>4297.9184819632246</v>
      </c>
      <c r="R5" s="16">
        <f t="shared" ca="1" si="2"/>
        <v>4297.9184819632246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3942.54</v>
      </c>
      <c r="I6" s="14"/>
      <c r="J6" s="14"/>
      <c r="K6" s="13"/>
      <c r="L6" s="16">
        <f t="shared" ca="1" si="0"/>
        <v>3942.54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3942.54</v>
      </c>
      <c r="R6" s="16">
        <f t="shared" ca="1" si="2"/>
        <v>3942.54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1440.6</v>
      </c>
      <c r="I7" s="14"/>
      <c r="J7" s="14"/>
      <c r="K7" s="13"/>
      <c r="L7" s="16">
        <f t="shared" ca="1" si="0"/>
        <v>1440.6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1440.6</v>
      </c>
      <c r="R7" s="16">
        <f t="shared" ca="1" si="2"/>
        <v>1440.6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2158.6538743362003</v>
      </c>
      <c r="J8" s="14">
        <f ca="1">Q10/J18</f>
        <v>3161.7661256637989</v>
      </c>
      <c r="K8" s="13"/>
      <c r="L8" s="16">
        <f t="shared" ca="1" si="0"/>
        <v>5320.4199999999992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64.679999999999993</v>
      </c>
      <c r="P8" s="13" cm="1">
        <f t="array" aca="1" ref="P8" ca="1">-INDIRECT("'data'!$S$" &amp; $A$1)*parameters!$B$15</f>
        <v>-1.96</v>
      </c>
      <c r="Q8" s="16">
        <f ca="1">SUM(Q6:Q7)</f>
        <v>5383.1399999999994</v>
      </c>
      <c r="R8" s="16">
        <f t="shared" ca="1" si="2"/>
        <v>5383.1399999999994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2558.7799999999997</v>
      </c>
      <c r="L9" s="16">
        <f t="shared" ca="1" si="0"/>
        <v>2558.7799999999997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148.96</v>
      </c>
      <c r="P9" s="13" cm="1">
        <f t="array" aca="1" ref="P9" ca="1">-INDIRECT("'data'!$V$" &amp; $A$1)*parameters!$B$15</f>
        <v>-769.3</v>
      </c>
      <c r="Q9" s="16" cm="1">
        <f t="array" aca="1" ref="Q9" ca="1">INDIRECT("'data'!$T$" &amp; $A$1)*parameters!$B$15</f>
        <v>1938.44</v>
      </c>
      <c r="R9" s="16">
        <f t="shared" ca="1" si="2"/>
        <v>1938.4399999999998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2528.5603129445235</v>
      </c>
      <c r="L10" s="16">
        <f t="shared" ca="1" si="0"/>
        <v>2528.5603129445235</v>
      </c>
      <c r="M10" s="16"/>
      <c r="N10" s="16">
        <f t="shared" ca="1" si="3"/>
        <v>0</v>
      </c>
      <c r="O10" s="11" cm="1">
        <f t="array" aca="1" ref="O10" ca="1">INDIRECT("'data'!$X$" &amp; $A$1)*parameters!$B$15</f>
        <v>868.28</v>
      </c>
      <c r="P10" s="13" cm="1">
        <f t="array" aca="1" ref="P10" ca="1">-INDIRECT("'data'!$Y$" &amp; $A$1)*parameters!$B$15</f>
        <v>-557.62</v>
      </c>
      <c r="Q10" s="16" cm="1">
        <f t="array" aca="1" ref="Q10" ca="1">INDIRECT("'data'!$W$" &amp; $A$1)*parameters!$B$15</f>
        <v>2839.2203129445234</v>
      </c>
      <c r="R10" s="16">
        <f t="shared" ca="1" si="2"/>
        <v>2839.2203129445234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9479.8150691322899</v>
      </c>
      <c r="N11" s="19"/>
      <c r="O11" s="21" cm="1">
        <f t="array" aca="1" ref="O11" ca="1">INDIRECT("'data'!$Z$" &amp; $A$1)*parameters!$B$15</f>
        <v>450.8</v>
      </c>
      <c r="P11" s="27" cm="1">
        <f t="array" aca="1" ref="P11" ca="1">-INDIRECT("'data'!$AA$" &amp; $A$1)*parameters!$B$15</f>
        <v>-5350.8</v>
      </c>
      <c r="Q11" s="16">
        <f ca="1">K9*parameters!$B$10+K10*parameters!$B$11</f>
        <v>4579.8150691322899</v>
      </c>
      <c r="R11" s="16">
        <f t="shared" ref="R11:R17" ca="1" si="4">SUM(L11:P11)</f>
        <v>4579.815069132289</v>
      </c>
      <c r="S11" s="7"/>
    </row>
    <row r="12" spans="1:19">
      <c r="A12" s="29" t="s">
        <v>107</v>
      </c>
      <c r="B12" s="10">
        <f ca="1">-(B17-Q2)</f>
        <v>0</v>
      </c>
      <c r="C12" s="9">
        <f ca="1">-(C17-Q3)</f>
        <v>-21.95192110294829</v>
      </c>
      <c r="D12" s="9">
        <f ca="1">-(D17-Q4)</f>
        <v>0</v>
      </c>
      <c r="E12" s="9">
        <f ca="1">-(E17-Q5)</f>
        <v>-531.20340788309477</v>
      </c>
      <c r="F12" s="9">
        <f ca="1">-(F17-Q6)</f>
        <v>-260.59432835820917</v>
      </c>
      <c r="G12" s="9">
        <f ca="1">-(G17-Q7)</f>
        <v>-64.729153605015654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-878.47881094926788</v>
      </c>
      <c r="M12" s="17"/>
      <c r="N12" s="17"/>
      <c r="O12" s="10"/>
      <c r="P12" s="12"/>
      <c r="Q12" s="9">
        <f t="shared" ref="Q12:Q17" ca="1" si="6">SUM(L12:P12)</f>
        <v>-878.47881094926788</v>
      </c>
      <c r="R12" s="17">
        <f t="shared" ca="1" si="4"/>
        <v>-878.47881094926788</v>
      </c>
    </row>
    <row r="13" spans="1:19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-220.21387433620021</v>
      </c>
      <c r="J13" s="14">
        <f ca="1">-(J17-Q10)</f>
        <v>-322.54581271927555</v>
      </c>
      <c r="K13" s="13">
        <f ca="1">-(K17-Q11)</f>
        <v>-507.52524381223338</v>
      </c>
      <c r="L13" s="14">
        <f t="shared" ca="1" si="5"/>
        <v>-1050.2849308677091</v>
      </c>
      <c r="M13" s="16">
        <f ca="1">-E15</f>
        <v>-3778.8369589786103</v>
      </c>
      <c r="N13" s="16"/>
      <c r="O13" s="11"/>
      <c r="P13" s="13"/>
      <c r="Q13" s="14">
        <f t="shared" ca="1" si="6"/>
        <v>-4829.1218898463194</v>
      </c>
      <c r="R13" s="16">
        <f t="shared" ca="1" si="4"/>
        <v>-4829.1218898463194</v>
      </c>
    </row>
    <row r="14" spans="1:19">
      <c r="A14" s="18" t="s">
        <v>105</v>
      </c>
      <c r="B14" s="11"/>
      <c r="C14" s="14"/>
      <c r="D14" s="14"/>
      <c r="E14" s="14">
        <f ca="1">-(I13+J13)-K13</f>
        <v>1050.2849308677091</v>
      </c>
      <c r="F14" s="14"/>
      <c r="G14" s="14"/>
      <c r="H14" s="14"/>
      <c r="I14" s="14"/>
      <c r="J14" s="14"/>
      <c r="K14" s="13"/>
      <c r="L14" s="14">
        <f t="shared" ca="1" si="5"/>
        <v>1050.2849308677091</v>
      </c>
      <c r="M14" s="16"/>
      <c r="N14" s="16"/>
      <c r="O14" s="11"/>
      <c r="P14" s="13"/>
      <c r="Q14" s="14">
        <f t="shared" ca="1" si="6"/>
        <v>1050.2849308677091</v>
      </c>
      <c r="R14" s="16">
        <f t="shared" ca="1" si="4"/>
        <v>1050.2849308677091</v>
      </c>
    </row>
    <row r="15" spans="1:19">
      <c r="A15" s="18" t="s">
        <v>106</v>
      </c>
      <c r="B15" s="11"/>
      <c r="C15" s="14"/>
      <c r="D15" s="14"/>
      <c r="E15" s="14">
        <f ca="1">E17-E14</f>
        <v>3778.8369589786103</v>
      </c>
      <c r="F15" s="14"/>
      <c r="G15" s="14"/>
      <c r="H15" s="14"/>
      <c r="I15" s="14"/>
      <c r="J15" s="14"/>
      <c r="K15" s="13"/>
      <c r="L15" s="14">
        <f t="shared" ca="1" si="5"/>
        <v>3778.8369589786103</v>
      </c>
      <c r="M15" s="16"/>
      <c r="N15" s="16"/>
      <c r="O15" s="11"/>
      <c r="P15" s="13"/>
      <c r="Q15" s="14">
        <f t="shared" ca="1" si="6"/>
        <v>3778.8369589786103</v>
      </c>
      <c r="R15" s="16">
        <f t="shared" ca="1" si="4"/>
        <v>3778.8369589786103</v>
      </c>
    </row>
    <row r="16" spans="1:19">
      <c r="A16" s="30" t="s">
        <v>86</v>
      </c>
      <c r="B16" s="21">
        <f ca="1">Q2</f>
        <v>567957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567957</v>
      </c>
      <c r="M16" s="19"/>
      <c r="N16" s="19"/>
      <c r="O16" s="21"/>
      <c r="P16" s="27"/>
      <c r="Q16" s="22">
        <f t="shared" ca="1" si="6"/>
        <v>567957</v>
      </c>
      <c r="R16" s="19">
        <f t="shared" ca="1" si="4"/>
        <v>567957</v>
      </c>
    </row>
    <row r="17" spans="1:18">
      <c r="A17" s="29" t="s">
        <v>85</v>
      </c>
      <c r="B17" s="9">
        <f ca="1">B16</f>
        <v>567957</v>
      </c>
      <c r="C17" s="9">
        <f ca="1">SUM(C$2:C$11)</f>
        <v>3484.4319211029483</v>
      </c>
      <c r="D17" s="9">
        <f ca="1">SUM(D$2:D$11)</f>
        <v>0</v>
      </c>
      <c r="E17" s="9">
        <f ca="1">$Q$5/parameters!$B$4</f>
        <v>4829.1218898463194</v>
      </c>
      <c r="F17" s="9">
        <f t="shared" ref="F17:K17" ca="1" si="7">SUM(F$2:F$11)</f>
        <v>4203.1343283582091</v>
      </c>
      <c r="G17" s="9">
        <f t="shared" ca="1" si="7"/>
        <v>1505.3291536050156</v>
      </c>
      <c r="H17" s="9">
        <f t="shared" ca="1" si="7"/>
        <v>5383.1399999999994</v>
      </c>
      <c r="I17" s="9">
        <f t="shared" ca="1" si="7"/>
        <v>2158.6538743362003</v>
      </c>
      <c r="J17" s="9">
        <f t="shared" ca="1" si="7"/>
        <v>3161.7661256637989</v>
      </c>
      <c r="K17" s="9">
        <f t="shared" ca="1" si="7"/>
        <v>5087.3403129445232</v>
      </c>
      <c r="L17" s="17">
        <f t="shared" ca="1" si="5"/>
        <v>597769.9176058569</v>
      </c>
      <c r="M17" s="17"/>
      <c r="N17" s="17"/>
      <c r="O17" s="9"/>
      <c r="P17" s="14"/>
      <c r="Q17" s="11">
        <f t="shared" ca="1" si="6"/>
        <v>597769.9176058569</v>
      </c>
      <c r="R17" s="17">
        <f t="shared" ca="1" si="4"/>
        <v>597769.9176058569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0.89798555620505971</v>
      </c>
      <c r="J18" s="39">
        <f ca="1">I18</f>
        <v>0.89798555620505971</v>
      </c>
      <c r="K18" s="40">
        <f ca="1">1-(-K13)/K17</f>
        <v>0.90023760696314015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3605.207809197947</v>
      </c>
      <c r="D2" s="9">
        <f ca="1">Q4/parameters!$B$3</f>
        <v>611.97544530542416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4217.1832545033712</v>
      </c>
      <c r="M2" s="17"/>
      <c r="N2" s="17">
        <f ca="1">Q2-(L2+O2+P2)</f>
        <v>0</v>
      </c>
      <c r="O2" s="11" cm="1">
        <f t="array" aca="1" ref="O2" ca="1">INDIRECT("'data'!$F$" &amp; $A$1)</f>
        <v>42523.775325590068</v>
      </c>
      <c r="P2" s="13">
        <f ca="1">IF(-(L2-Q2+O2)&lt;0, -(L2-Q2+O2), 0)</f>
        <v>-640.95858009343647</v>
      </c>
      <c r="Q2" s="17" cm="1">
        <f t="array" aca="1" ref="Q2" ca="1">INDIRECT("'data'!$D$" &amp; $A$1)</f>
        <v>46100</v>
      </c>
      <c r="R2" s="17">
        <f ca="1">SUM(L2:P2)</f>
        <v>46100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2783.2835820895525</v>
      </c>
      <c r="G3" s="14">
        <f ca="1">Q3-O3-P3-F3</f>
        <v>294.58141791044727</v>
      </c>
      <c r="H3" s="14"/>
      <c r="I3" s="14"/>
      <c r="J3" s="14"/>
      <c r="K3" s="13"/>
      <c r="L3" s="16">
        <f t="shared" ca="1" si="0"/>
        <v>3077.8649999999998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504.63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3582.4949999999999</v>
      </c>
      <c r="R3" s="16">
        <f t="shared" ref="R3:R10" ca="1" si="2">SUM(L3:P3)</f>
        <v>3582.4949999999999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573.16</v>
      </c>
      <c r="H4" s="14"/>
      <c r="I4" s="14"/>
      <c r="J4" s="14"/>
      <c r="K4" s="13"/>
      <c r="L4" s="16">
        <f t="shared" ca="1" si="0"/>
        <v>573.16</v>
      </c>
      <c r="M4" s="16"/>
      <c r="N4" s="16">
        <f t="shared" ca="1" si="1"/>
        <v>0</v>
      </c>
      <c r="O4" s="11" cm="1">
        <f t="array" aca="1" ref="O4" ca="1">INDIRECT("'data'!$K$" &amp; $A$1)*parameters!$B$14</f>
        <v>34.96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608.12</v>
      </c>
      <c r="R4" s="16">
        <f t="shared" ca="1" si="2"/>
        <v>608.12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Q6/parameters!$B$5*20%</f>
        <v>695.82089552238813</v>
      </c>
      <c r="G5" s="14">
        <f ca="1">Q7/parameters!$B$7-(G3+G4)</f>
        <v>2022.0809436360523</v>
      </c>
      <c r="H5" s="14"/>
      <c r="I5" s="14"/>
      <c r="J5" s="14"/>
      <c r="K5" s="13"/>
      <c r="L5" s="16">
        <f t="shared" ca="1" si="0"/>
        <v>2717.9018391584405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514.5</v>
      </c>
      <c r="P5" s="13" cm="1">
        <f t="array" aca="1" ref="P5" ca="1">-INDIRECT("'data'!$N$" &amp; $A$1)*parameters!$B$15</f>
        <v>-122.5</v>
      </c>
      <c r="Q5" s="16">
        <f ca="1">SUM(L5:P5)</f>
        <v>3109.9018391584405</v>
      </c>
      <c r="R5" s="16">
        <f t="shared" ca="1" si="2"/>
        <v>3109.9018391584405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3263.4</v>
      </c>
      <c r="I6" s="14"/>
      <c r="J6" s="14"/>
      <c r="K6" s="13"/>
      <c r="L6" s="16">
        <f t="shared" ca="1" si="0"/>
        <v>3263.4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3263.4</v>
      </c>
      <c r="R6" s="16">
        <f t="shared" ca="1" si="2"/>
        <v>3263.4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2765.56</v>
      </c>
      <c r="I7" s="14"/>
      <c r="J7" s="14"/>
      <c r="K7" s="13"/>
      <c r="L7" s="16">
        <f t="shared" ca="1" si="0"/>
        <v>2765.56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2765.56</v>
      </c>
      <c r="R7" s="16">
        <f t="shared" ca="1" si="2"/>
        <v>2765.56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2300.3218060781473</v>
      </c>
      <c r="J8" s="14">
        <f ca="1">Q10/J18</f>
        <v>3352.3181939218521</v>
      </c>
      <c r="K8" s="13"/>
      <c r="L8" s="16">
        <f t="shared" ca="1" si="0"/>
        <v>5652.6399999999994</v>
      </c>
      <c r="M8" s="16"/>
      <c r="N8" s="16">
        <f t="shared" ca="1" si="3"/>
        <v>0</v>
      </c>
      <c r="O8" s="11" cm="1">
        <f t="array" aca="1" ref="O8" ca="1">INDIRECT("'data'!$R$" &amp; $A$1)*parameters!$B$15</f>
        <v>387.09999999999997</v>
      </c>
      <c r="P8" s="13" cm="1">
        <f t="array" aca="1" ref="P8" ca="1">-INDIRECT("'data'!$S$" &amp; $A$1)*parameters!$B$15</f>
        <v>-10.78</v>
      </c>
      <c r="Q8" s="16">
        <f ca="1">SUM(Q6:Q7)</f>
        <v>6028.96</v>
      </c>
      <c r="R8" s="16">
        <f t="shared" ca="1" si="2"/>
        <v>6028.96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919.24</v>
      </c>
      <c r="L9" s="16">
        <f t="shared" ca="1" si="0"/>
        <v>919.24</v>
      </c>
      <c r="M9" s="16"/>
      <c r="N9" s="16">
        <f t="shared" ca="1" si="3"/>
        <v>0</v>
      </c>
      <c r="O9" s="11" cm="1">
        <f t="array" aca="1" ref="O9" ca="1">INDIRECT("'data'!$U$" &amp; $A$1)*parameters!$B$15</f>
        <v>817.31999999999994</v>
      </c>
      <c r="P9" s="13" cm="1">
        <f t="array" aca="1" ref="P9" ca="1">-INDIRECT("'data'!$V$" &amp; $A$1)*parameters!$B$15</f>
        <v>-168.56</v>
      </c>
      <c r="Q9" s="16" cm="1">
        <f t="array" aca="1" ref="Q9" ca="1">INDIRECT("'data'!$T$" &amp; $A$1)*parameters!$B$15</f>
        <v>1568</v>
      </c>
      <c r="R9" s="16">
        <f t="shared" ca="1" si="2"/>
        <v>1568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1949.9267709815078</v>
      </c>
      <c r="L10" s="16">
        <f t="shared" ca="1" si="0"/>
        <v>1949.9267709815078</v>
      </c>
      <c r="M10" s="16"/>
      <c r="N10" s="16">
        <f t="shared" ca="1" si="3"/>
        <v>0</v>
      </c>
      <c r="O10" s="11" cm="1">
        <f t="array" aca="1" ref="O10" ca="1">INDIRECT("'data'!$X$" &amp; $A$1)*parameters!$B$15</f>
        <v>1119.1600000000001</v>
      </c>
      <c r="P10" s="13" cm="1">
        <f t="array" aca="1" ref="P10" ca="1">-INDIRECT("'data'!$Y$" &amp; $A$1)*parameters!$B$15</f>
        <v>-784</v>
      </c>
      <c r="Q10" s="16" cm="1">
        <f t="array" aca="1" ref="Q10" ca="1">INDIRECT("'data'!$W$" &amp; $A$1)*parameters!$B$15</f>
        <v>2285.0867709815079</v>
      </c>
      <c r="R10" s="16">
        <f t="shared" ca="1" si="2"/>
        <v>2285.0867709815079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2645.8826230440964</v>
      </c>
      <c r="N11" s="19"/>
      <c r="O11" s="21" cm="1">
        <f t="array" aca="1" ref="O11" ca="1">INDIRECT("'data'!$Z$" &amp; $A$1)*parameters!$B$15</f>
        <v>1754.2</v>
      </c>
      <c r="P11" s="27" cm="1">
        <f t="array" aca="1" ref="P11" ca="1">-INDIRECT("'data'!$AA$" &amp; $A$1)*parameters!$B$15</f>
        <v>-1859.06</v>
      </c>
      <c r="Q11" s="16">
        <f ca="1">K9*parameters!$B$10+K10*parameters!$B$11</f>
        <v>2541.0226230440967</v>
      </c>
      <c r="R11" s="16">
        <f t="shared" ref="R11:R17" ca="1" si="4">SUM(L11:P11)</f>
        <v>2541.0226230440962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-22.712809197947081</v>
      </c>
      <c r="D12" s="9">
        <f ca="1">-(D17-Q4)</f>
        <v>-3.8554453054241549</v>
      </c>
      <c r="E12" s="9">
        <f ca="1">-(E17-Q5)</f>
        <v>-384.36989023306569</v>
      </c>
      <c r="F12" s="9">
        <f ca="1">-(F17-Q6)</f>
        <v>-215.70447761194055</v>
      </c>
      <c r="G12" s="9">
        <f ca="1">-(G17-Q7)</f>
        <v>-124.26236154649951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-750.90498389487698</v>
      </c>
      <c r="M12" s="17"/>
      <c r="N12" s="17"/>
      <c r="O12" s="10"/>
      <c r="P12" s="12"/>
      <c r="Q12" s="9">
        <f t="shared" ref="Q12:Q17" ca="1" si="6">SUM(L12:P12)</f>
        <v>-750.90498389487698</v>
      </c>
      <c r="R12" s="17">
        <f t="shared" ca="1" si="4"/>
        <v>-750.90498389487698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-732.32180607814735</v>
      </c>
      <c r="J13" s="14">
        <f ca="1">-(J17-Q10)</f>
        <v>-1067.2314229403441</v>
      </c>
      <c r="K13" s="13">
        <f ca="1">-(K17-Q11)</f>
        <v>-328.14414793741116</v>
      </c>
      <c r="L13" s="14">
        <f t="shared" ca="1" si="5"/>
        <v>-2127.6973769559027</v>
      </c>
      <c r="M13" s="16">
        <f ca="1">-E15</f>
        <v>-1366.5743524356035</v>
      </c>
      <c r="N13" s="16"/>
      <c r="O13" s="11"/>
      <c r="P13" s="13"/>
      <c r="Q13" s="14">
        <f t="shared" ca="1" si="6"/>
        <v>-3494.2717293915061</v>
      </c>
      <c r="R13" s="16">
        <f t="shared" ca="1" si="4"/>
        <v>-3494.2717293915061</v>
      </c>
    </row>
    <row r="14" spans="1:20">
      <c r="A14" s="18" t="s">
        <v>105</v>
      </c>
      <c r="B14" s="11"/>
      <c r="C14" s="14"/>
      <c r="D14" s="14"/>
      <c r="E14" s="14">
        <f ca="1">-(I13+J13)-K13</f>
        <v>2127.6973769559027</v>
      </c>
      <c r="F14" s="14"/>
      <c r="G14" s="14"/>
      <c r="H14" s="14"/>
      <c r="I14" s="14"/>
      <c r="J14" s="14"/>
      <c r="K14" s="13"/>
      <c r="L14" s="14">
        <f t="shared" ca="1" si="5"/>
        <v>2127.6973769559027</v>
      </c>
      <c r="M14" s="16"/>
      <c r="N14" s="16"/>
      <c r="O14" s="11"/>
      <c r="P14" s="13"/>
      <c r="Q14" s="14">
        <f t="shared" ca="1" si="6"/>
        <v>2127.6973769559027</v>
      </c>
      <c r="R14" s="16">
        <f t="shared" ca="1" si="4"/>
        <v>2127.6973769559027</v>
      </c>
    </row>
    <row r="15" spans="1:20">
      <c r="A15" s="18" t="s">
        <v>106</v>
      </c>
      <c r="B15" s="11"/>
      <c r="C15" s="14"/>
      <c r="D15" s="14"/>
      <c r="E15" s="14">
        <f ca="1">E17-E14</f>
        <v>1366.5743524356035</v>
      </c>
      <c r="F15" s="14"/>
      <c r="G15" s="14"/>
      <c r="H15" s="14"/>
      <c r="I15" s="14"/>
      <c r="J15" s="14"/>
      <c r="K15" s="13"/>
      <c r="L15" s="14">
        <f t="shared" ca="1" si="5"/>
        <v>1366.5743524356035</v>
      </c>
      <c r="M15" s="16"/>
      <c r="N15" s="16"/>
      <c r="O15" s="11"/>
      <c r="P15" s="13"/>
      <c r="Q15" s="14">
        <f t="shared" ca="1" si="6"/>
        <v>1366.5743524356035</v>
      </c>
      <c r="R15" s="16">
        <f t="shared" ca="1" si="4"/>
        <v>1366.5743524356035</v>
      </c>
    </row>
    <row r="16" spans="1:20">
      <c r="A16" s="30" t="s">
        <v>86</v>
      </c>
      <c r="B16" s="21">
        <f ca="1">Q2</f>
        <v>46100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46100</v>
      </c>
      <c r="M16" s="19"/>
      <c r="N16" s="19"/>
      <c r="O16" s="21"/>
      <c r="P16" s="27"/>
      <c r="Q16" s="22">
        <f t="shared" ca="1" si="6"/>
        <v>46100</v>
      </c>
      <c r="R16" s="19">
        <f t="shared" ca="1" si="4"/>
        <v>46100</v>
      </c>
    </row>
    <row r="17" spans="1:18">
      <c r="A17" s="29" t="s">
        <v>85</v>
      </c>
      <c r="B17" s="9">
        <f ca="1">B16</f>
        <v>46100</v>
      </c>
      <c r="C17" s="9">
        <f ca="1">SUM(C$2:C$11)</f>
        <v>3605.207809197947</v>
      </c>
      <c r="D17" s="9">
        <f ca="1">SUM(D$2:D$11)</f>
        <v>611.97544530542416</v>
      </c>
      <c r="E17" s="9">
        <f ca="1">$Q$5/parameters!$B$4</f>
        <v>3494.2717293915061</v>
      </c>
      <c r="F17" s="9">
        <f t="shared" ref="F17:K17" ca="1" si="7">SUM(F$2:F$11)</f>
        <v>3479.1044776119406</v>
      </c>
      <c r="G17" s="9">
        <f t="shared" ca="1" si="7"/>
        <v>2889.8223615464995</v>
      </c>
      <c r="H17" s="9">
        <f t="shared" ca="1" si="7"/>
        <v>6028.96</v>
      </c>
      <c r="I17" s="9">
        <f t="shared" ca="1" si="7"/>
        <v>2300.3218060781473</v>
      </c>
      <c r="J17" s="9">
        <f t="shared" ca="1" si="7"/>
        <v>3352.3181939218521</v>
      </c>
      <c r="K17" s="9">
        <f t="shared" ca="1" si="7"/>
        <v>2869.1667709815079</v>
      </c>
      <c r="L17" s="17">
        <f t="shared" ca="1" si="5"/>
        <v>74731.148594034836</v>
      </c>
      <c r="M17" s="17"/>
      <c r="N17" s="17"/>
      <c r="O17" s="9"/>
      <c r="P17" s="14"/>
      <c r="Q17" s="11">
        <f t="shared" ca="1" si="6"/>
        <v>74731.148594034836</v>
      </c>
      <c r="R17" s="17">
        <f t="shared" ca="1" si="4"/>
        <v>74731.148594034836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0.68164375778070219</v>
      </c>
      <c r="J18" s="39">
        <f ca="1">I18</f>
        <v>0.68164375778070219</v>
      </c>
      <c r="K18" s="40">
        <f ca="1">1-(-K13)/K17</f>
        <v>0.88563085587905477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S28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3682.2381000301903</v>
      </c>
      <c r="D2" s="9">
        <f ca="1">Q4/parameters!$B$3</f>
        <v>550.8704840495119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4233.1085840797023</v>
      </c>
      <c r="M2" s="17"/>
      <c r="N2" s="17">
        <f ca="1">Q2-(L2+O2+P2)</f>
        <v>0</v>
      </c>
      <c r="O2" s="11" cm="1">
        <f t="array" aca="1" ref="O2" ca="1">INDIRECT("'data'!$F$" &amp; $A$1)</f>
        <v>17121.875</v>
      </c>
      <c r="P2" s="13">
        <f ca="1">IF(-(L2-Q2+O2)&lt;0, -(L2-Q2+O2), 0)</f>
        <v>-18754.983584079702</v>
      </c>
      <c r="Q2" s="17" cm="1">
        <f t="array" aca="1" ref="Q2" ca="1">INDIRECT("'data'!$D$" &amp; $A$1)</f>
        <v>2600</v>
      </c>
      <c r="R2" s="17">
        <f ca="1">SUM(L2:P2)</f>
        <v>2600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3668.4179104477616</v>
      </c>
      <c r="G3" s="14">
        <f ca="1">Q3-O3-P3-F3</f>
        <v>20.862089552238103</v>
      </c>
      <c r="H3" s="14"/>
      <c r="I3" s="14"/>
      <c r="J3" s="14"/>
      <c r="K3" s="13"/>
      <c r="L3" s="16">
        <f t="shared" ca="1" si="0"/>
        <v>3689.2799999999997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-30.24</v>
      </c>
      <c r="Q3" s="16" cm="1">
        <f t="array" aca="1" ref="Q3" ca="1">INDIRECT("'data'!$G$" &amp; $A$1)*parameters!$B$13</f>
        <v>3659.04</v>
      </c>
      <c r="R3" s="16">
        <f t="shared" ref="R3:R10" ca="1" si="2">SUM(L3:P3)</f>
        <v>3659.04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97.52000000000001</v>
      </c>
      <c r="H4" s="14"/>
      <c r="I4" s="14"/>
      <c r="J4" s="14"/>
      <c r="K4" s="13"/>
      <c r="L4" s="16">
        <f t="shared" ca="1" si="0"/>
        <v>97.52000000000001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527.16</v>
      </c>
      <c r="P4" s="13" cm="1">
        <f t="array" aca="1" ref="P4" ca="1">-INDIRECT("'data'!$L$" &amp; $A$1)*parameters!$B$14</f>
        <v>-77.28</v>
      </c>
      <c r="Q4" s="16" cm="1">
        <f t="array" aca="1" ref="Q4" ca="1">INDIRECT("'data'!$J$" &amp; $A$1)*parameters!$B$14</f>
        <v>547.4</v>
      </c>
      <c r="R4" s="16">
        <f t="shared" ca="1" si="2"/>
        <v>547.4</v>
      </c>
      <c r="S4" s="7"/>
    </row>
    <row r="5" spans="1:19" ht="17">
      <c r="A5" s="15" t="s">
        <v>104</v>
      </c>
      <c r="B5" s="11"/>
      <c r="C5" s="14"/>
      <c r="D5" s="14"/>
      <c r="E5" s="14"/>
      <c r="F5" s="14">
        <f ca="1">Q6/parameters!$B$5*20%</f>
        <v>917.10447761194052</v>
      </c>
      <c r="G5" s="14">
        <f ca="1">Q7/parameters!$B$7-(G3+G4)</f>
        <v>2502.1194778458812</v>
      </c>
      <c r="H5" s="14"/>
      <c r="I5" s="14"/>
      <c r="J5" s="14"/>
      <c r="K5" s="13"/>
      <c r="L5" s="16">
        <f t="shared" ca="1" si="0"/>
        <v>3419.2239554578218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392</v>
      </c>
      <c r="P5" s="13" cm="1">
        <f t="array" aca="1" ref="P5" ca="1">-INDIRECT("'data'!$N$" &amp; $A$1)*parameters!$B$15</f>
        <v>-1501.36</v>
      </c>
      <c r="Q5" s="16">
        <f ca="1">SUM(L5:P5)</f>
        <v>2309.8639554578222</v>
      </c>
      <c r="R5" s="16">
        <f t="shared" ca="1" si="2"/>
        <v>2309.8639554578222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4301.22</v>
      </c>
      <c r="I6" s="14"/>
      <c r="J6" s="14"/>
      <c r="K6" s="13"/>
      <c r="L6" s="16">
        <f t="shared" ca="1" si="0"/>
        <v>4301.22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4301.22</v>
      </c>
      <c r="R6" s="16">
        <f t="shared" ca="1" si="2"/>
        <v>4301.22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2507.8200000000002</v>
      </c>
      <c r="I7" s="14"/>
      <c r="J7" s="14"/>
      <c r="K7" s="13"/>
      <c r="L7" s="16">
        <f t="shared" ca="1" si="0"/>
        <v>2507.8200000000002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2507.8200000000002</v>
      </c>
      <c r="R7" s="16">
        <f t="shared" ca="1" si="2"/>
        <v>2507.8200000000002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5231.136842105263</v>
      </c>
      <c r="J8" s="14">
        <f ca="1">Q10/J18</f>
        <v>233.51983229767166</v>
      </c>
      <c r="K8" s="13"/>
      <c r="L8" s="16">
        <f t="shared" ca="1" si="0"/>
        <v>5464.6566744029351</v>
      </c>
      <c r="M8" s="16"/>
      <c r="N8" s="16">
        <f t="shared" ca="1" si="3"/>
        <v>-328.4766744029348</v>
      </c>
      <c r="O8" s="11" cm="1">
        <f t="array" aca="1" ref="O8" ca="1">INDIRECT("'data'!$R$" &amp; $A$1)*parameters!$B$15</f>
        <v>2106.02</v>
      </c>
      <c r="P8" s="13" cm="1">
        <f t="array" aca="1" ref="P8" ca="1">-INDIRECT("'data'!$S$" &amp; $A$1)*parameters!$B$15</f>
        <v>-433.15999999999997</v>
      </c>
      <c r="Q8" s="16">
        <f ca="1">SUM(Q6:Q7)</f>
        <v>6809.0400000000009</v>
      </c>
      <c r="R8" s="16">
        <f t="shared" ca="1" si="2"/>
        <v>6809.0400000000009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4654.0199999999995</v>
      </c>
      <c r="L9" s="16">
        <f t="shared" ca="1" si="0"/>
        <v>4654.0199999999995</v>
      </c>
      <c r="M9" s="16"/>
      <c r="N9" s="16">
        <f t="shared" ca="1" si="3"/>
        <v>0</v>
      </c>
      <c r="O9" s="11" cm="1">
        <f t="array" aca="1" ref="O9" ca="1">INDIRECT("'data'!$U$" &amp; $A$1)*parameters!$B$15</f>
        <v>2018.8</v>
      </c>
      <c r="P9" s="13" cm="1">
        <f t="array" aca="1" ref="P9" ca="1">-INDIRECT("'data'!$V$" &amp; $A$1)*parameters!$B$15</f>
        <v>-1703.24</v>
      </c>
      <c r="Q9" s="16" cm="1">
        <f t="array" aca="1" ref="Q9" ca="1">INDIRECT("'data'!$T$" &amp; $A$1)*parameters!$B$15</f>
        <v>4969.58</v>
      </c>
      <c r="R9" s="16">
        <f t="shared" ca="1" si="2"/>
        <v>4969.58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4218.2838406827887</v>
      </c>
      <c r="L10" s="16">
        <f t="shared" ca="1" si="0"/>
        <v>4218.2838406827887</v>
      </c>
      <c r="M10" s="16"/>
      <c r="N10" s="16">
        <f t="shared" ca="1" si="3"/>
        <v>0</v>
      </c>
      <c r="O10" s="11" cm="1">
        <f t="array" aca="1" ref="O10" ca="1">INDIRECT("'data'!$X$" &amp; $A$1)*parameters!$B$15</f>
        <v>674.24</v>
      </c>
      <c r="P10" s="13" cm="1">
        <f t="array" aca="1" ref="P10" ca="1">-INDIRECT("'data'!$Y$" &amp; $A$1)*parameters!$B$15</f>
        <v>-4670.68</v>
      </c>
      <c r="Q10" s="16" cm="1">
        <f t="array" aca="1" ref="Q10" ca="1">INDIRECT("'data'!$W$" &amp; $A$1)*parameters!$B$15</f>
        <v>221.84384068278806</v>
      </c>
      <c r="R10" s="16">
        <f t="shared" ca="1" si="2"/>
        <v>221.84384068278814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8566.9829029871962</v>
      </c>
      <c r="N11" s="19"/>
      <c r="O11" s="21" cm="1">
        <f t="array" aca="1" ref="O11" ca="1">INDIRECT("'data'!$Z$" &amp; $A$1)*parameters!$B$15</f>
        <v>1937.46</v>
      </c>
      <c r="P11" s="27" cm="1">
        <f t="array" aca="1" ref="P11" ca="1">-INDIRECT("'data'!$AA$" &amp; $A$1)*parameters!$B$15</f>
        <v>-2501.94</v>
      </c>
      <c r="Q11" s="16">
        <f ca="1">K9*parameters!$B$10+K10*parameters!$B$11</f>
        <v>8002.5029029871966</v>
      </c>
      <c r="R11" s="16">
        <f t="shared" ref="R11:R17" ca="1" si="4">SUM(L11:P11)</f>
        <v>8002.5029029871966</v>
      </c>
      <c r="S11" s="7"/>
    </row>
    <row r="12" spans="1:19">
      <c r="A12" s="29" t="s">
        <v>107</v>
      </c>
      <c r="B12" s="10">
        <f ca="1">-(B17-Q2)</f>
        <v>0</v>
      </c>
      <c r="C12" s="9">
        <f ca="1">-(C17-Q3)</f>
        <v>-23.19810003019029</v>
      </c>
      <c r="D12" s="9">
        <f ca="1">-(D17-Q4)</f>
        <v>-3.4704840495119242</v>
      </c>
      <c r="E12" s="9">
        <f ca="1">-(E17-Q5)</f>
        <v>-285.48880348355124</v>
      </c>
      <c r="F12" s="9">
        <f ca="1">-(F17-Q6)</f>
        <v>-284.30238805970203</v>
      </c>
      <c r="G12" s="9">
        <f ca="1">-(G17-Q7)</f>
        <v>-112.68156739811911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-709.14134302107459</v>
      </c>
      <c r="M12" s="17"/>
      <c r="N12" s="17"/>
      <c r="O12" s="10"/>
      <c r="P12" s="12"/>
      <c r="Q12" s="9">
        <f t="shared" ref="Q12:Q17" ca="1" si="6">SUM(L12:P12)</f>
        <v>-709.14134302107459</v>
      </c>
      <c r="R12" s="17">
        <f t="shared" ca="1" si="4"/>
        <v>-709.14134302107459</v>
      </c>
    </row>
    <row r="13" spans="1:19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-261.55684210526306</v>
      </c>
      <c r="J13" s="14">
        <f ca="1">-(J17-Q10)</f>
        <v>-11.6759916148836</v>
      </c>
      <c r="K13" s="13">
        <f ca="1">-(K17-Q11)</f>
        <v>-869.80093769559062</v>
      </c>
      <c r="L13" s="14">
        <f t="shared" ca="1" si="5"/>
        <v>-1143.0337714157372</v>
      </c>
      <c r="M13" s="16">
        <f ca="1">-E15</f>
        <v>-1452.3189875256362</v>
      </c>
      <c r="N13" s="16"/>
      <c r="O13" s="11"/>
      <c r="P13" s="13"/>
      <c r="Q13" s="14">
        <f t="shared" ca="1" si="6"/>
        <v>-2595.3527589413734</v>
      </c>
      <c r="R13" s="16">
        <f t="shared" ca="1" si="4"/>
        <v>-2595.3527589413734</v>
      </c>
    </row>
    <row r="14" spans="1:19">
      <c r="A14" s="18" t="s">
        <v>105</v>
      </c>
      <c r="B14" s="11"/>
      <c r="C14" s="14"/>
      <c r="D14" s="14"/>
      <c r="E14" s="14">
        <f ca="1">-(I13+J13)-K13</f>
        <v>1143.0337714157372</v>
      </c>
      <c r="F14" s="14"/>
      <c r="G14" s="14"/>
      <c r="H14" s="14"/>
      <c r="I14" s="14"/>
      <c r="J14" s="14"/>
      <c r="K14" s="13"/>
      <c r="L14" s="14">
        <f t="shared" ca="1" si="5"/>
        <v>1143.0337714157372</v>
      </c>
      <c r="M14" s="16"/>
      <c r="N14" s="16"/>
      <c r="O14" s="11"/>
      <c r="P14" s="13"/>
      <c r="Q14" s="14">
        <f t="shared" ca="1" si="6"/>
        <v>1143.0337714157372</v>
      </c>
      <c r="R14" s="16">
        <f t="shared" ca="1" si="4"/>
        <v>1143.0337714157372</v>
      </c>
    </row>
    <row r="15" spans="1:19">
      <c r="A15" s="18" t="s">
        <v>106</v>
      </c>
      <c r="B15" s="11"/>
      <c r="C15" s="14"/>
      <c r="D15" s="14"/>
      <c r="E15" s="14">
        <f ca="1">E17-E14</f>
        <v>1452.3189875256362</v>
      </c>
      <c r="F15" s="14"/>
      <c r="G15" s="14"/>
      <c r="H15" s="14"/>
      <c r="I15" s="14"/>
      <c r="J15" s="14"/>
      <c r="K15" s="13"/>
      <c r="L15" s="14">
        <f t="shared" ca="1" si="5"/>
        <v>1452.3189875256362</v>
      </c>
      <c r="M15" s="16"/>
      <c r="N15" s="16"/>
      <c r="O15" s="11"/>
      <c r="P15" s="13"/>
      <c r="Q15" s="14">
        <f t="shared" ca="1" si="6"/>
        <v>1452.3189875256362</v>
      </c>
      <c r="R15" s="16">
        <f t="shared" ca="1" si="4"/>
        <v>1452.3189875256362</v>
      </c>
    </row>
    <row r="16" spans="1:19">
      <c r="A16" s="30" t="s">
        <v>86</v>
      </c>
      <c r="B16" s="21">
        <f ca="1">Q2</f>
        <v>2600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2600</v>
      </c>
      <c r="M16" s="19"/>
      <c r="N16" s="19"/>
      <c r="O16" s="21"/>
      <c r="P16" s="27"/>
      <c r="Q16" s="22">
        <f t="shared" ca="1" si="6"/>
        <v>2600</v>
      </c>
      <c r="R16" s="19">
        <f t="shared" ca="1" si="4"/>
        <v>2600</v>
      </c>
    </row>
    <row r="17" spans="1:18">
      <c r="A17" s="29" t="s">
        <v>85</v>
      </c>
      <c r="B17" s="9">
        <f ca="1">B16</f>
        <v>2600</v>
      </c>
      <c r="C17" s="9">
        <f ca="1">SUM(C$2:C$11)</f>
        <v>3682.2381000301903</v>
      </c>
      <c r="D17" s="9">
        <f ca="1">SUM(D$2:D$11)</f>
        <v>550.8704840495119</v>
      </c>
      <c r="E17" s="9">
        <f ca="1">$Q$5/parameters!$B$4</f>
        <v>2595.3527589413734</v>
      </c>
      <c r="F17" s="9">
        <f t="shared" ref="F17:K17" ca="1" si="7">SUM(F$2:F$11)</f>
        <v>4585.5223880597023</v>
      </c>
      <c r="G17" s="9">
        <f t="shared" ca="1" si="7"/>
        <v>2620.5015673981193</v>
      </c>
      <c r="H17" s="9">
        <f t="shared" ca="1" si="7"/>
        <v>6809.0400000000009</v>
      </c>
      <c r="I17" s="9">
        <f t="shared" ca="1" si="7"/>
        <v>5231.136842105263</v>
      </c>
      <c r="J17" s="9">
        <f t="shared" ca="1" si="7"/>
        <v>233.51983229767166</v>
      </c>
      <c r="K17" s="9">
        <f t="shared" ca="1" si="7"/>
        <v>8872.3038406827873</v>
      </c>
      <c r="L17" s="17">
        <f t="shared" ca="1" si="5"/>
        <v>37780.485813564621</v>
      </c>
      <c r="M17" s="17"/>
      <c r="N17" s="17"/>
      <c r="O17" s="9"/>
      <c r="P17" s="14"/>
      <c r="Q17" s="11">
        <f t="shared" ca="1" si="6"/>
        <v>37780.485813564621</v>
      </c>
      <c r="R17" s="17">
        <f t="shared" ca="1" si="4"/>
        <v>37780.485813564621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0.95</v>
      </c>
      <c r="J18" s="44">
        <f>I18</f>
        <v>0.95</v>
      </c>
      <c r="K18" s="40">
        <f ca="1">1-(-K13)/K17</f>
        <v>0.90196447807533009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11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11</v>
      </c>
      <c r="R2" s="17">
        <f ca="1">SUM(L2:P2)</f>
        <v>11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160.65</v>
      </c>
      <c r="H3" s="14"/>
      <c r="I3" s="14"/>
      <c r="J3" s="14"/>
      <c r="K3" s="13"/>
      <c r="L3" s="16">
        <f t="shared" ca="1" si="0"/>
        <v>160.65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-160.65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4187.3959770114943</v>
      </c>
      <c r="H5" s="14"/>
      <c r="I5" s="14"/>
      <c r="J5" s="14"/>
      <c r="K5" s="13"/>
      <c r="L5" s="16">
        <f t="shared" ca="1" si="0"/>
        <v>4187.3959770114943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356.71999999999997</v>
      </c>
      <c r="P5" s="13" cm="1">
        <f t="array" aca="1" ref="P5" ca="1">-INDIRECT("'data'!$N$" &amp; $A$1)*parameters!$B$15</f>
        <v>-1012.34</v>
      </c>
      <c r="Q5" s="16">
        <f ca="1">SUM(L5:P5)</f>
        <v>3531.7759770114944</v>
      </c>
      <c r="R5" s="16">
        <f t="shared" ca="1" si="2"/>
        <v>3531.7759770114944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4161.08</v>
      </c>
      <c r="I7" s="14"/>
      <c r="J7" s="14"/>
      <c r="K7" s="13"/>
      <c r="L7" s="16">
        <f t="shared" ca="1" si="0"/>
        <v>4161.08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4161.08</v>
      </c>
      <c r="R7" s="16">
        <f t="shared" ca="1" si="2"/>
        <v>4161.08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5313.6725670441892</v>
      </c>
      <c r="J8" s="14">
        <f ca="1">Q10/J18</f>
        <v>2821.3074329558103</v>
      </c>
      <c r="K8" s="13"/>
      <c r="L8" s="16">
        <f t="shared" ca="1" si="0"/>
        <v>8134.98</v>
      </c>
      <c r="M8" s="16"/>
      <c r="N8" s="16">
        <f t="shared" ca="1" si="3"/>
        <v>0</v>
      </c>
      <c r="O8" s="11" cm="1">
        <f t="array" aca="1" ref="O8" ca="1">INDIRECT("'data'!$R$" &amp; $A$1)*parameters!$B$15</f>
        <v>117.6</v>
      </c>
      <c r="P8" s="13" cm="1">
        <f t="array" aca="1" ref="P8" ca="1">-INDIRECT("'data'!$S$" &amp; $A$1)*parameters!$B$15</f>
        <v>-4091.5</v>
      </c>
      <c r="Q8" s="16">
        <f ca="1">SUM(Q6:Q7)</f>
        <v>4161.08</v>
      </c>
      <c r="R8" s="16">
        <f t="shared" ca="1" si="2"/>
        <v>4161.08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6767.88</v>
      </c>
      <c r="L9" s="16">
        <f t="shared" ca="1" si="0"/>
        <v>6767.88</v>
      </c>
      <c r="M9" s="16"/>
      <c r="N9" s="16">
        <f t="shared" ca="1" si="3"/>
        <v>0</v>
      </c>
      <c r="O9" s="11" cm="1">
        <f t="array" aca="1" ref="O9" ca="1">INDIRECT("'data'!$U$" &amp; $A$1)*parameters!$B$15</f>
        <v>773.22</v>
      </c>
      <c r="P9" s="13" cm="1">
        <f t="array" aca="1" ref="P9" ca="1">-INDIRECT("'data'!$V$" &amp; $A$1)*parameters!$B$15</f>
        <v>-2598.96</v>
      </c>
      <c r="Q9" s="16" cm="1">
        <f t="array" aca="1" ref="Q9" ca="1">INDIRECT("'data'!$T$" &amp; $A$1)*parameters!$B$15</f>
        <v>4942.1400000000003</v>
      </c>
      <c r="R9" s="16">
        <f t="shared" ca="1" si="2"/>
        <v>4942.1400000000003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11391.121308677099</v>
      </c>
      <c r="L10" s="16">
        <f t="shared" ca="1" si="0"/>
        <v>11391.121308677099</v>
      </c>
      <c r="M10" s="16"/>
      <c r="N10" s="16">
        <f t="shared" ca="1" si="3"/>
        <v>0</v>
      </c>
      <c r="O10" s="11" cm="1">
        <f t="array" aca="1" ref="O10" ca="1">INDIRECT("'data'!$X$" &amp; $A$1)*parameters!$B$15</f>
        <v>317.52</v>
      </c>
      <c r="P10" s="13" cm="1">
        <f t="array" aca="1" ref="P10" ca="1">-INDIRECT("'data'!$Y$" &amp; $A$1)*parameters!$B$15</f>
        <v>-9084.6</v>
      </c>
      <c r="Q10" s="16" cm="1">
        <f t="array" aca="1" ref="Q10" ca="1">INDIRECT("'data'!$W$" &amp; $A$1)*parameters!$B$15</f>
        <v>2624.0413086770982</v>
      </c>
      <c r="R10" s="16">
        <f t="shared" ca="1" si="2"/>
        <v>2624.0413086770986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14869.471525462306</v>
      </c>
      <c r="N11" s="19"/>
      <c r="O11" s="21" cm="1">
        <f t="array" aca="1" ref="O11" ca="1">INDIRECT("'data'!$Z$" &amp; $A$1)*parameters!$B$15</f>
        <v>4395.3</v>
      </c>
      <c r="P11" s="27" cm="1">
        <f t="array" aca="1" ref="P11" ca="1">-INDIRECT("'data'!$AA$" &amp; $A$1)*parameters!$B$15</f>
        <v>-3106.6</v>
      </c>
      <c r="Q11" s="16">
        <f ca="1">K9*parameters!$B$10+K10*parameters!$B$11</f>
        <v>16158.171525462305</v>
      </c>
      <c r="R11" s="16">
        <f t="shared" ref="R11:R17" ca="1" si="4">SUM(L11:P11)</f>
        <v>16158.171525462307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-436.51163760816235</v>
      </c>
      <c r="F12" s="9">
        <f ca="1">-(F17-Q6)</f>
        <v>0</v>
      </c>
      <c r="G12" s="9">
        <f ca="1">-(G17-Q7)</f>
        <v>-186.96597701149403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-623.47761461965638</v>
      </c>
      <c r="M12" s="17"/>
      <c r="N12" s="17"/>
      <c r="O12" s="10"/>
      <c r="P12" s="12"/>
      <c r="Q12" s="9">
        <f t="shared" ref="Q12:Q17" ca="1" si="6">SUM(L12:P12)</f>
        <v>-623.47761461965638</v>
      </c>
      <c r="R12" s="17">
        <f t="shared" ca="1" si="4"/>
        <v>-623.47761461965638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-371.53256704418891</v>
      </c>
      <c r="J13" s="14">
        <f ca="1">-(J17-Q10)</f>
        <v>-197.26612427871214</v>
      </c>
      <c r="K13" s="13">
        <f ca="1">-(K17-Q11)</f>
        <v>-2000.8297832147946</v>
      </c>
      <c r="L13" s="14">
        <f t="shared" ca="1" si="5"/>
        <v>-2569.6284745376956</v>
      </c>
      <c r="M13" s="16">
        <f ca="1">-E15</f>
        <v>-1398.6591400819611</v>
      </c>
      <c r="N13" s="16"/>
      <c r="O13" s="11"/>
      <c r="P13" s="13"/>
      <c r="Q13" s="14">
        <f t="shared" ca="1" si="6"/>
        <v>-3968.2876146196568</v>
      </c>
      <c r="R13" s="16">
        <f t="shared" ca="1" si="4"/>
        <v>-3968.2876146196568</v>
      </c>
    </row>
    <row r="14" spans="1:20">
      <c r="A14" s="18" t="s">
        <v>105</v>
      </c>
      <c r="B14" s="11"/>
      <c r="C14" s="14"/>
      <c r="D14" s="14"/>
      <c r="E14" s="14">
        <f ca="1">-(I13+J13)-K13</f>
        <v>2569.6284745376956</v>
      </c>
      <c r="F14" s="14"/>
      <c r="G14" s="14"/>
      <c r="H14" s="14"/>
      <c r="I14" s="14"/>
      <c r="J14" s="14"/>
      <c r="K14" s="13"/>
      <c r="L14" s="14">
        <f t="shared" ca="1" si="5"/>
        <v>2569.6284745376956</v>
      </c>
      <c r="M14" s="16"/>
      <c r="N14" s="16"/>
      <c r="O14" s="11"/>
      <c r="P14" s="13"/>
      <c r="Q14" s="14">
        <f t="shared" ca="1" si="6"/>
        <v>2569.6284745376956</v>
      </c>
      <c r="R14" s="16">
        <f t="shared" ca="1" si="4"/>
        <v>2569.6284745376956</v>
      </c>
    </row>
    <row r="15" spans="1:20">
      <c r="A15" s="18" t="s">
        <v>106</v>
      </c>
      <c r="B15" s="11"/>
      <c r="C15" s="14"/>
      <c r="D15" s="14"/>
      <c r="E15" s="14">
        <f ca="1">E17-E14</f>
        <v>1398.6591400819611</v>
      </c>
      <c r="F15" s="14"/>
      <c r="G15" s="14"/>
      <c r="H15" s="14"/>
      <c r="I15" s="14"/>
      <c r="J15" s="14"/>
      <c r="K15" s="13"/>
      <c r="L15" s="14">
        <f t="shared" ca="1" si="5"/>
        <v>1398.6591400819611</v>
      </c>
      <c r="M15" s="16"/>
      <c r="N15" s="16"/>
      <c r="O15" s="11"/>
      <c r="P15" s="13"/>
      <c r="Q15" s="14">
        <f t="shared" ca="1" si="6"/>
        <v>1398.6591400819611</v>
      </c>
      <c r="R15" s="16">
        <f t="shared" ca="1" si="4"/>
        <v>1398.6591400819611</v>
      </c>
    </row>
    <row r="16" spans="1:20">
      <c r="A16" s="30" t="s">
        <v>86</v>
      </c>
      <c r="B16" s="21">
        <f ca="1">Q2</f>
        <v>11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11</v>
      </c>
      <c r="M16" s="19"/>
      <c r="N16" s="19"/>
      <c r="O16" s="21"/>
      <c r="P16" s="27"/>
      <c r="Q16" s="22">
        <f t="shared" ca="1" si="6"/>
        <v>11</v>
      </c>
      <c r="R16" s="19">
        <f t="shared" ca="1" si="4"/>
        <v>11</v>
      </c>
    </row>
    <row r="17" spans="1:18">
      <c r="A17" s="29" t="s">
        <v>85</v>
      </c>
      <c r="B17" s="9">
        <f ca="1">B16</f>
        <v>11</v>
      </c>
      <c r="C17" s="9">
        <f ca="1">SUM(C$2:C$11)</f>
        <v>0</v>
      </c>
      <c r="D17" s="9">
        <f ca="1">SUM(D$2:D$11)</f>
        <v>0</v>
      </c>
      <c r="E17" s="9">
        <f ca="1">$Q$5/parameters!$B$4</f>
        <v>3968.2876146196568</v>
      </c>
      <c r="F17" s="9">
        <f t="shared" ref="F17:K17" ca="1" si="7">SUM(F$2:F$11)</f>
        <v>0</v>
      </c>
      <c r="G17" s="9">
        <f t="shared" ca="1" si="7"/>
        <v>4348.045977011494</v>
      </c>
      <c r="H17" s="9">
        <f t="shared" ca="1" si="7"/>
        <v>4161.08</v>
      </c>
      <c r="I17" s="9">
        <f t="shared" ca="1" si="7"/>
        <v>5313.6725670441892</v>
      </c>
      <c r="J17" s="9">
        <f t="shared" ca="1" si="7"/>
        <v>2821.3074329558103</v>
      </c>
      <c r="K17" s="9">
        <f t="shared" ca="1" si="7"/>
        <v>18159.0013086771</v>
      </c>
      <c r="L17" s="17">
        <f t="shared" ca="1" si="5"/>
        <v>38782.394900308253</v>
      </c>
      <c r="M17" s="17"/>
      <c r="N17" s="17"/>
      <c r="O17" s="9"/>
      <c r="P17" s="14"/>
      <c r="Q17" s="11">
        <f t="shared" ca="1" si="6"/>
        <v>38782.394900308253</v>
      </c>
      <c r="R17" s="17">
        <f t="shared" ca="1" si="4"/>
        <v>38782.394900308253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0.93007989062998297</v>
      </c>
      <c r="J18" s="39">
        <f ca="1">I18</f>
        <v>0.93007989062998297</v>
      </c>
      <c r="K18" s="40">
        <f ca="1">1-(-K13)/K17</f>
        <v>0.88981608904567244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N5" sqref="N5"/>
    </sheetView>
  </sheetViews>
  <sheetFormatPr baseColWidth="10" defaultRowHeight="16"/>
  <cols>
    <col min="1" max="1" width="19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104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81</v>
      </c>
      <c r="M1" s="28" t="s">
        <v>82</v>
      </c>
      <c r="N1" s="28" t="s">
        <v>79</v>
      </c>
      <c r="O1" s="24" t="s">
        <v>70</v>
      </c>
      <c r="P1" s="26" t="s">
        <v>71</v>
      </c>
      <c r="Q1" s="28" t="s">
        <v>80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3016.5442286404345</v>
      </c>
      <c r="D2" s="9">
        <f ca="1">Q4/parameters!$B$3</f>
        <v>101.84160209318708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3118.3858307336218</v>
      </c>
      <c r="M2" s="17"/>
      <c r="N2" s="17">
        <f ca="1">Q2-(L2+O2+P2)</f>
        <v>8204.2897283091406</v>
      </c>
      <c r="O2" s="11" cm="1">
        <f t="array" aca="1" ref="O2" ca="1">INDIRECT("'data'!$F$" &amp; $A$1)</f>
        <v>15777.324440957238</v>
      </c>
      <c r="P2" s="13">
        <f ca="1">IF(-(L2-Q2+O2)&lt;0, -(L2-Q2+O2), 0)</f>
        <v>0</v>
      </c>
      <c r="Q2" s="17" cm="1">
        <f t="array" aca="1" ref="Q2" ca="1">INDIRECT("'data'!$D$" &amp; $A$1)</f>
        <v>27100</v>
      </c>
      <c r="R2" s="17">
        <f ca="1">SUM(L2:P2)</f>
        <v>27100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2611.1044776119406</v>
      </c>
      <c r="G3" s="14">
        <f ca="1">Q3-O3-P3-F3</f>
        <v>433.68552238805933</v>
      </c>
      <c r="H3" s="14"/>
      <c r="I3" s="14"/>
      <c r="J3" s="14"/>
      <c r="K3" s="13"/>
      <c r="L3" s="16">
        <f t="shared" ca="1" si="0"/>
        <v>3044.79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-47.25</v>
      </c>
      <c r="Q3" s="16" cm="1">
        <f t="array" aca="1" ref="Q3" ca="1">INDIRECT("'data'!$G$" &amp; $A$1)*parameters!$B$13</f>
        <v>2997.54</v>
      </c>
      <c r="R3" s="16">
        <f t="shared" ref="R3:R10" ca="1" si="2">SUM(L3:P3)</f>
        <v>2997.54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121.44</v>
      </c>
      <c r="H4" s="14"/>
      <c r="I4" s="14"/>
      <c r="J4" s="14"/>
      <c r="K4" s="13"/>
      <c r="L4" s="16">
        <f t="shared" ca="1" si="0"/>
        <v>121.44</v>
      </c>
      <c r="M4" s="16"/>
      <c r="N4" s="16">
        <f t="shared" ca="1" si="1"/>
        <v>0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-22.080000000000002</v>
      </c>
      <c r="Q4" s="16" cm="1">
        <f t="array" aca="1" ref="Q4" ca="1">INDIRECT("'data'!$J$" &amp; $A$1)*parameters!$B$14</f>
        <v>101.2</v>
      </c>
      <c r="R4" s="16">
        <f t="shared" ca="1" si="2"/>
        <v>101.2</v>
      </c>
      <c r="S4" s="7"/>
    </row>
    <row r="5" spans="1:20" ht="17">
      <c r="A5" s="15" t="s">
        <v>104</v>
      </c>
      <c r="B5" s="11"/>
      <c r="C5" s="14"/>
      <c r="D5" s="14"/>
      <c r="E5" s="14"/>
      <c r="F5" s="14">
        <f ca="1">Q6/parameters!$B$5*20%</f>
        <v>652.77611940298516</v>
      </c>
      <c r="G5" s="14">
        <f ca="1">Q7/parameters!$B$7-(G3+G4)</f>
        <v>1079.2318443831005</v>
      </c>
      <c r="H5" s="14"/>
      <c r="I5" s="14"/>
      <c r="J5" s="14"/>
      <c r="K5" s="13"/>
      <c r="L5" s="16">
        <f t="shared" ca="1" si="0"/>
        <v>1732.0079637860856</v>
      </c>
      <c r="M5" s="16"/>
      <c r="N5" s="16">
        <f ca="1">IF($E$14*parameters!$B$4-$P$5-$L$5-$O$5&lt;0, 0, $E$14*parameters!$B$4-$P$5-$L$5-$O$5)</f>
        <v>0</v>
      </c>
      <c r="O5" s="11" cm="1">
        <f t="array" aca="1" ref="O5" ca="1">INDIRECT("'data'!$M$" &amp; $A$1)*parameters!$B$15</f>
        <v>1461.18</v>
      </c>
      <c r="P5" s="13" cm="1">
        <f t="array" aca="1" ref="P5" ca="1">-INDIRECT("'data'!$N$" &amp; $A$1)*parameters!$B$15</f>
        <v>-197.96</v>
      </c>
      <c r="Q5" s="16">
        <f ca="1">SUM(L5:P5)</f>
        <v>2995.2279637860856</v>
      </c>
      <c r="R5" s="16">
        <f t="shared" ca="1" si="2"/>
        <v>2995.2279637860856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3061.52</v>
      </c>
      <c r="I6" s="14"/>
      <c r="J6" s="14"/>
      <c r="K6" s="13"/>
      <c r="L6" s="16">
        <f t="shared" ca="1" si="0"/>
        <v>3061.52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3061.52</v>
      </c>
      <c r="R6" s="16">
        <f t="shared" ca="1" si="2"/>
        <v>3061.52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1564.08</v>
      </c>
      <c r="I7" s="14"/>
      <c r="J7" s="14"/>
      <c r="K7" s="13"/>
      <c r="L7" s="16">
        <f t="shared" ca="1" si="0"/>
        <v>1564.08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1564.08</v>
      </c>
      <c r="R7" s="16">
        <f t="shared" ca="1" si="2"/>
        <v>1564.08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940.31487914437105</v>
      </c>
      <c r="J8" s="14">
        <f ca="1">Q10/J18</f>
        <v>3406.9651208556288</v>
      </c>
      <c r="K8" s="13"/>
      <c r="L8" s="16">
        <f t="shared" ca="1" si="0"/>
        <v>4347.28</v>
      </c>
      <c r="M8" s="16"/>
      <c r="N8" s="16">
        <f t="shared" ca="1" si="3"/>
        <v>0</v>
      </c>
      <c r="O8" s="11" cm="1">
        <f t="array" aca="1" ref="O8" ca="1">INDIRECT("'data'!$R$" &amp; $A$1)*parameters!$B$15</f>
        <v>460.59999999999997</v>
      </c>
      <c r="P8" s="13" cm="1">
        <f t="array" aca="1" ref="P8" ca="1">-INDIRECT("'data'!$S$" &amp; $A$1)*parameters!$B$15</f>
        <v>-182.28</v>
      </c>
      <c r="Q8" s="16">
        <f ca="1">SUM(Q6:Q7)</f>
        <v>4625.6000000000004</v>
      </c>
      <c r="R8" s="16">
        <f t="shared" ca="1" si="2"/>
        <v>4625.6000000000004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1296.54</v>
      </c>
      <c r="L9" s="16">
        <f t="shared" ca="1" si="0"/>
        <v>1296.54</v>
      </c>
      <c r="M9" s="16"/>
      <c r="N9" s="16">
        <f t="shared" ca="1" si="3"/>
        <v>0</v>
      </c>
      <c r="O9" s="11" cm="1">
        <f t="array" aca="1" ref="O9" ca="1">INDIRECT("'data'!$U$" &amp; $A$1)*parameters!$B$15</f>
        <v>436.09999999999997</v>
      </c>
      <c r="P9" s="13" cm="1">
        <f t="array" aca="1" ref="P9" ca="1">-INDIRECT("'data'!$V$" &amp; $A$1)*parameters!$B$15</f>
        <v>-903.56</v>
      </c>
      <c r="Q9" s="16" cm="1">
        <f t="array" aca="1" ref="Q9" ca="1">INDIRECT("'data'!$T$" &amp; $A$1)*parameters!$B$15</f>
        <v>829.08</v>
      </c>
      <c r="R9" s="16">
        <f t="shared" ca="1" si="2"/>
        <v>829.07999999999993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2784.4169843527739</v>
      </c>
      <c r="L10" s="16">
        <f t="shared" ca="1" si="0"/>
        <v>2784.4169843527739</v>
      </c>
      <c r="M10" s="16"/>
      <c r="N10" s="16">
        <f t="shared" ca="1" si="3"/>
        <v>0</v>
      </c>
      <c r="O10" s="11" cm="1">
        <f t="array" aca="1" ref="O10" ca="1">INDIRECT("'data'!$X$" &amp; $A$1)*parameters!$B$15</f>
        <v>2585.2399999999998</v>
      </c>
      <c r="P10" s="13" cm="1">
        <f t="array" aca="1" ref="P10" ca="1">-INDIRECT("'data'!$Y$" &amp; $A$1)*parameters!$B$15</f>
        <v>-2365.7199999999998</v>
      </c>
      <c r="Q10" s="16" cm="1">
        <f t="array" aca="1" ref="Q10" ca="1">INDIRECT("'data'!$W$" &amp; $A$1)*parameters!$B$15</f>
        <v>3003.9369843527738</v>
      </c>
      <c r="R10" s="16">
        <f t="shared" ca="1" si="2"/>
        <v>3003.9369843527743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4431.6462065433852</v>
      </c>
      <c r="N11" s="19"/>
      <c r="O11" s="21" cm="1">
        <f t="array" aca="1" ref="O11" ca="1">INDIRECT("'data'!$Z$" &amp; $A$1)*parameters!$B$15</f>
        <v>3151.68</v>
      </c>
      <c r="P11" s="27" cm="1">
        <f t="array" aca="1" ref="P11" ca="1">-INDIRECT("'data'!$AA$" &amp; $A$1)*parameters!$B$15</f>
        <v>-3969.98</v>
      </c>
      <c r="Q11" s="16">
        <f ca="1">K9*parameters!$B$10+K10*parameters!$B$11</f>
        <v>3613.3462065433851</v>
      </c>
      <c r="R11" s="16">
        <f t="shared" ref="R11:R17" ca="1" si="4">SUM(L11:P11)</f>
        <v>3613.3462065433846</v>
      </c>
      <c r="S11" s="7"/>
    </row>
    <row r="12" spans="1:20">
      <c r="A12" s="29" t="s">
        <v>107</v>
      </c>
      <c r="B12" s="10">
        <f ca="1">-(B17-Q2)</f>
        <v>0</v>
      </c>
      <c r="C12" s="9">
        <f ca="1">-(C17-Q3)</f>
        <v>-19.004228640434576</v>
      </c>
      <c r="D12" s="9">
        <f ca="1">-(D17-Q4)</f>
        <v>-0.64160209318707473</v>
      </c>
      <c r="E12" s="9">
        <f ca="1">-(E17-Q5)</f>
        <v>-370.19671462524639</v>
      </c>
      <c r="F12" s="9">
        <f ca="1">-(F17-Q6)</f>
        <v>-202.36059701492604</v>
      </c>
      <c r="G12" s="9">
        <f ca="1">-(G17-Q7)</f>
        <v>-70.277366771159905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-662.480509144954</v>
      </c>
      <c r="M12" s="17"/>
      <c r="N12" s="17"/>
      <c r="O12" s="10"/>
      <c r="P12" s="12"/>
      <c r="Q12" s="9">
        <f t="shared" ref="Q12:Q17" ca="1" si="6">SUM(L12:P12)</f>
        <v>-662.480509144954</v>
      </c>
      <c r="R12" s="17">
        <f t="shared" ca="1" si="4"/>
        <v>-662.480509144954</v>
      </c>
    </row>
    <row r="13" spans="1:20">
      <c r="A13" s="18" t="s">
        <v>84</v>
      </c>
      <c r="B13" s="11"/>
      <c r="C13" s="14"/>
      <c r="D13" s="14"/>
      <c r="E13" s="14"/>
      <c r="F13" s="14"/>
      <c r="G13" s="14"/>
      <c r="H13" s="14"/>
      <c r="I13" s="14">
        <f ca="1">-(I17-Q9)</f>
        <v>-111.23487914437101</v>
      </c>
      <c r="J13" s="14">
        <f ca="1">-(J17-Q10)</f>
        <v>-403.02813650285498</v>
      </c>
      <c r="K13" s="13">
        <f ca="1">-(K17-Q11)</f>
        <v>-467.61077780938876</v>
      </c>
      <c r="L13" s="14">
        <f t="shared" ca="1" si="5"/>
        <v>-981.87379345661475</v>
      </c>
      <c r="M13" s="16">
        <f ca="1">-E15</f>
        <v>-2383.5508849547173</v>
      </c>
      <c r="N13" s="16"/>
      <c r="O13" s="11"/>
      <c r="P13" s="13"/>
      <c r="Q13" s="14">
        <f t="shared" ca="1" si="6"/>
        <v>-3365.424678411332</v>
      </c>
      <c r="R13" s="16">
        <f t="shared" ca="1" si="4"/>
        <v>-3365.424678411332</v>
      </c>
    </row>
    <row r="14" spans="1:20">
      <c r="A14" s="18" t="s">
        <v>105</v>
      </c>
      <c r="B14" s="11"/>
      <c r="C14" s="14"/>
      <c r="D14" s="14"/>
      <c r="E14" s="14">
        <f ca="1">-(I13+J13)-K13</f>
        <v>981.87379345661475</v>
      </c>
      <c r="F14" s="14"/>
      <c r="G14" s="14"/>
      <c r="H14" s="14"/>
      <c r="I14" s="14"/>
      <c r="J14" s="14"/>
      <c r="K14" s="13"/>
      <c r="L14" s="14">
        <f t="shared" ca="1" si="5"/>
        <v>981.87379345661475</v>
      </c>
      <c r="M14" s="16"/>
      <c r="N14" s="16"/>
      <c r="O14" s="11"/>
      <c r="P14" s="13"/>
      <c r="Q14" s="14">
        <f t="shared" ca="1" si="6"/>
        <v>981.87379345661475</v>
      </c>
      <c r="R14" s="16">
        <f t="shared" ca="1" si="4"/>
        <v>981.87379345661475</v>
      </c>
    </row>
    <row r="15" spans="1:20">
      <c r="A15" s="18" t="s">
        <v>106</v>
      </c>
      <c r="B15" s="11"/>
      <c r="C15" s="14"/>
      <c r="D15" s="14"/>
      <c r="E15" s="14">
        <f ca="1">E17-E14</f>
        <v>2383.5508849547173</v>
      </c>
      <c r="F15" s="14"/>
      <c r="G15" s="14"/>
      <c r="H15" s="14"/>
      <c r="I15" s="14"/>
      <c r="J15" s="14"/>
      <c r="K15" s="13"/>
      <c r="L15" s="14">
        <f t="shared" ca="1" si="5"/>
        <v>2383.5508849547173</v>
      </c>
      <c r="M15" s="16"/>
      <c r="N15" s="16"/>
      <c r="O15" s="11"/>
      <c r="P15" s="13"/>
      <c r="Q15" s="14">
        <f t="shared" ca="1" si="6"/>
        <v>2383.5508849547173</v>
      </c>
      <c r="R15" s="16">
        <f t="shared" ca="1" si="4"/>
        <v>2383.5508849547173</v>
      </c>
    </row>
    <row r="16" spans="1:20">
      <c r="A16" s="30" t="s">
        <v>86</v>
      </c>
      <c r="B16" s="21">
        <f ca="1">Q2</f>
        <v>27100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27100</v>
      </c>
      <c r="M16" s="19"/>
      <c r="N16" s="19"/>
      <c r="O16" s="21"/>
      <c r="P16" s="27"/>
      <c r="Q16" s="22">
        <f t="shared" ca="1" si="6"/>
        <v>27100</v>
      </c>
      <c r="R16" s="19">
        <f t="shared" ca="1" si="4"/>
        <v>27100</v>
      </c>
    </row>
    <row r="17" spans="1:18">
      <c r="A17" s="29" t="s">
        <v>85</v>
      </c>
      <c r="B17" s="9">
        <f ca="1">B16</f>
        <v>27100</v>
      </c>
      <c r="C17" s="9">
        <f ca="1">SUM(C$2:C$11)</f>
        <v>3016.5442286404345</v>
      </c>
      <c r="D17" s="9">
        <f ca="1">SUM(D$2:D$11)</f>
        <v>101.84160209318708</v>
      </c>
      <c r="E17" s="9">
        <f ca="1">$Q$5/parameters!$B$4</f>
        <v>3365.424678411332</v>
      </c>
      <c r="F17" s="9">
        <f t="shared" ref="F17:K17" ca="1" si="7">SUM(F$2:F$11)</f>
        <v>3263.880597014926</v>
      </c>
      <c r="G17" s="9">
        <f t="shared" ca="1" si="7"/>
        <v>1634.3573667711598</v>
      </c>
      <c r="H17" s="9">
        <f t="shared" ca="1" si="7"/>
        <v>4625.6000000000004</v>
      </c>
      <c r="I17" s="9">
        <f t="shared" ca="1" si="7"/>
        <v>940.31487914437105</v>
      </c>
      <c r="J17" s="9">
        <f t="shared" ca="1" si="7"/>
        <v>3406.9651208556288</v>
      </c>
      <c r="K17" s="9">
        <f t="shared" ca="1" si="7"/>
        <v>4080.9569843527738</v>
      </c>
      <c r="L17" s="17">
        <f t="shared" ca="1" si="5"/>
        <v>51535.885457283817</v>
      </c>
      <c r="M17" s="17"/>
      <c r="N17" s="17"/>
      <c r="O17" s="9"/>
      <c r="P17" s="14"/>
      <c r="Q17" s="11">
        <f t="shared" ca="1" si="6"/>
        <v>51535.885457283817</v>
      </c>
      <c r="R17" s="17">
        <f t="shared" ca="1" si="4"/>
        <v>51535.885457283817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0.8817046485049902</v>
      </c>
      <c r="J18" s="39">
        <f ca="1">I18</f>
        <v>0.8817046485049902</v>
      </c>
      <c r="K18" s="40">
        <f ca="1">1-(-K13)/K17</f>
        <v>0.88541639139978578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2024-08-16T08:42:50Z</dcterms:modified>
</cp:coreProperties>
</file>