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crane_plus_src\doc\"/>
    </mc:Choice>
  </mc:AlternateContent>
  <bookViews>
    <workbookView xWindow="0" yWindow="0" windowWidth="24600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K15" i="1" s="1"/>
  <c r="K18" i="1" s="1"/>
  <c r="K13" i="1"/>
  <c r="K12" i="1"/>
  <c r="K11" i="1"/>
  <c r="F40" i="1"/>
  <c r="L38" i="1"/>
  <c r="L37" i="1"/>
  <c r="L36" i="1"/>
  <c r="L35" i="1"/>
  <c r="K38" i="1"/>
  <c r="K37" i="1"/>
  <c r="K36" i="1"/>
  <c r="K35" i="1"/>
  <c r="G11" i="1"/>
  <c r="C16" i="1"/>
  <c r="G7" i="1"/>
  <c r="H7" i="1" s="1"/>
  <c r="L7" i="1"/>
  <c r="L6" i="1"/>
  <c r="L5" i="1"/>
  <c r="L4" i="1"/>
  <c r="L3" i="1"/>
  <c r="C18" i="1"/>
  <c r="M13" i="1" l="1"/>
  <c r="K16" i="1"/>
  <c r="K17" i="1"/>
  <c r="M12" i="1"/>
  <c r="C19" i="1"/>
  <c r="K20" i="1" l="1"/>
  <c r="K22" i="1" s="1"/>
  <c r="K19" i="1"/>
  <c r="K21" i="1" s="1"/>
  <c r="C32" i="1"/>
  <c r="D36" i="1"/>
  <c r="C17" i="1"/>
  <c r="G3" i="1" l="1"/>
  <c r="H3" i="1" s="1"/>
  <c r="D32" i="1"/>
  <c r="C25" i="1"/>
  <c r="C28" i="1"/>
  <c r="C24" i="1"/>
  <c r="C20" i="1"/>
  <c r="C21" i="1"/>
  <c r="C26" i="1" l="1"/>
  <c r="C27" i="1" s="1"/>
  <c r="C35" i="1" s="1"/>
  <c r="G6" i="1" s="1"/>
  <c r="C22" i="1"/>
  <c r="C23" i="1" s="1"/>
  <c r="C33" i="1" l="1"/>
  <c r="G4" i="1" s="1"/>
  <c r="C34" i="1"/>
  <c r="G5" i="1" s="1"/>
  <c r="D35" i="1"/>
  <c r="G12" i="1" l="1"/>
  <c r="G14" i="1"/>
  <c r="G15" i="1" s="1"/>
  <c r="G18" i="1" s="1"/>
  <c r="G13" i="1"/>
  <c r="H6" i="1"/>
  <c r="D34" i="1"/>
  <c r="D33" i="1"/>
  <c r="G17" i="1" l="1"/>
  <c r="G16" i="1"/>
  <c r="H5" i="1"/>
  <c r="H4" i="1"/>
  <c r="G20" i="1" l="1"/>
  <c r="G22" i="1" s="1"/>
  <c r="G19" i="1"/>
  <c r="G21" i="1" s="1"/>
  <c r="I13" i="1"/>
  <c r="I12" i="1"/>
  <c r="G28" i="1"/>
  <c r="I16" i="1" l="1"/>
  <c r="I19" i="1" s="1"/>
  <c r="I17" i="1"/>
  <c r="M16" i="1"/>
  <c r="M17" i="1"/>
  <c r="K28" i="1" l="1"/>
  <c r="K27" i="1"/>
  <c r="I20" i="1"/>
  <c r="G27" i="1"/>
  <c r="G26" i="1"/>
  <c r="K26" i="1" l="1"/>
  <c r="K25" i="1"/>
  <c r="M19" i="1"/>
  <c r="M20" i="1"/>
  <c r="G25" i="1"/>
</calcChain>
</file>

<file path=xl/sharedStrings.xml><?xml version="1.0" encoding="utf-8"?>
<sst xmlns="http://schemas.openxmlformats.org/spreadsheetml/2006/main" count="159" uniqueCount="82">
  <si>
    <t>L_B2</t>
    <phoneticPr fontId="1"/>
  </si>
  <si>
    <t>L_23</t>
    <phoneticPr fontId="1"/>
  </si>
  <si>
    <t>L_34</t>
    <phoneticPr fontId="1"/>
  </si>
  <si>
    <t>L_4G</t>
    <phoneticPr fontId="1"/>
  </si>
  <si>
    <t>M_PI</t>
    <phoneticPr fontId="1"/>
  </si>
  <si>
    <t>x</t>
    <phoneticPr fontId="1"/>
  </si>
  <si>
    <t>y</t>
    <phoneticPr fontId="1"/>
  </si>
  <si>
    <t>z</t>
    <phoneticPr fontId="1"/>
  </si>
  <si>
    <t>R_24</t>
    <phoneticPr fontId="1"/>
  </si>
  <si>
    <t>wrist_arg</t>
    <phoneticPr fontId="1"/>
  </si>
  <si>
    <t>Z_24</t>
    <phoneticPr fontId="1"/>
  </si>
  <si>
    <t>theta_2d_tmp0</t>
    <phoneticPr fontId="1"/>
  </si>
  <si>
    <t>theta_2d_tmp1</t>
    <phoneticPr fontId="1"/>
  </si>
  <si>
    <t>theta_2d</t>
    <phoneticPr fontId="1"/>
  </si>
  <si>
    <t>tmp0/tmp1</t>
    <phoneticPr fontId="1"/>
  </si>
  <si>
    <t>t1</t>
    <phoneticPr fontId="1"/>
  </si>
  <si>
    <t>t2</t>
    <phoneticPr fontId="1"/>
  </si>
  <si>
    <t>t3</t>
    <phoneticPr fontId="1"/>
  </si>
  <si>
    <t>定数</t>
    <rPh sb="0" eb="2">
      <t>テイスウ</t>
    </rPh>
    <phoneticPr fontId="1"/>
  </si>
  <si>
    <t>計算結果</t>
    <rPh sb="0" eb="2">
      <t>ケイサン</t>
    </rPh>
    <rPh sb="2" eb="4">
      <t>ケッカ</t>
    </rPh>
    <phoneticPr fontId="1"/>
  </si>
  <si>
    <t>Z_24 = z + L_4G*math.sin(wrist_arg)- L_B2</t>
    <phoneticPr fontId="1"/>
  </si>
  <si>
    <t>R_24 = math.sqrt(math.pow(x,2)+math.pow(y,2)) -L_4G*math.cos(wrist_arg);</t>
    <phoneticPr fontId="1"/>
  </si>
  <si>
    <t xml:space="preserve">        </t>
    <phoneticPr fontId="1"/>
  </si>
  <si>
    <t>theta_2d_tmp0 = math.pow(L_23,2)-math.pow(L_34,2)+math.pow(R_24,2)+math.pow(Z_24,2)</t>
  </si>
  <si>
    <t xml:space="preserve">        </t>
    <phoneticPr fontId="1"/>
  </si>
  <si>
    <t>theta_2d_tmp1 = 2*L_23*math.sqrt(math.pow(R_24,2)+math.pow(Z_24,2))</t>
  </si>
  <si>
    <t>theta_2d = math.acos( theta_2d_tmp0 / theta_2d_tmp1)</t>
  </si>
  <si>
    <t>theta_3d_tmp0 = math.pow(L_34,2)-math.pow(L_23,2)+math.pow(R_24,2)+math.pow(Z_24,2)</t>
    <phoneticPr fontId="1"/>
  </si>
  <si>
    <t>theta_3d_tmp0</t>
  </si>
  <si>
    <t>theta_3d_tmp</t>
  </si>
  <si>
    <t xml:space="preserve">theta_3d </t>
  </si>
  <si>
    <t>theta_3d = math.acos( theta_3d_tmp0 / theta_3d_tmp1 )</t>
  </si>
  <si>
    <t xml:space="preserve">        </t>
    <phoneticPr fontId="1"/>
  </si>
  <si>
    <t xml:space="preserve">       </t>
    <phoneticPr fontId="1"/>
  </si>
  <si>
    <t>t5=0</t>
  </si>
  <si>
    <t>t4</t>
  </si>
  <si>
    <t>t5</t>
  </si>
  <si>
    <t>theta_4d = math.atan2(Z_24, R_24);</t>
    <phoneticPr fontId="1"/>
  </si>
  <si>
    <t xml:space="preserve">theta_4d </t>
    <phoneticPr fontId="1"/>
  </si>
  <si>
    <t>サーボ制御値</t>
    <rPh sb="3" eb="5">
      <t>セイギョ</t>
    </rPh>
    <rPh sb="5" eb="6">
      <t>チ</t>
    </rPh>
    <phoneticPr fontId="1"/>
  </si>
  <si>
    <t>座標入力</t>
    <rPh sb="0" eb="2">
      <t>ザヒョウ</t>
    </rPh>
    <rPh sb="2" eb="4">
      <t>ニュウリョク</t>
    </rPh>
    <phoneticPr fontId="1"/>
  </si>
  <si>
    <t>m</t>
  </si>
  <si>
    <t>m</t>
    <phoneticPr fontId="1"/>
  </si>
  <si>
    <t>m</t>
    <phoneticPr fontId="1"/>
  </si>
  <si>
    <t>rad</t>
  </si>
  <si>
    <t>rad</t>
    <phoneticPr fontId="1"/>
  </si>
  <si>
    <t>度</t>
  </si>
  <si>
    <t>rad</t>
    <phoneticPr fontId="1"/>
  </si>
  <si>
    <t>theta_1d</t>
    <phoneticPr fontId="1"/>
  </si>
  <si>
    <t>theta_1d = math.atan2(y,x) - M_PI/2</t>
    <phoneticPr fontId="1"/>
  </si>
  <si>
    <t xml:space="preserve">t1 = theta_1d </t>
    <phoneticPr fontId="1"/>
  </si>
  <si>
    <t>theta_1d_tmp</t>
    <phoneticPr fontId="1"/>
  </si>
  <si>
    <t>if theta_1d &lt; -M_PI: theta_1d+=M_PI*2</t>
    <phoneticPr fontId="1"/>
  </si>
  <si>
    <t>R_23</t>
    <phoneticPr fontId="1"/>
  </si>
  <si>
    <t>Z_23</t>
    <phoneticPr fontId="1"/>
  </si>
  <si>
    <t>m</t>
    <phoneticPr fontId="1"/>
  </si>
  <si>
    <t>m</t>
    <phoneticPr fontId="1"/>
  </si>
  <si>
    <t>R_B2</t>
    <phoneticPr fontId="1"/>
  </si>
  <si>
    <t>Z_B2</t>
    <phoneticPr fontId="1"/>
  </si>
  <si>
    <t>R_34</t>
    <phoneticPr fontId="1"/>
  </si>
  <si>
    <t>Z_34</t>
    <phoneticPr fontId="1"/>
  </si>
  <si>
    <t>theta_3dd</t>
    <phoneticPr fontId="1"/>
  </si>
  <si>
    <t>rad</t>
    <phoneticPr fontId="1"/>
  </si>
  <si>
    <t>wrist_arg</t>
    <phoneticPr fontId="1"/>
  </si>
  <si>
    <t>R_4G</t>
    <phoneticPr fontId="1"/>
  </si>
  <si>
    <t>Z_4G</t>
    <phoneticPr fontId="1"/>
  </si>
  <si>
    <t>座標</t>
    <rPh sb="0" eb="2">
      <t>ザヒョウ</t>
    </rPh>
    <phoneticPr fontId="1"/>
  </si>
  <si>
    <t>R</t>
    <phoneticPr fontId="1"/>
  </si>
  <si>
    <t>Z</t>
    <phoneticPr fontId="1"/>
  </si>
  <si>
    <t>X</t>
    <phoneticPr fontId="1"/>
  </si>
  <si>
    <t>Y</t>
    <phoneticPr fontId="1"/>
  </si>
  <si>
    <t>Z</t>
    <phoneticPr fontId="1"/>
  </si>
  <si>
    <t>wrist_arg</t>
    <phoneticPr fontId="1"/>
  </si>
  <si>
    <t>theta_2dd</t>
    <phoneticPr fontId="1"/>
  </si>
  <si>
    <t>t2 = -(theta_2d + math.atan2(Z_24, R_24)-M_PI/2)</t>
    <phoneticPr fontId="1"/>
  </si>
  <si>
    <t>t3 = -(theta_2d + theta_3d)</t>
    <phoneticPr fontId="1"/>
  </si>
  <si>
    <t>t4 = -(theta_4d - theta_3d - wrist_arg)</t>
    <phoneticPr fontId="1"/>
  </si>
  <si>
    <t>rad</t>
    <phoneticPr fontId="1"/>
  </si>
  <si>
    <t>rad</t>
    <phoneticPr fontId="1"/>
  </si>
  <si>
    <t>座標→角度計算</t>
    <rPh sb="0" eb="2">
      <t>ザヒョウ</t>
    </rPh>
    <rPh sb="3" eb="5">
      <t>カクド</t>
    </rPh>
    <rPh sb="5" eb="7">
      <t>ケイサン</t>
    </rPh>
    <phoneticPr fontId="1"/>
  </si>
  <si>
    <t>角度→座標逆計算</t>
    <rPh sb="0" eb="2">
      <t>カクド</t>
    </rPh>
    <rPh sb="3" eb="5">
      <t>ザヒョウ</t>
    </rPh>
    <rPh sb="5" eb="6">
      <t>ギャク</t>
    </rPh>
    <rPh sb="6" eb="8">
      <t>ケイサン</t>
    </rPh>
    <phoneticPr fontId="1"/>
  </si>
  <si>
    <t>角度→座標逆計算（手動）</t>
    <rPh sb="0" eb="2">
      <t>カクド</t>
    </rPh>
    <rPh sb="3" eb="5">
      <t>ザヒョウ</t>
    </rPh>
    <rPh sb="5" eb="6">
      <t>ギャク</t>
    </rPh>
    <rPh sb="6" eb="8">
      <t>ケイサン</t>
    </rPh>
    <rPh sb="9" eb="11">
      <t>シュドウ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</si>
</sst>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0.000"/>
    <numFmt numFmtId="181" formatCode="0.000_ 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right" vertical="center"/>
    </xf>
    <xf numFmtId="177" fontId="0" fillId="5" borderId="0" xfId="0" applyNumberFormat="1" applyFill="1">
      <alignment vertical="center"/>
    </xf>
    <xf numFmtId="177" fontId="2" fillId="4" borderId="0" xfId="0" applyNumberFormat="1" applyFont="1" applyFill="1">
      <alignment vertical="center"/>
    </xf>
    <xf numFmtId="177" fontId="0" fillId="2" borderId="0" xfId="0" applyNumberFormat="1" applyFill="1">
      <alignment vertical="center"/>
    </xf>
    <xf numFmtId="181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3" fillId="5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"/>
  <sheetViews>
    <sheetView tabSelected="1" topLeftCell="F1" workbookViewId="0">
      <selection activeCell="K7" sqref="K7"/>
    </sheetView>
  </sheetViews>
  <sheetFormatPr defaultRowHeight="13.5"/>
  <cols>
    <col min="2" max="2" width="17.875" customWidth="1"/>
    <col min="3" max="3" width="7.875" bestFit="1" customWidth="1"/>
    <col min="4" max="4" width="6.875" bestFit="1" customWidth="1"/>
    <col min="5" max="5" width="36.125" customWidth="1"/>
    <col min="6" max="6" width="12.75" bestFit="1" customWidth="1"/>
    <col min="7" max="7" width="7.875" bestFit="1" customWidth="1"/>
    <col min="8" max="8" width="6.875" bestFit="1" customWidth="1"/>
    <col min="9" max="9" width="12" customWidth="1"/>
  </cols>
  <sheetData>
    <row r="1" spans="2:13">
      <c r="B1" t="s">
        <v>79</v>
      </c>
      <c r="F1" t="s">
        <v>80</v>
      </c>
      <c r="J1" t="s">
        <v>81</v>
      </c>
    </row>
    <row r="2" spans="2:13">
      <c r="B2" s="2" t="s">
        <v>40</v>
      </c>
      <c r="C2" s="6"/>
      <c r="D2" s="2"/>
      <c r="F2" s="2" t="s">
        <v>39</v>
      </c>
      <c r="G2" s="2" t="s">
        <v>44</v>
      </c>
      <c r="H2" s="2" t="s">
        <v>46</v>
      </c>
      <c r="J2" s="2" t="s">
        <v>39</v>
      </c>
      <c r="K2" s="2" t="s">
        <v>44</v>
      </c>
      <c r="L2" s="2" t="s">
        <v>46</v>
      </c>
    </row>
    <row r="3" spans="2:13">
      <c r="B3" s="5" t="s">
        <v>5</v>
      </c>
      <c r="C3" s="8">
        <v>-7.0000000000000007E-2</v>
      </c>
      <c r="D3" s="5" t="s">
        <v>42</v>
      </c>
      <c r="F3" s="3" t="s">
        <v>15</v>
      </c>
      <c r="G3" s="12">
        <f>C32</f>
        <v>0.41245676839228373</v>
      </c>
      <c r="H3" s="4">
        <f>G3/3.14*180</f>
        <v>23.6440185702583</v>
      </c>
      <c r="J3" s="5" t="s">
        <v>15</v>
      </c>
      <c r="K3" s="8">
        <v>0.40899999999999997</v>
      </c>
      <c r="L3" s="4">
        <f>K3/3.14*180</f>
        <v>23.445859872611464</v>
      </c>
    </row>
    <row r="4" spans="2:13">
      <c r="B4" s="5" t="s">
        <v>6</v>
      </c>
      <c r="C4" s="8">
        <v>0.16</v>
      </c>
      <c r="D4" s="5" t="s">
        <v>42</v>
      </c>
      <c r="F4" s="3" t="s">
        <v>16</v>
      </c>
      <c r="G4" s="12">
        <f t="shared" ref="G4:G7" si="0">C33</f>
        <v>-9.6658077297370415E-2</v>
      </c>
      <c r="H4" s="4">
        <f>G4/3.14*180</f>
        <v>-5.5409088896581764</v>
      </c>
      <c r="J4" s="5" t="s">
        <v>16</v>
      </c>
      <c r="K4" s="8">
        <v>-8.6999999999999994E-2</v>
      </c>
      <c r="L4" s="4">
        <f>K4/3.14*180</f>
        <v>-4.9872611464968148</v>
      </c>
    </row>
    <row r="5" spans="2:13">
      <c r="B5" s="5" t="s">
        <v>7</v>
      </c>
      <c r="C5" s="8">
        <v>0.08</v>
      </c>
      <c r="D5" s="5" t="s">
        <v>43</v>
      </c>
      <c r="F5" s="3" t="s">
        <v>17</v>
      </c>
      <c r="G5" s="12">
        <f t="shared" si="0"/>
        <v>-2.5738325751655271</v>
      </c>
      <c r="H5" s="4">
        <f>G5/3.14*180</f>
        <v>-147.54454252541237</v>
      </c>
      <c r="J5" s="5" t="s">
        <v>17</v>
      </c>
      <c r="K5" s="8">
        <v>-2.5819999999999999</v>
      </c>
      <c r="L5" s="4">
        <f>K5/3.14*180</f>
        <v>-148.01273885350318</v>
      </c>
    </row>
    <row r="6" spans="2:13">
      <c r="B6" s="5" t="s">
        <v>9</v>
      </c>
      <c r="C6" s="8">
        <v>0</v>
      </c>
      <c r="D6" s="5" t="s">
        <v>45</v>
      </c>
      <c r="F6" s="3" t="s">
        <v>35</v>
      </c>
      <c r="G6" s="12">
        <f t="shared" si="0"/>
        <v>0.9064244978681566</v>
      </c>
      <c r="H6" s="4">
        <f>G6/3.14*180</f>
        <v>51.960640005180942</v>
      </c>
      <c r="J6" s="5" t="s">
        <v>35</v>
      </c>
      <c r="K6" s="8">
        <v>0.89</v>
      </c>
      <c r="L6" s="4">
        <f>K6/3.14*180</f>
        <v>51.019108280254777</v>
      </c>
    </row>
    <row r="7" spans="2:13">
      <c r="F7" s="3" t="s">
        <v>36</v>
      </c>
      <c r="G7" s="12">
        <f t="shared" si="0"/>
        <v>0</v>
      </c>
      <c r="H7" s="4">
        <f>G7/3.14*180</f>
        <v>0</v>
      </c>
      <c r="J7" s="5" t="s">
        <v>36</v>
      </c>
      <c r="K7" s="8">
        <v>0</v>
      </c>
      <c r="L7" s="4">
        <f>K7/3.14*180</f>
        <v>0</v>
      </c>
    </row>
    <row r="8" spans="2:13">
      <c r="B8" s="2" t="s">
        <v>18</v>
      </c>
      <c r="C8" s="2"/>
      <c r="D8" s="2"/>
    </row>
    <row r="9" spans="2:13">
      <c r="B9" s="1" t="s">
        <v>0</v>
      </c>
      <c r="C9" s="9">
        <v>7.0999999999999994E-2</v>
      </c>
      <c r="D9" s="1" t="s">
        <v>42</v>
      </c>
      <c r="F9" s="2" t="s">
        <v>19</v>
      </c>
      <c r="G9" s="2"/>
      <c r="H9" s="2"/>
      <c r="J9" s="2" t="s">
        <v>19</v>
      </c>
      <c r="K9" s="2"/>
      <c r="L9" s="2"/>
    </row>
    <row r="10" spans="2:13">
      <c r="B10" s="1" t="s">
        <v>1</v>
      </c>
      <c r="C10" s="9">
        <v>8.3000000000000004E-2</v>
      </c>
      <c r="D10" s="1" t="s">
        <v>42</v>
      </c>
      <c r="F10" s="3" t="s">
        <v>57</v>
      </c>
      <c r="G10" s="7">
        <v>0</v>
      </c>
      <c r="H10" s="3" t="s">
        <v>55</v>
      </c>
      <c r="J10" s="3" t="s">
        <v>57</v>
      </c>
      <c r="K10" s="7">
        <v>0</v>
      </c>
      <c r="L10" s="3" t="s">
        <v>55</v>
      </c>
    </row>
    <row r="11" spans="2:13">
      <c r="B11" s="1" t="s">
        <v>2</v>
      </c>
      <c r="C11" s="9">
        <v>9.35E-2</v>
      </c>
      <c r="D11" s="1" t="s">
        <v>42</v>
      </c>
      <c r="F11" s="3" t="s">
        <v>58</v>
      </c>
      <c r="G11" s="7">
        <f>$C9</f>
        <v>7.0999999999999994E-2</v>
      </c>
      <c r="H11" s="3" t="s">
        <v>55</v>
      </c>
      <c r="J11" s="3" t="s">
        <v>58</v>
      </c>
      <c r="K11" s="7">
        <f>$C9</f>
        <v>7.0999999999999994E-2</v>
      </c>
      <c r="L11" s="3" t="s">
        <v>55</v>
      </c>
    </row>
    <row r="12" spans="2:13">
      <c r="B12" s="1" t="s">
        <v>3</v>
      </c>
      <c r="C12" s="9">
        <v>0.125</v>
      </c>
      <c r="D12" s="1" t="s">
        <v>42</v>
      </c>
      <c r="F12" s="3" t="s">
        <v>53</v>
      </c>
      <c r="G12" s="7">
        <f>$C10*SIN(G4)</f>
        <v>-8.0101339818601878E-3</v>
      </c>
      <c r="H12" s="3" t="s">
        <v>55</v>
      </c>
      <c r="I12" s="10">
        <f>G10+G12</f>
        <v>-8.0101339818601878E-3</v>
      </c>
      <c r="J12" s="3" t="s">
        <v>53</v>
      </c>
      <c r="K12" s="7">
        <f>$C10*SIN(K4)</f>
        <v>-7.2118941552901609E-3</v>
      </c>
      <c r="L12" s="3" t="s">
        <v>55</v>
      </c>
      <c r="M12" s="10">
        <f>K10+K12</f>
        <v>-7.2118941552901609E-3</v>
      </c>
    </row>
    <row r="13" spans="2:13">
      <c r="B13" s="1" t="s">
        <v>4</v>
      </c>
      <c r="C13" s="9">
        <v>3.1415000000000002</v>
      </c>
      <c r="D13" s="1"/>
      <c r="F13" s="3" t="s">
        <v>54</v>
      </c>
      <c r="G13" s="7">
        <f>$C10*COS(G4)</f>
        <v>8.2612576243527525E-2</v>
      </c>
      <c r="H13" s="3" t="s">
        <v>56</v>
      </c>
      <c r="I13" s="10">
        <f>G11+G13</f>
        <v>0.15361257624352753</v>
      </c>
      <c r="J13" s="3" t="s">
        <v>54</v>
      </c>
      <c r="K13" s="7">
        <f>$C10*COS(K4)</f>
        <v>8.2686084577109423E-2</v>
      </c>
      <c r="L13" s="3" t="s">
        <v>56</v>
      </c>
      <c r="M13" s="10">
        <f>K11+K13</f>
        <v>0.15368608457710942</v>
      </c>
    </row>
    <row r="14" spans="2:13">
      <c r="F14" s="3" t="s">
        <v>73</v>
      </c>
      <c r="G14" s="7">
        <f>$C13/2-G4</f>
        <v>1.6674080772973705</v>
      </c>
      <c r="H14" s="3" t="s">
        <v>62</v>
      </c>
      <c r="I14" s="10"/>
      <c r="J14" s="3" t="s">
        <v>73</v>
      </c>
      <c r="K14" s="7">
        <f>$C13/2-K4</f>
        <v>1.6577500000000001</v>
      </c>
      <c r="L14" s="3" t="s">
        <v>62</v>
      </c>
      <c r="M14" s="10"/>
    </row>
    <row r="15" spans="2:13">
      <c r="B15" s="2" t="s">
        <v>19</v>
      </c>
      <c r="C15" s="2"/>
      <c r="D15" s="2"/>
      <c r="F15" s="3" t="s">
        <v>61</v>
      </c>
      <c r="G15" s="7">
        <f>-G5-G14</f>
        <v>0.9064244978681566</v>
      </c>
      <c r="H15" s="3" t="s">
        <v>62</v>
      </c>
      <c r="I15" s="10"/>
      <c r="J15" s="3" t="s">
        <v>61</v>
      </c>
      <c r="K15" s="7">
        <f>-K5-K14</f>
        <v>0.92424999999999979</v>
      </c>
      <c r="L15" s="3" t="s">
        <v>62</v>
      </c>
      <c r="M15" s="10"/>
    </row>
    <row r="16" spans="2:13">
      <c r="B16" s="3" t="s">
        <v>8</v>
      </c>
      <c r="C16" s="7">
        <f>SQRT($C3*$C3+$C4*$C4)-$C12*COS($C6)</f>
        <v>4.9642491965729812E-2</v>
      </c>
      <c r="D16" s="3" t="s">
        <v>41</v>
      </c>
      <c r="E16" t="s">
        <v>21</v>
      </c>
      <c r="F16" s="3" t="s">
        <v>59</v>
      </c>
      <c r="G16" s="7">
        <f>$C11*COS(G15)</f>
        <v>5.7648798763120304E-2</v>
      </c>
      <c r="H16" s="3" t="s">
        <v>56</v>
      </c>
      <c r="I16" s="10">
        <f>G16+I12</f>
        <v>4.9638664781260118E-2</v>
      </c>
      <c r="J16" s="3" t="s">
        <v>59</v>
      </c>
      <c r="K16" s="7">
        <f>$C11*COS(K15)</f>
        <v>5.632752183712824E-2</v>
      </c>
      <c r="L16" s="3" t="s">
        <v>56</v>
      </c>
      <c r="M16" s="10">
        <f>K16+M12</f>
        <v>4.9115627681838081E-2</v>
      </c>
    </row>
    <row r="17" spans="2:13">
      <c r="B17" s="3" t="s">
        <v>10</v>
      </c>
      <c r="C17" s="7">
        <f>C5+C12*SIN(C6)-C9</f>
        <v>9.000000000000008E-3</v>
      </c>
      <c r="D17" s="3" t="s">
        <v>41</v>
      </c>
      <c r="E17" t="s">
        <v>20</v>
      </c>
      <c r="F17" s="3" t="s">
        <v>60</v>
      </c>
      <c r="G17" s="7">
        <f>-$C11*SIN(G15)</f>
        <v>-7.3612947238711063E-2</v>
      </c>
      <c r="H17" s="3" t="s">
        <v>56</v>
      </c>
      <c r="I17" s="10">
        <f>G17+I13</f>
        <v>7.9999629004816469E-2</v>
      </c>
      <c r="J17" s="3" t="s">
        <v>60</v>
      </c>
      <c r="K17" s="7">
        <f>-$C11*SIN(K15)</f>
        <v>-7.4628816711025503E-2</v>
      </c>
      <c r="L17" s="3" t="s">
        <v>56</v>
      </c>
      <c r="M17" s="10">
        <f>K17+M13</f>
        <v>7.9057267866083913E-2</v>
      </c>
    </row>
    <row r="18" spans="2:13">
      <c r="B18" s="3" t="s">
        <v>51</v>
      </c>
      <c r="C18" s="7">
        <f>ATAN2(C3,C4)-C13/2</f>
        <v>0.41245676839228373</v>
      </c>
      <c r="D18" s="3" t="s">
        <v>47</v>
      </c>
      <c r="E18" t="s">
        <v>49</v>
      </c>
      <c r="F18" s="3" t="s">
        <v>63</v>
      </c>
      <c r="G18" s="7">
        <f>-(G6-G15)</f>
        <v>0</v>
      </c>
      <c r="H18" s="3" t="s">
        <v>78</v>
      </c>
      <c r="I18" s="10"/>
      <c r="J18" s="3" t="s">
        <v>63</v>
      </c>
      <c r="K18" s="7">
        <f>-(K6-K15)</f>
        <v>3.4249999999999781E-2</v>
      </c>
      <c r="L18" s="3" t="s">
        <v>78</v>
      </c>
      <c r="M18" s="10"/>
    </row>
    <row r="19" spans="2:13">
      <c r="B19" s="3" t="s">
        <v>48</v>
      </c>
      <c r="C19" s="7">
        <f>IF(C18&lt;-C13,C18+2*C13,C18)</f>
        <v>0.41245676839228373</v>
      </c>
      <c r="D19" s="3" t="s">
        <v>47</v>
      </c>
      <c r="E19" t="s">
        <v>52</v>
      </c>
      <c r="F19" s="3" t="s">
        <v>64</v>
      </c>
      <c r="G19" s="7">
        <f>$C12*COS(G18)</f>
        <v>0.125</v>
      </c>
      <c r="H19" s="3" t="s">
        <v>56</v>
      </c>
      <c r="I19" s="10">
        <f>G19+I16</f>
        <v>0.17463866478126011</v>
      </c>
      <c r="J19" s="3" t="s">
        <v>64</v>
      </c>
      <c r="K19" s="7">
        <f>$C12*COS(K18)</f>
        <v>0.12492669076053033</v>
      </c>
      <c r="L19" s="3" t="s">
        <v>56</v>
      </c>
      <c r="M19" s="10">
        <f>K19+M16</f>
        <v>0.17404231844236839</v>
      </c>
    </row>
    <row r="20" spans="2:13">
      <c r="B20" s="3" t="s">
        <v>11</v>
      </c>
      <c r="C20" s="7">
        <f>C10*C10-C11*C11+C16*C16+C17*C17</f>
        <v>6.9212700856754994E-4</v>
      </c>
      <c r="D20" s="3"/>
      <c r="E20" t="s">
        <v>23</v>
      </c>
      <c r="F20" s="3" t="s">
        <v>65</v>
      </c>
      <c r="G20" s="7">
        <f>-$C12*SIN(G18)</f>
        <v>0</v>
      </c>
      <c r="H20" s="3" t="s">
        <v>56</v>
      </c>
      <c r="I20" s="10">
        <f>G20+I17</f>
        <v>7.9999629004816469E-2</v>
      </c>
      <c r="J20" s="3" t="s">
        <v>65</v>
      </c>
      <c r="K20" s="7">
        <f>-$C12*SIN(K18)</f>
        <v>-4.2804130201216121E-3</v>
      </c>
      <c r="L20" s="3" t="s">
        <v>56</v>
      </c>
      <c r="M20" s="10">
        <f>K20+M17</f>
        <v>7.4776854845962304E-2</v>
      </c>
    </row>
    <row r="21" spans="2:13">
      <c r="B21" s="3" t="s">
        <v>12</v>
      </c>
      <c r="C21" s="7">
        <f>2*C10*SQRT(C16*C16+C17*C17)</f>
        <v>8.3749870953982609E-3</v>
      </c>
      <c r="D21" s="3"/>
      <c r="E21" t="s">
        <v>25</v>
      </c>
      <c r="F21" s="3" t="s">
        <v>67</v>
      </c>
      <c r="G21" s="7">
        <f>$G10+G12+G16+G19</f>
        <v>0.17463866478126011</v>
      </c>
      <c r="H21" s="3" t="s">
        <v>56</v>
      </c>
      <c r="J21" s="3" t="s">
        <v>67</v>
      </c>
      <c r="K21" s="7">
        <f>$G10+K12+K16+K19</f>
        <v>0.17404231844236839</v>
      </c>
      <c r="L21" s="3" t="s">
        <v>56</v>
      </c>
    </row>
    <row r="22" spans="2:13">
      <c r="B22" s="3" t="s">
        <v>14</v>
      </c>
      <c r="C22" s="7">
        <f>C20/C21</f>
        <v>8.2642158212738931E-2</v>
      </c>
      <c r="D22" s="3"/>
      <c r="F22" s="3" t="s">
        <v>68</v>
      </c>
      <c r="G22" s="7">
        <f>G11+G13+G17+G20</f>
        <v>7.9999629004816469E-2</v>
      </c>
      <c r="H22" s="3" t="s">
        <v>56</v>
      </c>
      <c r="J22" s="3" t="s">
        <v>68</v>
      </c>
      <c r="K22" s="7">
        <f>K11+K13+K17+K20</f>
        <v>7.4776854845962304E-2</v>
      </c>
      <c r="L22" s="3" t="s">
        <v>56</v>
      </c>
    </row>
    <row r="23" spans="2:13">
      <c r="B23" s="3" t="s">
        <v>13</v>
      </c>
      <c r="C23" s="7">
        <f>ACOS(C22)</f>
        <v>1.4880598077332996</v>
      </c>
      <c r="D23" s="3" t="s">
        <v>44</v>
      </c>
      <c r="E23" t="s">
        <v>26</v>
      </c>
    </row>
    <row r="24" spans="2:13">
      <c r="B24" s="3" t="s">
        <v>28</v>
      </c>
      <c r="C24" s="7">
        <f>C11*C11-C10*C10+C16*C16+C17*C17</f>
        <v>4.3986270085675482E-3</v>
      </c>
      <c r="D24" s="3"/>
      <c r="E24" t="s">
        <v>27</v>
      </c>
      <c r="F24" s="2" t="s">
        <v>66</v>
      </c>
      <c r="G24" s="2"/>
      <c r="H24" s="2"/>
      <c r="J24" s="2" t="s">
        <v>66</v>
      </c>
      <c r="K24" s="2"/>
      <c r="L24" s="2"/>
    </row>
    <row r="25" spans="2:13">
      <c r="B25" s="3" t="s">
        <v>29</v>
      </c>
      <c r="C25" s="7">
        <f>2*C11*SQRT(C16*C16+C17*C17)</f>
        <v>9.434473414695629E-3</v>
      </c>
      <c r="D25" s="3"/>
      <c r="F25" s="3" t="s">
        <v>69</v>
      </c>
      <c r="G25" s="7">
        <f>-G21*SIN(G3)</f>
        <v>-7.00058780420139E-2</v>
      </c>
      <c r="H25" s="3" t="s">
        <v>56</v>
      </c>
      <c r="J25" s="3" t="s">
        <v>69</v>
      </c>
      <c r="K25" s="7">
        <f>-K21*SIN(K3)</f>
        <v>-6.9215239100028678E-2</v>
      </c>
      <c r="L25" s="3" t="s">
        <v>56</v>
      </c>
    </row>
    <row r="26" spans="2:13">
      <c r="B26" s="3" t="s">
        <v>14</v>
      </c>
      <c r="C26" s="7">
        <f>C24/C25</f>
        <v>0.46622920169725812</v>
      </c>
      <c r="D26" s="3"/>
      <c r="F26" s="3" t="s">
        <v>70</v>
      </c>
      <c r="G26" s="7">
        <f>G21*COS(G3)</f>
        <v>0.15999325072061013</v>
      </c>
      <c r="H26" s="3" t="s">
        <v>56</v>
      </c>
      <c r="J26" s="3" t="s">
        <v>70</v>
      </c>
      <c r="K26" s="7">
        <f>K21*COS(K3)</f>
        <v>0.15968712936589669</v>
      </c>
      <c r="L26" s="3" t="s">
        <v>56</v>
      </c>
    </row>
    <row r="27" spans="2:13">
      <c r="B27" s="3" t="s">
        <v>30</v>
      </c>
      <c r="C27" s="7">
        <f>ACOS(C26)</f>
        <v>1.0857727674322275</v>
      </c>
      <c r="D27" s="3" t="s">
        <v>44</v>
      </c>
      <c r="E27" t="s">
        <v>31</v>
      </c>
      <c r="F27" s="3" t="s">
        <v>71</v>
      </c>
      <c r="G27" s="7">
        <f>G22</f>
        <v>7.9999629004816469E-2</v>
      </c>
      <c r="H27" s="3" t="s">
        <v>56</v>
      </c>
      <c r="J27" s="3" t="s">
        <v>71</v>
      </c>
      <c r="K27" s="7">
        <f>K22</f>
        <v>7.4776854845962304E-2</v>
      </c>
      <c r="L27" s="3" t="s">
        <v>56</v>
      </c>
    </row>
    <row r="28" spans="2:13">
      <c r="B28" s="3" t="s">
        <v>38</v>
      </c>
      <c r="C28" s="7">
        <f>ATAN2(C16,C17)</f>
        <v>0.17934826956407093</v>
      </c>
      <c r="D28" s="3" t="s">
        <v>44</v>
      </c>
      <c r="E28" t="s">
        <v>37</v>
      </c>
      <c r="F28" s="3" t="s">
        <v>72</v>
      </c>
      <c r="G28" s="7">
        <f>G18</f>
        <v>0</v>
      </c>
      <c r="H28" s="3" t="s">
        <v>77</v>
      </c>
      <c r="J28" s="3" t="s">
        <v>72</v>
      </c>
      <c r="K28" s="7">
        <f>K18</f>
        <v>3.4249999999999781E-2</v>
      </c>
      <c r="L28" s="3" t="s">
        <v>77</v>
      </c>
    </row>
    <row r="30" spans="2:13">
      <c r="J30" s="11">
        <v>-7.0011291696074257E-2</v>
      </c>
      <c r="K30" s="11">
        <v>-6.7058151998577509E-2</v>
      </c>
      <c r="L30" s="11">
        <v>-5.6898216357298199E-2</v>
      </c>
    </row>
    <row r="31" spans="2:13">
      <c r="B31" s="2" t="s">
        <v>39</v>
      </c>
      <c r="C31" s="2" t="s">
        <v>44</v>
      </c>
      <c r="D31" s="2" t="s">
        <v>46</v>
      </c>
      <c r="J31" s="11">
        <v>0.2599939597783375</v>
      </c>
      <c r="K31" s="11">
        <v>0.26152971324000074</v>
      </c>
      <c r="L31" s="11">
        <v>0.26055253956558366</v>
      </c>
    </row>
    <row r="32" spans="2:13">
      <c r="B32" s="3" t="s">
        <v>15</v>
      </c>
      <c r="C32" s="7">
        <f>C19</f>
        <v>0.41245676839228373</v>
      </c>
      <c r="D32" s="4">
        <f>C32/3.14*180</f>
        <v>23.6440185702583</v>
      </c>
      <c r="E32" t="s">
        <v>50</v>
      </c>
      <c r="J32" s="11">
        <v>0.16000252865400083</v>
      </c>
      <c r="K32" s="11">
        <v>0.15774850739994006</v>
      </c>
      <c r="L32" s="11">
        <v>0.16740984023564096</v>
      </c>
    </row>
    <row r="33" spans="2:12">
      <c r="B33" s="3" t="s">
        <v>16</v>
      </c>
      <c r="C33" s="7">
        <f>-(C23+ATAN2(C16,C17)-(C13/2))</f>
        <v>-9.6658077297370415E-2</v>
      </c>
      <c r="D33" s="4">
        <f>C33/3.14*180</f>
        <v>-5.5409088896581764</v>
      </c>
      <c r="E33" t="s">
        <v>74</v>
      </c>
      <c r="J33" s="11">
        <v>0</v>
      </c>
      <c r="K33" s="11">
        <v>8.3598616375569756E-3</v>
      </c>
      <c r="L33" s="11">
        <v>-2.7640138362443056E-2</v>
      </c>
    </row>
    <row r="34" spans="2:12">
      <c r="B34" s="3" t="s">
        <v>17</v>
      </c>
      <c r="C34" s="7">
        <f>-(C23+C27)</f>
        <v>-2.5738325751655271</v>
      </c>
      <c r="D34" s="4">
        <f>C34/3.14*180</f>
        <v>-147.54454252541237</v>
      </c>
      <c r="E34" t="s">
        <v>75</v>
      </c>
      <c r="J34" s="11"/>
      <c r="K34" s="11"/>
      <c r="L34" s="11"/>
    </row>
    <row r="35" spans="2:12">
      <c r="B35" s="3" t="s">
        <v>35</v>
      </c>
      <c r="C35" s="7">
        <f>-(C28-C27+C6)</f>
        <v>0.9064244978681566</v>
      </c>
      <c r="D35" s="4">
        <f>C35/3.14*180</f>
        <v>51.960640005180942</v>
      </c>
      <c r="E35" t="s">
        <v>76</v>
      </c>
      <c r="J35" s="11"/>
      <c r="K35" s="11">
        <f>J30-K30</f>
        <v>-2.9531396974967483E-3</v>
      </c>
      <c r="L35" s="11">
        <f>J30-L30</f>
        <v>-1.3113075338776058E-2</v>
      </c>
    </row>
    <row r="36" spans="2:12">
      <c r="B36" s="3" t="s">
        <v>36</v>
      </c>
      <c r="C36" s="7">
        <v>0</v>
      </c>
      <c r="D36" s="4">
        <f>C36/3.14*180</f>
        <v>0</v>
      </c>
      <c r="E36" t="s">
        <v>34</v>
      </c>
      <c r="J36" s="11"/>
      <c r="K36" s="11">
        <f>J31-K31</f>
        <v>-1.5357534616632362E-3</v>
      </c>
      <c r="L36" s="11">
        <f t="shared" ref="L36:L38" si="1">J31-L31</f>
        <v>-5.5857978724616064E-4</v>
      </c>
    </row>
    <row r="37" spans="2:12">
      <c r="J37" s="11"/>
      <c r="K37" s="11">
        <f>J32-K32</f>
        <v>2.2540212540607674E-3</v>
      </c>
      <c r="L37" s="11">
        <f t="shared" si="1"/>
        <v>-7.4073115816401247E-3</v>
      </c>
    </row>
    <row r="38" spans="2:12">
      <c r="J38" s="11"/>
      <c r="K38" s="11">
        <f>J33-K33</f>
        <v>-8.3598616375569756E-3</v>
      </c>
      <c r="L38" s="11">
        <f t="shared" si="1"/>
        <v>2.7640138362443056E-2</v>
      </c>
    </row>
    <row r="40" spans="2:12">
      <c r="F40">
        <f>3.14/180*150</f>
        <v>2.6166666666666671</v>
      </c>
    </row>
    <row r="43" spans="2:12">
      <c r="H43" t="s">
        <v>22</v>
      </c>
    </row>
    <row r="44" spans="2:12">
      <c r="H44" t="s">
        <v>24</v>
      </c>
    </row>
    <row r="49" spans="8:8">
      <c r="H49" t="s">
        <v>32</v>
      </c>
    </row>
    <row r="53" spans="8:8">
      <c r="H53" t="s">
        <v>32</v>
      </c>
    </row>
    <row r="54" spans="8:8">
      <c r="H54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noroma</dc:creator>
  <cp:lastModifiedBy>noroma</cp:lastModifiedBy>
  <dcterms:created xsi:type="dcterms:W3CDTF">2019-10-12T10:50:25Z</dcterms:created>
  <dcterms:modified xsi:type="dcterms:W3CDTF">2019-12-01T14:54:41Z</dcterms:modified>
</cp:coreProperties>
</file>