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kuy\Documents\01_Files\02_TSキャピタル\01_運営(矢口渡)\"/>
    </mc:Choice>
  </mc:AlternateContent>
  <xr:revisionPtr revIDLastSave="0" documentId="8_{95AEE37A-558C-461E-B44D-8069AE89CF50}" xr6:coauthVersionLast="47" xr6:coauthVersionMax="47" xr10:uidLastSave="{00000000-0000-0000-0000-000000000000}"/>
  <bookViews>
    <workbookView xWindow="-110" yWindow="-110" windowWidth="22780" windowHeight="14660" xr2:uid="{EA67ED8A-B577-48DB-82A4-F5B4C576D8F8}"/>
  </bookViews>
  <sheets>
    <sheet name="CF表(時系列)" sheetId="1" r:id="rId1"/>
  </sheets>
  <externalReferences>
    <externalReference r:id="rId2"/>
  </externalReferences>
  <definedNames>
    <definedName name="_xlnm.Print_Area" localSheetId="0">'CF表(時系列)'!$B$2:$R$79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37" i="1" l="1"/>
  <c r="J138" i="1" s="1"/>
  <c r="F137" i="1"/>
  <c r="F138" i="1" s="1"/>
  <c r="K136" i="1"/>
  <c r="I136" i="1"/>
  <c r="H137" i="1" s="1"/>
  <c r="H138" i="1" s="1"/>
  <c r="G136" i="1"/>
  <c r="B125" i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D63" i="1"/>
  <c r="E55" i="1"/>
  <c r="D55" i="1"/>
  <c r="D56" i="1" s="1"/>
  <c r="D42" i="1"/>
  <c r="E42" i="1" s="1"/>
  <c r="F42" i="1" s="1"/>
  <c r="G42" i="1" s="1"/>
  <c r="H42" i="1" s="1"/>
  <c r="I42" i="1" s="1"/>
  <c r="J42" i="1" s="1"/>
  <c r="K42" i="1" s="1"/>
  <c r="L42" i="1" s="1"/>
  <c r="M42" i="1" s="1"/>
  <c r="N42" i="1" s="1"/>
  <c r="O42" i="1" s="1"/>
  <c r="P42" i="1" s="1"/>
  <c r="Q42" i="1" s="1"/>
  <c r="R42" i="1" s="1"/>
  <c r="AO39" i="1"/>
  <c r="AO38" i="1"/>
  <c r="AN38" i="1"/>
  <c r="AO37" i="1"/>
  <c r="AN37" i="1"/>
  <c r="AM37" i="1"/>
  <c r="AO36" i="1"/>
  <c r="AN36" i="1"/>
  <c r="AM36" i="1"/>
  <c r="AL36" i="1"/>
  <c r="AO35" i="1"/>
  <c r="AN35" i="1"/>
  <c r="AM35" i="1"/>
  <c r="AL35" i="1"/>
  <c r="AK35" i="1"/>
  <c r="AO34" i="1"/>
  <c r="AN34" i="1"/>
  <c r="AM34" i="1"/>
  <c r="AL34" i="1"/>
  <c r="AK34" i="1"/>
  <c r="AJ34" i="1"/>
  <c r="AO33" i="1"/>
  <c r="AN33" i="1"/>
  <c r="AM33" i="1"/>
  <c r="AL33" i="1"/>
  <c r="AL15" i="1" s="1"/>
  <c r="AK33" i="1"/>
  <c r="AJ33" i="1"/>
  <c r="AI33" i="1"/>
  <c r="AO32" i="1"/>
  <c r="AN32" i="1"/>
  <c r="AM32" i="1"/>
  <c r="AL32" i="1"/>
  <c r="AK32" i="1"/>
  <c r="AJ32" i="1"/>
  <c r="AI32" i="1"/>
  <c r="AH32" i="1"/>
  <c r="AO31" i="1"/>
  <c r="AN31" i="1"/>
  <c r="AM31" i="1"/>
  <c r="AL31" i="1"/>
  <c r="AK31" i="1"/>
  <c r="AJ31" i="1"/>
  <c r="AI31" i="1"/>
  <c r="AH31" i="1"/>
  <c r="AG31" i="1"/>
  <c r="AO30" i="1"/>
  <c r="AN30" i="1"/>
  <c r="AM30" i="1"/>
  <c r="AL30" i="1"/>
  <c r="AK30" i="1"/>
  <c r="AJ30" i="1"/>
  <c r="AI30" i="1"/>
  <c r="AH30" i="1"/>
  <c r="AG30" i="1"/>
  <c r="AF30" i="1"/>
  <c r="AO29" i="1"/>
  <c r="AN29" i="1"/>
  <c r="AM29" i="1"/>
  <c r="AL29" i="1"/>
  <c r="AK29" i="1"/>
  <c r="AJ29" i="1"/>
  <c r="AI29" i="1"/>
  <c r="AH29" i="1"/>
  <c r="AG29" i="1"/>
  <c r="AF29" i="1"/>
  <c r="AE29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O18" i="1"/>
  <c r="AN18" i="1"/>
  <c r="AM18" i="1"/>
  <c r="AL18" i="1"/>
  <c r="AK18" i="1"/>
  <c r="AJ18" i="1"/>
  <c r="AJ15" i="1" s="1"/>
  <c r="AI18" i="1"/>
  <c r="AH18" i="1"/>
  <c r="AG18" i="1"/>
  <c r="AF18" i="1"/>
  <c r="AE18" i="1"/>
  <c r="AD18" i="1"/>
  <c r="AC18" i="1"/>
  <c r="AB18" i="1"/>
  <c r="AB15" i="1" s="1"/>
  <c r="AO17" i="1"/>
  <c r="AN17" i="1"/>
  <c r="AM17" i="1"/>
  <c r="AL17" i="1"/>
  <c r="AK17" i="1"/>
  <c r="AJ17" i="1"/>
  <c r="AI17" i="1"/>
  <c r="AH17" i="1"/>
  <c r="AG17" i="1"/>
  <c r="AG15" i="1" s="1"/>
  <c r="AF17" i="1"/>
  <c r="AE17" i="1"/>
  <c r="AD17" i="1"/>
  <c r="AC17" i="1"/>
  <c r="AB17" i="1"/>
  <c r="AA17" i="1"/>
  <c r="D17" i="1"/>
  <c r="AO16" i="1"/>
  <c r="AN16" i="1"/>
  <c r="AM16" i="1"/>
  <c r="AL16" i="1"/>
  <c r="AK16" i="1"/>
  <c r="AK15" i="1" s="1"/>
  <c r="AJ16" i="1"/>
  <c r="AI16" i="1"/>
  <c r="AH16" i="1"/>
  <c r="AH15" i="1" s="1"/>
  <c r="AG16" i="1"/>
  <c r="AF16" i="1"/>
  <c r="AE16" i="1"/>
  <c r="AD16" i="1"/>
  <c r="AC16" i="1"/>
  <c r="AC15" i="1" s="1"/>
  <c r="AB16" i="1"/>
  <c r="AA16" i="1"/>
  <c r="AO15" i="1"/>
  <c r="AD15" i="1"/>
  <c r="AA15" i="1"/>
  <c r="C14" i="1"/>
  <c r="C12" i="1"/>
  <c r="C11" i="1"/>
  <c r="D7" i="1"/>
  <c r="C7" i="1"/>
  <c r="AI15" i="1" l="1"/>
  <c r="AM15" i="1"/>
  <c r="F55" i="1"/>
  <c r="E56" i="1"/>
  <c r="D4" i="1"/>
  <c r="D8" i="1"/>
  <c r="D5" i="1" s="1"/>
  <c r="AF15" i="1"/>
  <c r="AN15" i="1"/>
  <c r="E139" i="1"/>
  <c r="E140" i="1" s="1"/>
  <c r="D24" i="1"/>
  <c r="D20" i="1" s="1"/>
  <c r="E17" i="1"/>
  <c r="D43" i="1"/>
  <c r="D18" i="1"/>
  <c r="D19" i="1"/>
  <c r="D29" i="1" s="1"/>
  <c r="AE15" i="1"/>
  <c r="D35" i="1" l="1"/>
  <c r="D36" i="1"/>
  <c r="D44" i="1"/>
  <c r="D45" i="1" s="1"/>
  <c r="G6" i="1"/>
  <c r="D30" i="1" s="1"/>
  <c r="C73" i="1"/>
  <c r="C70" i="1"/>
  <c r="C72" i="1"/>
  <c r="C71" i="1"/>
  <c r="C77" i="1"/>
  <c r="C66" i="1"/>
  <c r="C75" i="1"/>
  <c r="C68" i="1"/>
  <c r="C78" i="1"/>
  <c r="C65" i="1"/>
  <c r="C79" i="1"/>
  <c r="C74" i="1"/>
  <c r="C69" i="1"/>
  <c r="C76" i="1"/>
  <c r="C67" i="1"/>
  <c r="D51" i="1"/>
  <c r="D52" i="1"/>
  <c r="D57" i="1" s="1"/>
  <c r="D58" i="1" s="1"/>
  <c r="G55" i="1"/>
  <c r="F56" i="1"/>
  <c r="E24" i="1"/>
  <c r="E20" i="1" s="1"/>
  <c r="F17" i="1"/>
  <c r="E18" i="1"/>
  <c r="E19" i="1"/>
  <c r="E29" i="1" s="1"/>
  <c r="E43" i="1"/>
  <c r="G56" i="1" l="1"/>
  <c r="H55" i="1"/>
  <c r="L30" i="1"/>
  <c r="L39" i="1" s="1"/>
  <c r="D39" i="1"/>
  <c r="D40" i="1" s="1"/>
  <c r="K30" i="1"/>
  <c r="K39" i="1" s="1"/>
  <c r="Q30" i="1"/>
  <c r="Q39" i="1" s="1"/>
  <c r="I30" i="1"/>
  <c r="I39" i="1" s="1"/>
  <c r="P30" i="1"/>
  <c r="P39" i="1" s="1"/>
  <c r="H30" i="1"/>
  <c r="H39" i="1" s="1"/>
  <c r="N30" i="1"/>
  <c r="N39" i="1" s="1"/>
  <c r="F30" i="1"/>
  <c r="F39" i="1" s="1"/>
  <c r="R30" i="1"/>
  <c r="R39" i="1" s="1"/>
  <c r="O30" i="1"/>
  <c r="O39" i="1" s="1"/>
  <c r="J30" i="1"/>
  <c r="J39" i="1" s="1"/>
  <c r="G30" i="1"/>
  <c r="G39" i="1" s="1"/>
  <c r="E30" i="1"/>
  <c r="E39" i="1" s="1"/>
  <c r="M30" i="1"/>
  <c r="M39" i="1" s="1"/>
  <c r="D31" i="1"/>
  <c r="D53" i="1"/>
  <c r="D59" i="1" s="1"/>
  <c r="D46" i="1"/>
  <c r="D47" i="1"/>
  <c r="E52" i="1"/>
  <c r="E57" i="1"/>
  <c r="E58" i="1" s="1"/>
  <c r="E45" i="1"/>
  <c r="E51" i="1"/>
  <c r="E46" i="1"/>
  <c r="E36" i="1"/>
  <c r="E31" i="1"/>
  <c r="E35" i="1"/>
  <c r="E40" i="1" s="1"/>
  <c r="F43" i="1"/>
  <c r="F18" i="1"/>
  <c r="F19" i="1"/>
  <c r="G17" i="1"/>
  <c r="F24" i="1"/>
  <c r="F20" i="1" s="1"/>
  <c r="E47" i="1"/>
  <c r="F45" i="1" l="1"/>
  <c r="F51" i="1"/>
  <c r="F52" i="1"/>
  <c r="F57" i="1" s="1"/>
  <c r="F58" i="1" s="1"/>
  <c r="F47" i="1"/>
  <c r="G43" i="1"/>
  <c r="G18" i="1"/>
  <c r="G19" i="1" s="1"/>
  <c r="G29" i="1" s="1"/>
  <c r="G24" i="1"/>
  <c r="G20" i="1" s="1"/>
  <c r="G47" i="1" s="1"/>
  <c r="H17" i="1"/>
  <c r="H56" i="1"/>
  <c r="I55" i="1"/>
  <c r="E53" i="1"/>
  <c r="E59" i="1" s="1"/>
  <c r="E37" i="1"/>
  <c r="E33" i="1"/>
  <c r="D37" i="1"/>
  <c r="D33" i="1"/>
  <c r="F29" i="1"/>
  <c r="G35" i="1" l="1"/>
  <c r="G40" i="1" s="1"/>
  <c r="G46" i="1"/>
  <c r="G36" i="1"/>
  <c r="G31" i="1"/>
  <c r="E77" i="1"/>
  <c r="E66" i="1"/>
  <c r="E75" i="1"/>
  <c r="E68" i="1"/>
  <c r="E78" i="1"/>
  <c r="E38" i="1"/>
  <c r="E79" i="1"/>
  <c r="E74" i="1"/>
  <c r="E69" i="1"/>
  <c r="E76" i="1"/>
  <c r="E67" i="1"/>
  <c r="E73" i="1"/>
  <c r="E70" i="1"/>
  <c r="E72" i="1"/>
  <c r="E71" i="1"/>
  <c r="E48" i="1"/>
  <c r="G45" i="1"/>
  <c r="G52" i="1"/>
  <c r="G57" i="1"/>
  <c r="G58" i="1" s="1"/>
  <c r="G51" i="1"/>
  <c r="G53" i="1" s="1"/>
  <c r="G59" i="1" s="1"/>
  <c r="J55" i="1"/>
  <c r="I56" i="1"/>
  <c r="F35" i="1"/>
  <c r="F40" i="1" s="1"/>
  <c r="F36" i="1"/>
  <c r="F46" i="1"/>
  <c r="F31" i="1"/>
  <c r="H18" i="1"/>
  <c r="H19" i="1"/>
  <c r="I17" i="1"/>
  <c r="H24" i="1"/>
  <c r="H20" i="1" s="1"/>
  <c r="H43" i="1"/>
  <c r="F53" i="1"/>
  <c r="F59" i="1" s="1"/>
  <c r="D72" i="1"/>
  <c r="D71" i="1"/>
  <c r="D77" i="1"/>
  <c r="D66" i="1"/>
  <c r="E64" i="1" s="1"/>
  <c r="D75" i="1"/>
  <c r="D68" i="1"/>
  <c r="D78" i="1"/>
  <c r="D65" i="1"/>
  <c r="D64" i="1" s="1"/>
  <c r="D79" i="1"/>
  <c r="D74" i="1"/>
  <c r="D69" i="1"/>
  <c r="D76" i="1"/>
  <c r="D67" i="1"/>
  <c r="D73" i="1"/>
  <c r="D70" i="1"/>
  <c r="D38" i="1"/>
  <c r="D50" i="1"/>
  <c r="D48" i="1"/>
  <c r="H47" i="1" l="1"/>
  <c r="K55" i="1"/>
  <c r="J56" i="1"/>
  <c r="H29" i="1"/>
  <c r="G37" i="1"/>
  <c r="G33" i="1"/>
  <c r="I24" i="1"/>
  <c r="I20" i="1" s="1"/>
  <c r="I47" i="1" s="1"/>
  <c r="J17" i="1"/>
  <c r="I43" i="1"/>
  <c r="I18" i="1"/>
  <c r="I19" i="1" s="1"/>
  <c r="I29" i="1" s="1"/>
  <c r="E50" i="1"/>
  <c r="D60" i="1"/>
  <c r="F37" i="1"/>
  <c r="F33" i="1"/>
  <c r="H57" i="1"/>
  <c r="H58" i="1" s="1"/>
  <c r="H51" i="1"/>
  <c r="H53" i="1" s="1"/>
  <c r="H59" i="1" s="1"/>
  <c r="H45" i="1"/>
  <c r="H52" i="1"/>
  <c r="I35" i="1" l="1"/>
  <c r="I40" i="1" s="1"/>
  <c r="I31" i="1"/>
  <c r="I46" i="1"/>
  <c r="I36" i="1"/>
  <c r="J24" i="1"/>
  <c r="J20" i="1" s="1"/>
  <c r="J47" i="1" s="1"/>
  <c r="K17" i="1"/>
  <c r="J18" i="1"/>
  <c r="J19" i="1" s="1"/>
  <c r="J29" i="1" s="1"/>
  <c r="J43" i="1"/>
  <c r="F50" i="1"/>
  <c r="E60" i="1"/>
  <c r="L55" i="1"/>
  <c r="K56" i="1"/>
  <c r="F75" i="1"/>
  <c r="F68" i="1"/>
  <c r="G64" i="1" s="1"/>
  <c r="F78" i="1"/>
  <c r="F38" i="1"/>
  <c r="F79" i="1"/>
  <c r="F74" i="1"/>
  <c r="F69" i="1"/>
  <c r="F76" i="1"/>
  <c r="F67" i="1"/>
  <c r="F64" i="1" s="1"/>
  <c r="F73" i="1"/>
  <c r="F70" i="1"/>
  <c r="F72" i="1"/>
  <c r="F71" i="1"/>
  <c r="F77" i="1"/>
  <c r="F48" i="1"/>
  <c r="G78" i="1"/>
  <c r="G79" i="1"/>
  <c r="G74" i="1"/>
  <c r="G69" i="1"/>
  <c r="G76" i="1"/>
  <c r="G73" i="1"/>
  <c r="G70" i="1"/>
  <c r="G72" i="1"/>
  <c r="G71" i="1"/>
  <c r="G77" i="1"/>
  <c r="G75" i="1"/>
  <c r="G68" i="1"/>
  <c r="G38" i="1"/>
  <c r="G48" i="1"/>
  <c r="I51" i="1"/>
  <c r="I52" i="1"/>
  <c r="I57" i="1" s="1"/>
  <c r="I58" i="1" s="1"/>
  <c r="I45" i="1"/>
  <c r="H46" i="1"/>
  <c r="H36" i="1"/>
  <c r="H31" i="1"/>
  <c r="H35" i="1"/>
  <c r="H40" i="1" s="1"/>
  <c r="J36" i="1" l="1"/>
  <c r="J31" i="1"/>
  <c r="J46" i="1"/>
  <c r="J35" i="1"/>
  <c r="J40" i="1" s="1"/>
  <c r="L56" i="1"/>
  <c r="M55" i="1"/>
  <c r="H37" i="1"/>
  <c r="H33" i="1"/>
  <c r="G50" i="1"/>
  <c r="F60" i="1"/>
  <c r="I37" i="1"/>
  <c r="I33" i="1"/>
  <c r="K43" i="1"/>
  <c r="K18" i="1"/>
  <c r="K19" i="1" s="1"/>
  <c r="K29" i="1" s="1"/>
  <c r="L17" i="1"/>
  <c r="K24" i="1"/>
  <c r="K20" i="1" s="1"/>
  <c r="I53" i="1"/>
  <c r="I59" i="1" s="1"/>
  <c r="J52" i="1"/>
  <c r="J51" i="1"/>
  <c r="J53" i="1" s="1"/>
  <c r="J57" i="1"/>
  <c r="J58" i="1" s="1"/>
  <c r="J45" i="1"/>
  <c r="K36" i="1" l="1"/>
  <c r="K31" i="1"/>
  <c r="K35" i="1"/>
  <c r="K40" i="1" s="1"/>
  <c r="K46" i="1"/>
  <c r="K47" i="1"/>
  <c r="K51" i="1"/>
  <c r="K53" i="1" s="1"/>
  <c r="K45" i="1"/>
  <c r="K52" i="1"/>
  <c r="K57" i="1" s="1"/>
  <c r="K58" i="1" s="1"/>
  <c r="I74" i="1"/>
  <c r="I76" i="1"/>
  <c r="I73" i="1"/>
  <c r="I70" i="1"/>
  <c r="I72" i="1"/>
  <c r="I71" i="1"/>
  <c r="I77" i="1"/>
  <c r="I75" i="1"/>
  <c r="I78" i="1"/>
  <c r="I79" i="1"/>
  <c r="I38" i="1"/>
  <c r="I48" i="1"/>
  <c r="J33" i="1"/>
  <c r="J37" i="1"/>
  <c r="J59" i="1"/>
  <c r="H50" i="1"/>
  <c r="G60" i="1"/>
  <c r="L24" i="1"/>
  <c r="L20" i="1" s="1"/>
  <c r="L47" i="1" s="1"/>
  <c r="M17" i="1"/>
  <c r="L43" i="1"/>
  <c r="L18" i="1"/>
  <c r="L19" i="1" s="1"/>
  <c r="L29" i="1" s="1"/>
  <c r="H79" i="1"/>
  <c r="H74" i="1"/>
  <c r="H69" i="1"/>
  <c r="H64" i="1" s="1"/>
  <c r="H76" i="1"/>
  <c r="H73" i="1"/>
  <c r="H70" i="1"/>
  <c r="H72" i="1"/>
  <c r="H71" i="1"/>
  <c r="H77" i="1"/>
  <c r="H75" i="1"/>
  <c r="H78" i="1"/>
  <c r="H38" i="1"/>
  <c r="H48" i="1"/>
  <c r="N55" i="1"/>
  <c r="M56" i="1"/>
  <c r="L35" i="1" l="1"/>
  <c r="L40" i="1" s="1"/>
  <c r="L46" i="1"/>
  <c r="L36" i="1"/>
  <c r="L31" i="1"/>
  <c r="K59" i="1"/>
  <c r="M24" i="1"/>
  <c r="M20" i="1" s="1"/>
  <c r="N17" i="1"/>
  <c r="M18" i="1"/>
  <c r="M19" i="1" s="1"/>
  <c r="M29" i="1" s="1"/>
  <c r="M43" i="1"/>
  <c r="L51" i="1"/>
  <c r="L52" i="1"/>
  <c r="L57" i="1" s="1"/>
  <c r="L58" i="1" s="1"/>
  <c r="L45" i="1"/>
  <c r="J76" i="1"/>
  <c r="J73" i="1"/>
  <c r="J72" i="1"/>
  <c r="J71" i="1"/>
  <c r="J64" i="1" s="1"/>
  <c r="J77" i="1"/>
  <c r="J75" i="1"/>
  <c r="J78" i="1"/>
  <c r="J38" i="1"/>
  <c r="J79" i="1"/>
  <c r="J74" i="1"/>
  <c r="J48" i="1"/>
  <c r="K33" i="1"/>
  <c r="K37" i="1"/>
  <c r="O55" i="1"/>
  <c r="N56" i="1"/>
  <c r="I64" i="1"/>
  <c r="I50" i="1"/>
  <c r="H60" i="1"/>
  <c r="M46" i="1" l="1"/>
  <c r="M36" i="1"/>
  <c r="M31" i="1"/>
  <c r="M35" i="1"/>
  <c r="M40" i="1" s="1"/>
  <c r="N43" i="1"/>
  <c r="N24" i="1"/>
  <c r="N20" i="1" s="1"/>
  <c r="N47" i="1" s="1"/>
  <c r="N19" i="1"/>
  <c r="O17" i="1"/>
  <c r="N18" i="1"/>
  <c r="M47" i="1"/>
  <c r="C20" i="1"/>
  <c r="O56" i="1"/>
  <c r="P55" i="1"/>
  <c r="J50" i="1"/>
  <c r="I60" i="1"/>
  <c r="M52" i="1"/>
  <c r="M57" i="1"/>
  <c r="M58" i="1" s="1"/>
  <c r="M51" i="1"/>
  <c r="M53" i="1" s="1"/>
  <c r="M59" i="1" s="1"/>
  <c r="M45" i="1"/>
  <c r="L37" i="1"/>
  <c r="L33" i="1"/>
  <c r="K73" i="1"/>
  <c r="K72" i="1"/>
  <c r="K64" i="1" s="1"/>
  <c r="K77" i="1"/>
  <c r="K75" i="1"/>
  <c r="K78" i="1"/>
  <c r="K38" i="1"/>
  <c r="K79" i="1"/>
  <c r="K74" i="1"/>
  <c r="K76" i="1"/>
  <c r="K48" i="1"/>
  <c r="L53" i="1"/>
  <c r="L59" i="1" s="1"/>
  <c r="P56" i="1" l="1"/>
  <c r="Q55" i="1"/>
  <c r="N45" i="1"/>
  <c r="N51" i="1"/>
  <c r="N52" i="1"/>
  <c r="N57" i="1" s="1"/>
  <c r="N58" i="1" s="1"/>
  <c r="M37" i="1"/>
  <c r="M33" i="1"/>
  <c r="O43" i="1"/>
  <c r="O18" i="1"/>
  <c r="O19" i="1"/>
  <c r="O24" i="1"/>
  <c r="O20" i="1" s="1"/>
  <c r="O47" i="1" s="1"/>
  <c r="P17" i="1"/>
  <c r="K50" i="1"/>
  <c r="J60" i="1"/>
  <c r="L77" i="1"/>
  <c r="L75" i="1"/>
  <c r="L78" i="1"/>
  <c r="L79" i="1"/>
  <c r="L74" i="1"/>
  <c r="L76" i="1"/>
  <c r="L73" i="1"/>
  <c r="L64" i="1" s="1"/>
  <c r="L38" i="1"/>
  <c r="L48" i="1"/>
  <c r="N29" i="1"/>
  <c r="M77" i="1" l="1"/>
  <c r="M75" i="1"/>
  <c r="M78" i="1"/>
  <c r="M38" i="1"/>
  <c r="M79" i="1"/>
  <c r="M74" i="1"/>
  <c r="M64" i="1" s="1"/>
  <c r="M76" i="1"/>
  <c r="M48" i="1"/>
  <c r="P18" i="1"/>
  <c r="P19" i="1"/>
  <c r="P24" i="1"/>
  <c r="P20" i="1" s="1"/>
  <c r="P47" i="1" s="1"/>
  <c r="P43" i="1"/>
  <c r="Q17" i="1"/>
  <c r="N53" i="1"/>
  <c r="N59" i="1" s="1"/>
  <c r="L50" i="1"/>
  <c r="K60" i="1"/>
  <c r="R55" i="1"/>
  <c r="R56" i="1" s="1"/>
  <c r="Q56" i="1"/>
  <c r="O29" i="1"/>
  <c r="N35" i="1"/>
  <c r="N40" i="1" s="1"/>
  <c r="N31" i="1"/>
  <c r="N36" i="1"/>
  <c r="N46" i="1"/>
  <c r="O45" i="1"/>
  <c r="O52" i="1"/>
  <c r="O51" i="1"/>
  <c r="O53" i="1" s="1"/>
  <c r="O57" i="1"/>
  <c r="O58" i="1" s="1"/>
  <c r="N33" i="1" l="1"/>
  <c r="N37" i="1"/>
  <c r="Q24" i="1"/>
  <c r="Q20" i="1" s="1"/>
  <c r="Q47" i="1" s="1"/>
  <c r="R17" i="1"/>
  <c r="Q43" i="1"/>
  <c r="Q18" i="1"/>
  <c r="Q19" i="1"/>
  <c r="Q29" i="1" s="1"/>
  <c r="M50" i="1"/>
  <c r="L60" i="1"/>
  <c r="P51" i="1"/>
  <c r="P52" i="1"/>
  <c r="P57" i="1" s="1"/>
  <c r="P58" i="1" s="1"/>
  <c r="P45" i="1"/>
  <c r="O59" i="1"/>
  <c r="P29" i="1"/>
  <c r="O35" i="1"/>
  <c r="O40" i="1" s="1"/>
  <c r="O46" i="1"/>
  <c r="O36" i="1"/>
  <c r="O31" i="1"/>
  <c r="P46" i="1" l="1"/>
  <c r="P36" i="1"/>
  <c r="P31" i="1"/>
  <c r="P35" i="1"/>
  <c r="P40" i="1" s="1"/>
  <c r="O37" i="1"/>
  <c r="O33" i="1"/>
  <c r="P53" i="1"/>
  <c r="P59" i="1" s="1"/>
  <c r="N75" i="1"/>
  <c r="N64" i="1" s="1"/>
  <c r="N78" i="1"/>
  <c r="N38" i="1"/>
  <c r="N79" i="1"/>
  <c r="N76" i="1"/>
  <c r="N77" i="1"/>
  <c r="N48" i="1"/>
  <c r="Q35" i="1"/>
  <c r="Q40" i="1" s="1"/>
  <c r="Q31" i="1"/>
  <c r="Q46" i="1"/>
  <c r="Q36" i="1"/>
  <c r="Q51" i="1"/>
  <c r="Q52" i="1"/>
  <c r="Q57" i="1" s="1"/>
  <c r="Q58" i="1" s="1"/>
  <c r="Q45" i="1"/>
  <c r="R19" i="1"/>
  <c r="R29" i="1" s="1"/>
  <c r="R24" i="1"/>
  <c r="R20" i="1" s="1"/>
  <c r="R47" i="1" s="1"/>
  <c r="R18" i="1"/>
  <c r="R43" i="1"/>
  <c r="N50" i="1"/>
  <c r="M60" i="1"/>
  <c r="R36" i="1" l="1"/>
  <c r="R31" i="1"/>
  <c r="R46" i="1"/>
  <c r="R35" i="1"/>
  <c r="R40" i="1" s="1"/>
  <c r="O78" i="1"/>
  <c r="O79" i="1"/>
  <c r="O76" i="1"/>
  <c r="O64" i="1" s="1"/>
  <c r="O77" i="1"/>
  <c r="O38" i="1"/>
  <c r="O48" i="1"/>
  <c r="Q53" i="1"/>
  <c r="Q59" i="1" s="1"/>
  <c r="O50" i="1"/>
  <c r="N60" i="1"/>
  <c r="R52" i="1"/>
  <c r="R57" i="1" s="1"/>
  <c r="R58" i="1" s="1"/>
  <c r="R51" i="1"/>
  <c r="R53" i="1" s="1"/>
  <c r="R45" i="1"/>
  <c r="P37" i="1"/>
  <c r="P33" i="1"/>
  <c r="Q33" i="1"/>
  <c r="Q37" i="1"/>
  <c r="R59" i="1" l="1"/>
  <c r="Q78" i="1"/>
  <c r="Q79" i="1"/>
  <c r="Q38" i="1"/>
  <c r="Q48" i="1"/>
  <c r="P50" i="1"/>
  <c r="O60" i="1"/>
  <c r="P79" i="1"/>
  <c r="P77" i="1"/>
  <c r="P64" i="1" s="1"/>
  <c r="P78" i="1"/>
  <c r="P38" i="1"/>
  <c r="P48" i="1"/>
  <c r="R33" i="1"/>
  <c r="R37" i="1"/>
  <c r="R38" i="1" l="1"/>
  <c r="R79" i="1"/>
  <c r="R64" i="1" s="1"/>
  <c r="R48" i="1"/>
  <c r="Q50" i="1"/>
  <c r="P60" i="1"/>
  <c r="Q64" i="1"/>
  <c r="R50" i="1" l="1"/>
  <c r="R60" i="1" s="1"/>
  <c r="Q6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Soeda Takuya</author>
  </authors>
  <commentList>
    <comment ref="B21" authorId="0" shapeId="0" xr:uid="{AC0DE633-8D25-4325-A774-F5BCC4D97B76}">
      <text>
        <r>
          <rPr>
            <b/>
            <sz val="9"/>
            <color indexed="81"/>
            <rFont val="MS P ゴシック"/>
            <family val="3"/>
            <charset val="128"/>
          </rPr>
          <t>清掃費＆消防点検</t>
        </r>
      </text>
    </comment>
    <comment ref="B23" authorId="0" shapeId="0" xr:uid="{B3004426-89C3-495A-955C-FB4BF8252BF0}">
      <text>
        <r>
          <rPr>
            <b/>
            <sz val="9"/>
            <color indexed="81"/>
            <rFont val="MS P ゴシック"/>
            <family val="3"/>
            <charset val="128"/>
          </rPr>
          <t>エイブル保証の修繕保険料</t>
        </r>
      </text>
    </comment>
    <comment ref="B46" authorId="0" shapeId="0" xr:uid="{7CBFD88A-03A2-4946-943A-700F73D9678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一般的に1.2～1.3程度が安全
</t>
        </r>
      </text>
    </comment>
  </commentList>
</comments>
</file>

<file path=xl/sharedStrings.xml><?xml version="1.0" encoding="utf-8"?>
<sst xmlns="http://schemas.openxmlformats.org/spreadsheetml/2006/main" count="239" uniqueCount="209">
  <si>
    <t>キャッシュフロー表</t>
    <rPh sb="8" eb="9">
      <t>ヒョウ</t>
    </rPh>
    <phoneticPr fontId="3"/>
  </si>
  <si>
    <t>自己資本</t>
    <rPh sb="0" eb="2">
      <t>ジコ</t>
    </rPh>
    <rPh sb="2" eb="4">
      <t>シホン</t>
    </rPh>
    <phoneticPr fontId="3"/>
  </si>
  <si>
    <t xml:space="preserve">借入金利 </t>
    <rPh sb="0" eb="2">
      <t>カリイレ</t>
    </rPh>
    <rPh sb="2" eb="4">
      <t>キンリ</t>
    </rPh>
    <phoneticPr fontId="3"/>
  </si>
  <si>
    <t>借入</t>
    <rPh sb="0" eb="2">
      <t>カリイレ</t>
    </rPh>
    <phoneticPr fontId="3"/>
  </si>
  <si>
    <t>期間</t>
    <rPh sb="0" eb="2">
      <t>キカン</t>
    </rPh>
    <phoneticPr fontId="3"/>
  </si>
  <si>
    <t>物件価格</t>
    <rPh sb="0" eb="2">
      <t>ブッケン</t>
    </rPh>
    <rPh sb="2" eb="4">
      <t>カカク</t>
    </rPh>
    <phoneticPr fontId="3"/>
  </si>
  <si>
    <t>月間支払金額</t>
    <rPh sb="0" eb="2">
      <t>ゲッカン</t>
    </rPh>
    <rPh sb="2" eb="4">
      <t>シハライ</t>
    </rPh>
    <rPh sb="4" eb="6">
      <t>キンガク</t>
    </rPh>
    <phoneticPr fontId="3"/>
  </si>
  <si>
    <t>初期費用</t>
    <rPh sb="0" eb="2">
      <t>ショキ</t>
    </rPh>
    <rPh sb="2" eb="4">
      <t>ヒヨウ</t>
    </rPh>
    <phoneticPr fontId="3"/>
  </si>
  <si>
    <t>総投資額</t>
    <rPh sb="0" eb="4">
      <t>ソウトウシガク</t>
    </rPh>
    <phoneticPr fontId="3"/>
  </si>
  <si>
    <t>前提</t>
    <rPh sb="0" eb="2">
      <t>ゼンテイ</t>
    </rPh>
    <phoneticPr fontId="3"/>
  </si>
  <si>
    <t>表面利回り</t>
    <rPh sb="0" eb="2">
      <t>ヒョウメン</t>
    </rPh>
    <rPh sb="2" eb="4">
      <t>リマワ</t>
    </rPh>
    <phoneticPr fontId="3"/>
  </si>
  <si>
    <t>家賃低下率</t>
    <rPh sb="0" eb="2">
      <t>ヤチン</t>
    </rPh>
    <rPh sb="2" eb="4">
      <t>テイカ</t>
    </rPh>
    <rPh sb="4" eb="5">
      <t>リツ</t>
    </rPh>
    <phoneticPr fontId="3"/>
  </si>
  <si>
    <t>空室率上昇ペース</t>
    <rPh sb="0" eb="3">
      <t>クウシツリツ</t>
    </rPh>
    <rPh sb="3" eb="5">
      <t>ジョウショウ</t>
    </rPh>
    <phoneticPr fontId="3"/>
  </si>
  <si>
    <t>表面利回り上昇率</t>
    <rPh sb="0" eb="2">
      <t>ヒョウメン</t>
    </rPh>
    <rPh sb="2" eb="4">
      <t>リマワ</t>
    </rPh>
    <rPh sb="5" eb="7">
      <t>ジョウショウ</t>
    </rPh>
    <rPh sb="7" eb="8">
      <t>リツ</t>
    </rPh>
    <phoneticPr fontId="3"/>
  </si>
  <si>
    <t>1年目</t>
    <rPh sb="1" eb="2">
      <t>ネン</t>
    </rPh>
    <rPh sb="2" eb="3">
      <t>メ</t>
    </rPh>
    <phoneticPr fontId="3"/>
  </si>
  <si>
    <t>2年目</t>
    <rPh sb="1" eb="2">
      <t>ネン</t>
    </rPh>
    <rPh sb="2" eb="3">
      <t>メ</t>
    </rPh>
    <phoneticPr fontId="3"/>
  </si>
  <si>
    <t>3年目</t>
    <rPh sb="1" eb="2">
      <t>ネン</t>
    </rPh>
    <rPh sb="2" eb="3">
      <t>メ</t>
    </rPh>
    <phoneticPr fontId="3"/>
  </si>
  <si>
    <t>4年目</t>
    <rPh sb="1" eb="2">
      <t>ネン</t>
    </rPh>
    <rPh sb="2" eb="3">
      <t>メ</t>
    </rPh>
    <phoneticPr fontId="3"/>
  </si>
  <si>
    <t>5年目</t>
    <rPh sb="1" eb="2">
      <t>ネン</t>
    </rPh>
    <rPh sb="2" eb="3">
      <t>メ</t>
    </rPh>
    <phoneticPr fontId="3"/>
  </si>
  <si>
    <t>6年目</t>
    <rPh sb="1" eb="2">
      <t>ネン</t>
    </rPh>
    <rPh sb="2" eb="3">
      <t>メ</t>
    </rPh>
    <phoneticPr fontId="3"/>
  </si>
  <si>
    <t>7年目</t>
    <rPh sb="1" eb="2">
      <t>ネン</t>
    </rPh>
    <rPh sb="2" eb="3">
      <t>メ</t>
    </rPh>
    <phoneticPr fontId="3"/>
  </si>
  <si>
    <t>8年目</t>
    <rPh sb="1" eb="2">
      <t>ネン</t>
    </rPh>
    <rPh sb="2" eb="3">
      <t>メ</t>
    </rPh>
    <phoneticPr fontId="3"/>
  </si>
  <si>
    <t>9年目</t>
    <rPh sb="1" eb="2">
      <t>ネン</t>
    </rPh>
    <rPh sb="2" eb="3">
      <t>メ</t>
    </rPh>
    <phoneticPr fontId="3"/>
  </si>
  <si>
    <t>10年目</t>
    <rPh sb="2" eb="3">
      <t>ネン</t>
    </rPh>
    <rPh sb="3" eb="4">
      <t>メ</t>
    </rPh>
    <phoneticPr fontId="3"/>
  </si>
  <si>
    <t>11年目</t>
    <rPh sb="2" eb="3">
      <t>ネン</t>
    </rPh>
    <rPh sb="3" eb="4">
      <t>メ</t>
    </rPh>
    <phoneticPr fontId="3"/>
  </si>
  <si>
    <t>12年目</t>
    <rPh sb="2" eb="3">
      <t>ネン</t>
    </rPh>
    <rPh sb="3" eb="4">
      <t>メ</t>
    </rPh>
    <phoneticPr fontId="3"/>
  </si>
  <si>
    <t>13年目</t>
    <rPh sb="2" eb="3">
      <t>ネン</t>
    </rPh>
    <rPh sb="3" eb="4">
      <t>メ</t>
    </rPh>
    <phoneticPr fontId="3"/>
  </si>
  <si>
    <t>14年目</t>
    <rPh sb="2" eb="3">
      <t>ネン</t>
    </rPh>
    <rPh sb="3" eb="4">
      <t>メ</t>
    </rPh>
    <phoneticPr fontId="3"/>
  </si>
  <si>
    <t>15年目</t>
    <rPh sb="2" eb="3">
      <t>ネン</t>
    </rPh>
    <rPh sb="3" eb="4">
      <t>メ</t>
    </rPh>
    <phoneticPr fontId="3"/>
  </si>
  <si>
    <t>GPI</t>
    <phoneticPr fontId="3"/>
  </si>
  <si>
    <t>空室損</t>
    <rPh sb="0" eb="2">
      <t>クウシツ</t>
    </rPh>
    <rPh sb="2" eb="3">
      <t>ソン</t>
    </rPh>
    <phoneticPr fontId="3"/>
  </si>
  <si>
    <t>EGI</t>
    <phoneticPr fontId="3"/>
  </si>
  <si>
    <t>Opex</t>
    <phoneticPr fontId="3"/>
  </si>
  <si>
    <t xml:space="preserve">  維持管理費</t>
    <rPh sb="2" eb="4">
      <t>イジ</t>
    </rPh>
    <rPh sb="4" eb="7">
      <t>カンリヒ</t>
    </rPh>
    <phoneticPr fontId="3"/>
  </si>
  <si>
    <t xml:space="preserve">  水道光熱費</t>
    <rPh sb="2" eb="4">
      <t>スイドウ</t>
    </rPh>
    <rPh sb="4" eb="7">
      <t>コウネツヒ</t>
    </rPh>
    <phoneticPr fontId="3"/>
  </si>
  <si>
    <t xml:space="preserve">  修繕費</t>
    <rPh sb="2" eb="5">
      <t>シュウゼンヒ</t>
    </rPh>
    <phoneticPr fontId="3"/>
  </si>
  <si>
    <t xml:space="preserve">  PMフィー</t>
    <phoneticPr fontId="3"/>
  </si>
  <si>
    <t xml:space="preserve">  固定資産税・都市計画税</t>
    <rPh sb="2" eb="4">
      <t>コテイ</t>
    </rPh>
    <rPh sb="4" eb="7">
      <t>シサンゼイ</t>
    </rPh>
    <rPh sb="8" eb="10">
      <t>トシ</t>
    </rPh>
    <rPh sb="10" eb="12">
      <t>ケイカク</t>
    </rPh>
    <rPh sb="12" eb="13">
      <t>ゼイ</t>
    </rPh>
    <phoneticPr fontId="3"/>
  </si>
  <si>
    <t xml:space="preserve">  損害保険料</t>
    <rPh sb="2" eb="4">
      <t>ソンガイ</t>
    </rPh>
    <rPh sb="4" eb="6">
      <t>ホケン</t>
    </rPh>
    <rPh sb="6" eb="7">
      <t>リョウ</t>
    </rPh>
    <phoneticPr fontId="3"/>
  </si>
  <si>
    <t xml:space="preserve">  その他費用</t>
    <rPh sb="4" eb="5">
      <t>タ</t>
    </rPh>
    <rPh sb="5" eb="7">
      <t>ヒヨウ</t>
    </rPh>
    <phoneticPr fontId="3"/>
  </si>
  <si>
    <t xml:space="preserve">  </t>
    <phoneticPr fontId="3"/>
  </si>
  <si>
    <t>NOI</t>
    <phoneticPr fontId="3"/>
  </si>
  <si>
    <t>ADS</t>
    <phoneticPr fontId="3"/>
  </si>
  <si>
    <t>BTCF</t>
    <phoneticPr fontId="3"/>
  </si>
  <si>
    <t>Tax</t>
    <phoneticPr fontId="3"/>
  </si>
  <si>
    <t>ATCF</t>
    <phoneticPr fontId="3"/>
  </si>
  <si>
    <t>キャップレート</t>
    <phoneticPr fontId="3"/>
  </si>
  <si>
    <t>FCR</t>
    <phoneticPr fontId="3"/>
  </si>
  <si>
    <t>CCR</t>
    <phoneticPr fontId="3"/>
  </si>
  <si>
    <t>ATCCR</t>
    <phoneticPr fontId="3"/>
  </si>
  <si>
    <t>K%</t>
    <phoneticPr fontId="3"/>
  </si>
  <si>
    <t>YG</t>
    <phoneticPr fontId="3"/>
  </si>
  <si>
    <t>残債</t>
    <rPh sb="0" eb="2">
      <t>ザンサイ</t>
    </rPh>
    <phoneticPr fontId="3"/>
  </si>
  <si>
    <t>LTV</t>
    <phoneticPr fontId="3"/>
  </si>
  <si>
    <t>DCR</t>
    <phoneticPr fontId="3"/>
  </si>
  <si>
    <t>BE%</t>
    <phoneticPr fontId="3"/>
  </si>
  <si>
    <t>PB(年)</t>
    <rPh sb="3" eb="4">
      <t>ネン</t>
    </rPh>
    <phoneticPr fontId="3"/>
  </si>
  <si>
    <t>累積ATCF</t>
    <rPh sb="0" eb="2">
      <t>ルイセキ</t>
    </rPh>
    <phoneticPr fontId="3"/>
  </si>
  <si>
    <t>売却グロスCF(物件価格－残債)</t>
    <rPh sb="0" eb="2">
      <t>バイキャク</t>
    </rPh>
    <rPh sb="8" eb="10">
      <t>ブッケン</t>
    </rPh>
    <rPh sb="10" eb="12">
      <t>カカク</t>
    </rPh>
    <phoneticPr fontId="3"/>
  </si>
  <si>
    <t>売却手数料</t>
    <rPh sb="0" eb="2">
      <t>バイキャク</t>
    </rPh>
    <rPh sb="2" eb="5">
      <t>テスウリョウ</t>
    </rPh>
    <phoneticPr fontId="3"/>
  </si>
  <si>
    <t>売却BTCF(物件価格－売却手数料－残債)</t>
    <rPh sb="0" eb="2">
      <t>バイキャク</t>
    </rPh>
    <rPh sb="7" eb="9">
      <t>ブッケン</t>
    </rPh>
    <rPh sb="9" eb="11">
      <t>カカク</t>
    </rPh>
    <rPh sb="12" eb="14">
      <t>バイキャク</t>
    </rPh>
    <rPh sb="14" eb="17">
      <t>テスウリョウ</t>
    </rPh>
    <phoneticPr fontId="3"/>
  </si>
  <si>
    <t>減価償却費</t>
    <rPh sb="0" eb="2">
      <t>ゲンカ</t>
    </rPh>
    <rPh sb="2" eb="4">
      <t>ショウキャク</t>
    </rPh>
    <rPh sb="4" eb="5">
      <t>ヒ</t>
    </rPh>
    <phoneticPr fontId="3"/>
  </si>
  <si>
    <t>減価償却費累計</t>
    <rPh sb="0" eb="2">
      <t>ゲンカ</t>
    </rPh>
    <rPh sb="2" eb="4">
      <t>ショウキャク</t>
    </rPh>
    <rPh sb="4" eb="5">
      <t>ヒ</t>
    </rPh>
    <rPh sb="5" eb="7">
      <t>ルイケイ</t>
    </rPh>
    <phoneticPr fontId="3"/>
  </si>
  <si>
    <t>取得費(減価償却後)</t>
    <rPh sb="0" eb="2">
      <t>シュトク</t>
    </rPh>
    <rPh sb="2" eb="3">
      <t>ヒ</t>
    </rPh>
    <rPh sb="4" eb="6">
      <t>ゲンカ</t>
    </rPh>
    <rPh sb="6" eb="8">
      <t>ショウキャク</t>
    </rPh>
    <rPh sb="8" eb="9">
      <t>ゴ</t>
    </rPh>
    <phoneticPr fontId="3"/>
  </si>
  <si>
    <t>課税所得</t>
    <rPh sb="0" eb="2">
      <t>カゼイ</t>
    </rPh>
    <rPh sb="2" eb="4">
      <t>ショトク</t>
    </rPh>
    <phoneticPr fontId="3"/>
  </si>
  <si>
    <t>所得税</t>
    <rPh sb="0" eb="3">
      <t>ショトクゼイ</t>
    </rPh>
    <phoneticPr fontId="3"/>
  </si>
  <si>
    <t>物件価格－手数料＋累積CF－残債</t>
    <rPh sb="0" eb="2">
      <t>ブッケン</t>
    </rPh>
    <rPh sb="2" eb="4">
      <t>カカク</t>
    </rPh>
    <rPh sb="5" eb="8">
      <t>テスウリョウ</t>
    </rPh>
    <rPh sb="9" eb="11">
      <t>ルイセキ</t>
    </rPh>
    <rPh sb="14" eb="16">
      <t>ザンサイ</t>
    </rPh>
    <phoneticPr fontId="3"/>
  </si>
  <si>
    <t>IRR計算</t>
    <rPh sb="3" eb="5">
      <t>ケイサン</t>
    </rPh>
    <phoneticPr fontId="3"/>
  </si>
  <si>
    <t>0年目</t>
    <rPh sb="1" eb="3">
      <t>ネンメ</t>
    </rPh>
    <phoneticPr fontId="3"/>
  </si>
  <si>
    <t>NA</t>
    <phoneticPr fontId="3"/>
  </si>
  <si>
    <t>1年後売却</t>
    <rPh sb="1" eb="2">
      <t>ネン</t>
    </rPh>
    <rPh sb="2" eb="3">
      <t>ゴ</t>
    </rPh>
    <rPh sb="3" eb="5">
      <t>バイキャク</t>
    </rPh>
    <phoneticPr fontId="3"/>
  </si>
  <si>
    <t>2年後売却</t>
    <rPh sb="1" eb="2">
      <t>ネン</t>
    </rPh>
    <rPh sb="2" eb="3">
      <t>ゴ</t>
    </rPh>
    <rPh sb="3" eb="5">
      <t>バイキャク</t>
    </rPh>
    <phoneticPr fontId="3"/>
  </si>
  <si>
    <t>3年後売却</t>
    <rPh sb="1" eb="2">
      <t>ネン</t>
    </rPh>
    <rPh sb="2" eb="3">
      <t>ゴ</t>
    </rPh>
    <rPh sb="3" eb="5">
      <t>バイキャク</t>
    </rPh>
    <phoneticPr fontId="3"/>
  </si>
  <si>
    <t>4年後売却</t>
    <rPh sb="1" eb="2">
      <t>ネン</t>
    </rPh>
    <rPh sb="2" eb="3">
      <t>ゴ</t>
    </rPh>
    <rPh sb="3" eb="5">
      <t>バイキャク</t>
    </rPh>
    <phoneticPr fontId="3"/>
  </si>
  <si>
    <t>5年後売却</t>
    <rPh sb="1" eb="2">
      <t>ネン</t>
    </rPh>
    <rPh sb="2" eb="3">
      <t>ゴ</t>
    </rPh>
    <rPh sb="3" eb="5">
      <t>バイキャク</t>
    </rPh>
    <phoneticPr fontId="3"/>
  </si>
  <si>
    <t>6年後売却</t>
    <rPh sb="1" eb="2">
      <t>ネン</t>
    </rPh>
    <rPh sb="2" eb="3">
      <t>ゴ</t>
    </rPh>
    <rPh sb="3" eb="5">
      <t>バイキャク</t>
    </rPh>
    <phoneticPr fontId="3"/>
  </si>
  <si>
    <t>7年後売却</t>
    <rPh sb="1" eb="2">
      <t>ネン</t>
    </rPh>
    <rPh sb="2" eb="3">
      <t>ゴ</t>
    </rPh>
    <rPh sb="3" eb="5">
      <t>バイキャク</t>
    </rPh>
    <phoneticPr fontId="3"/>
  </si>
  <si>
    <t>8年後売却</t>
    <rPh sb="1" eb="2">
      <t>ネン</t>
    </rPh>
    <rPh sb="2" eb="3">
      <t>ゴ</t>
    </rPh>
    <rPh sb="3" eb="5">
      <t>バイキャク</t>
    </rPh>
    <phoneticPr fontId="3"/>
  </si>
  <si>
    <t>9年後売却</t>
    <rPh sb="1" eb="2">
      <t>ネン</t>
    </rPh>
    <rPh sb="2" eb="3">
      <t>ゴ</t>
    </rPh>
    <rPh sb="3" eb="5">
      <t>バイキャク</t>
    </rPh>
    <phoneticPr fontId="3"/>
  </si>
  <si>
    <t>10年後売却</t>
    <rPh sb="2" eb="3">
      <t>ネン</t>
    </rPh>
    <rPh sb="3" eb="4">
      <t>ゴ</t>
    </rPh>
    <rPh sb="4" eb="6">
      <t>バイキャク</t>
    </rPh>
    <phoneticPr fontId="3"/>
  </si>
  <si>
    <t>11年後売却</t>
    <rPh sb="2" eb="3">
      <t>ネン</t>
    </rPh>
    <rPh sb="3" eb="4">
      <t>ゴ</t>
    </rPh>
    <rPh sb="4" eb="6">
      <t>バイキャク</t>
    </rPh>
    <phoneticPr fontId="3"/>
  </si>
  <si>
    <t>12年後売却</t>
    <rPh sb="2" eb="3">
      <t>ネン</t>
    </rPh>
    <rPh sb="3" eb="4">
      <t>ゴ</t>
    </rPh>
    <rPh sb="4" eb="6">
      <t>バイキャク</t>
    </rPh>
    <phoneticPr fontId="3"/>
  </si>
  <si>
    <t>13年後売却</t>
    <rPh sb="2" eb="3">
      <t>ネン</t>
    </rPh>
    <rPh sb="3" eb="4">
      <t>ゴ</t>
    </rPh>
    <rPh sb="4" eb="6">
      <t>バイキャク</t>
    </rPh>
    <phoneticPr fontId="3"/>
  </si>
  <si>
    <t>14年後売却</t>
    <rPh sb="2" eb="3">
      <t>ネン</t>
    </rPh>
    <rPh sb="3" eb="4">
      <t>ゴ</t>
    </rPh>
    <rPh sb="4" eb="6">
      <t>バイキャク</t>
    </rPh>
    <phoneticPr fontId="3"/>
  </si>
  <si>
    <t>15年後売却</t>
    <rPh sb="2" eb="3">
      <t>ネン</t>
    </rPh>
    <rPh sb="3" eb="4">
      <t>ゴ</t>
    </rPh>
    <rPh sb="4" eb="6">
      <t>バイキャク</t>
    </rPh>
    <phoneticPr fontId="3"/>
  </si>
  <si>
    <t>購入時諸費用＝首都圏では７～８％が一般的</t>
    <rPh sb="0" eb="3">
      <t>コウニュウジ</t>
    </rPh>
    <rPh sb="3" eb="4">
      <t>ショ</t>
    </rPh>
    <rPh sb="4" eb="6">
      <t>ヒヨウ</t>
    </rPh>
    <rPh sb="7" eb="10">
      <t>シュトケン</t>
    </rPh>
    <rPh sb="17" eb="19">
      <t>イッパン</t>
    </rPh>
    <rPh sb="19" eb="20">
      <t>テキ</t>
    </rPh>
    <phoneticPr fontId="3"/>
  </si>
  <si>
    <t>①仲介手数料及び消費税</t>
    <rPh sb="1" eb="3">
      <t>チュウカイ</t>
    </rPh>
    <rPh sb="3" eb="6">
      <t>テスウリョウ</t>
    </rPh>
    <rPh sb="6" eb="7">
      <t>オヨ</t>
    </rPh>
    <rPh sb="8" eb="11">
      <t>ショウヒゼイ</t>
    </rPh>
    <phoneticPr fontId="3"/>
  </si>
  <si>
    <t>物件価格が400万円超であれば、物件価格の3%＋6万円が仲介手数料となる</t>
    <rPh sb="0" eb="2">
      <t>ブッケン</t>
    </rPh>
    <rPh sb="2" eb="4">
      <t>カカク</t>
    </rPh>
    <rPh sb="8" eb="10">
      <t>マンエン</t>
    </rPh>
    <rPh sb="10" eb="11">
      <t>チョウ</t>
    </rPh>
    <rPh sb="16" eb="18">
      <t>ブッケン</t>
    </rPh>
    <rPh sb="18" eb="20">
      <t>カカク</t>
    </rPh>
    <rPh sb="25" eb="27">
      <t>マンエン</t>
    </rPh>
    <rPh sb="28" eb="30">
      <t>チュウカイ</t>
    </rPh>
    <rPh sb="30" eb="33">
      <t>テスウリョウ</t>
    </rPh>
    <phoneticPr fontId="3"/>
  </si>
  <si>
    <t>②登録免許税(所有権移転、抵当権設定)</t>
    <rPh sb="1" eb="3">
      <t>トウロク</t>
    </rPh>
    <rPh sb="3" eb="6">
      <t>メンキョゼイ</t>
    </rPh>
    <rPh sb="7" eb="10">
      <t>ショユウケン</t>
    </rPh>
    <rPh sb="10" eb="12">
      <t>イテン</t>
    </rPh>
    <rPh sb="13" eb="16">
      <t>テイトウケン</t>
    </rPh>
    <rPh sb="16" eb="18">
      <t>セッテイ</t>
    </rPh>
    <phoneticPr fontId="3"/>
  </si>
  <si>
    <t>国税庁のHPで閲覧。土地の所有権移転は固定資産税評価額×2%、建物は固定資産税評価額×2%。固定資産税評価額は、物件所在地の都税事務所または市区町村役場などで取得可。ただし第三者は取得できないので売主に請求する必要あり。または固定資産税納付書の記載による。そこまで話が進んでいない場合は、全国地価マップHP(http://www.chikamap.jp)から類推。</t>
    <rPh sb="0" eb="3">
      <t>コクゼイチョウ</t>
    </rPh>
    <rPh sb="7" eb="9">
      <t>エツラン</t>
    </rPh>
    <rPh sb="10" eb="12">
      <t>トチ</t>
    </rPh>
    <rPh sb="13" eb="16">
      <t>ショユウケン</t>
    </rPh>
    <rPh sb="16" eb="18">
      <t>イテン</t>
    </rPh>
    <rPh sb="19" eb="21">
      <t>コテイ</t>
    </rPh>
    <rPh sb="21" eb="24">
      <t>シサンゼイ</t>
    </rPh>
    <rPh sb="24" eb="27">
      <t>ヒョウカガク</t>
    </rPh>
    <rPh sb="31" eb="33">
      <t>タテモノ</t>
    </rPh>
    <rPh sb="56" eb="58">
      <t>ブッケン</t>
    </rPh>
    <rPh sb="58" eb="61">
      <t>ショザイチ</t>
    </rPh>
    <rPh sb="62" eb="64">
      <t>トゼイ</t>
    </rPh>
    <rPh sb="64" eb="66">
      <t>ジム</t>
    </rPh>
    <rPh sb="66" eb="67">
      <t>ショ</t>
    </rPh>
    <rPh sb="70" eb="72">
      <t>シク</t>
    </rPh>
    <rPh sb="72" eb="74">
      <t>チョウソン</t>
    </rPh>
    <rPh sb="74" eb="76">
      <t>ヤクバ</t>
    </rPh>
    <rPh sb="79" eb="81">
      <t>シュトク</t>
    </rPh>
    <rPh sb="81" eb="82">
      <t>カ</t>
    </rPh>
    <rPh sb="86" eb="87">
      <t>ダイ</t>
    </rPh>
    <rPh sb="113" eb="115">
      <t>コテイ</t>
    </rPh>
    <rPh sb="115" eb="118">
      <t>シサンゼイ</t>
    </rPh>
    <rPh sb="118" eb="121">
      <t>ノウフショ</t>
    </rPh>
    <rPh sb="122" eb="124">
      <t>キサイ</t>
    </rPh>
    <rPh sb="132" eb="133">
      <t>ハナシ</t>
    </rPh>
    <rPh sb="134" eb="135">
      <t>スス</t>
    </rPh>
    <rPh sb="140" eb="142">
      <t>バアイ</t>
    </rPh>
    <rPh sb="144" eb="146">
      <t>ゼンコク</t>
    </rPh>
    <rPh sb="146" eb="148">
      <t>チカ</t>
    </rPh>
    <rPh sb="179" eb="181">
      <t>ルイスイ</t>
    </rPh>
    <phoneticPr fontId="3"/>
  </si>
  <si>
    <t>③司法書士手数料</t>
    <rPh sb="1" eb="3">
      <t>シホウ</t>
    </rPh>
    <rPh sb="3" eb="5">
      <t>ショシ</t>
    </rPh>
    <rPh sb="5" eb="8">
      <t>テスウリョウ</t>
    </rPh>
    <phoneticPr fontId="3"/>
  </si>
  <si>
    <t>司法書士手数料は1登記あたり3～5万円(所有権移転と抵当権設定の場合は2登記)</t>
    <phoneticPr fontId="3"/>
  </si>
  <si>
    <t>④印紙税(売買契約書、金銭消費貸借契約書等)</t>
    <rPh sb="1" eb="4">
      <t>インシゼイ</t>
    </rPh>
    <rPh sb="5" eb="7">
      <t>バイバイ</t>
    </rPh>
    <rPh sb="7" eb="10">
      <t>ケイヤクショ</t>
    </rPh>
    <rPh sb="11" eb="13">
      <t>キンセン</t>
    </rPh>
    <rPh sb="13" eb="15">
      <t>ショウヒ</t>
    </rPh>
    <rPh sb="15" eb="17">
      <t>タイシャク</t>
    </rPh>
    <rPh sb="17" eb="19">
      <t>ケイヤク</t>
    </rPh>
    <rPh sb="19" eb="20">
      <t>ショ</t>
    </rPh>
    <rPh sb="20" eb="21">
      <t>トウ</t>
    </rPh>
    <phoneticPr fontId="3"/>
  </si>
  <si>
    <t>国税庁のHPで閲覧。500～1000万円は1万円、1000～5000は2万円、5000～1億は6万円、1～5億円は10万円。</t>
    <rPh sb="0" eb="3">
      <t>コクゼイチョウ</t>
    </rPh>
    <rPh sb="7" eb="9">
      <t>エツラン</t>
    </rPh>
    <rPh sb="18" eb="19">
      <t>マン</t>
    </rPh>
    <rPh sb="19" eb="20">
      <t>エン</t>
    </rPh>
    <rPh sb="22" eb="23">
      <t>マン</t>
    </rPh>
    <rPh sb="23" eb="24">
      <t>エン</t>
    </rPh>
    <rPh sb="36" eb="38">
      <t>マンエン</t>
    </rPh>
    <rPh sb="45" eb="46">
      <t>オク</t>
    </rPh>
    <rPh sb="48" eb="50">
      <t>マンエン</t>
    </rPh>
    <rPh sb="54" eb="56">
      <t>オクエン</t>
    </rPh>
    <rPh sb="59" eb="61">
      <t>マンエン</t>
    </rPh>
    <phoneticPr fontId="3"/>
  </si>
  <si>
    <t>⑤金融機関の手数料や場合によっては保証料</t>
    <rPh sb="1" eb="3">
      <t>キンユウ</t>
    </rPh>
    <rPh sb="3" eb="5">
      <t>キカン</t>
    </rPh>
    <rPh sb="6" eb="9">
      <t>テスウリョウ</t>
    </rPh>
    <rPh sb="10" eb="12">
      <t>バアイ</t>
    </rPh>
    <rPh sb="17" eb="20">
      <t>ホショウリョウ</t>
    </rPh>
    <phoneticPr fontId="3"/>
  </si>
  <si>
    <t>融資額にかかわらず5～10万円。ノンバンク系は1～2%か金利に含む。</t>
    <rPh sb="0" eb="2">
      <t>ユウシ</t>
    </rPh>
    <rPh sb="2" eb="3">
      <t>ガク</t>
    </rPh>
    <rPh sb="13" eb="15">
      <t>マンエン</t>
    </rPh>
    <rPh sb="21" eb="22">
      <t>ケイ</t>
    </rPh>
    <rPh sb="28" eb="30">
      <t>キンリ</t>
    </rPh>
    <rPh sb="31" eb="32">
      <t>フク</t>
    </rPh>
    <phoneticPr fontId="3"/>
  </si>
  <si>
    <t>⑥不動産取得税</t>
    <rPh sb="1" eb="4">
      <t>フドウサン</t>
    </rPh>
    <rPh sb="4" eb="6">
      <t>シュトク</t>
    </rPh>
    <rPh sb="6" eb="7">
      <t>ゼイ</t>
    </rPh>
    <phoneticPr fontId="3"/>
  </si>
  <si>
    <t>東京都主税局HPで閲覧。土地は評価額×50%×3%、建物は評価額×3%</t>
    <rPh sb="0" eb="3">
      <t>トウキョウト</t>
    </rPh>
    <rPh sb="3" eb="6">
      <t>シュゼイキョク</t>
    </rPh>
    <rPh sb="9" eb="11">
      <t>エツラン</t>
    </rPh>
    <rPh sb="12" eb="14">
      <t>トチ</t>
    </rPh>
    <rPh sb="15" eb="18">
      <t>ヒョウカガク</t>
    </rPh>
    <rPh sb="26" eb="28">
      <t>タテモノ</t>
    </rPh>
    <rPh sb="29" eb="32">
      <t>ヒョウカガク</t>
    </rPh>
    <phoneticPr fontId="3"/>
  </si>
  <si>
    <t>⑦火災保険料等</t>
    <rPh sb="1" eb="3">
      <t>カサイ</t>
    </rPh>
    <rPh sb="3" eb="6">
      <t>ホケンリョウ</t>
    </rPh>
    <rPh sb="6" eb="7">
      <t>トウ</t>
    </rPh>
    <phoneticPr fontId="3"/>
  </si>
  <si>
    <t>価格ドットコムで試算可能</t>
    <rPh sb="0" eb="2">
      <t>カカク</t>
    </rPh>
    <rPh sb="8" eb="10">
      <t>シサン</t>
    </rPh>
    <rPh sb="10" eb="12">
      <t>カノウ</t>
    </rPh>
    <phoneticPr fontId="3"/>
  </si>
  <si>
    <t>売却時諸費用＝首都圏では４％が一般的</t>
    <rPh sb="0" eb="2">
      <t>バイキャク</t>
    </rPh>
    <rPh sb="2" eb="3">
      <t>ジ</t>
    </rPh>
    <rPh sb="3" eb="4">
      <t>ショ</t>
    </rPh>
    <rPh sb="4" eb="6">
      <t>ヒヨウ</t>
    </rPh>
    <rPh sb="7" eb="10">
      <t>シュトケン</t>
    </rPh>
    <rPh sb="15" eb="17">
      <t>イッパン</t>
    </rPh>
    <rPh sb="17" eb="18">
      <t>テキ</t>
    </rPh>
    <phoneticPr fontId="3"/>
  </si>
  <si>
    <t>①仲介手数料および消費税</t>
    <rPh sb="1" eb="3">
      <t>チュウカイ</t>
    </rPh>
    <rPh sb="3" eb="6">
      <t>テスウリョウ</t>
    </rPh>
    <rPh sb="9" eb="12">
      <t>ショウヒゼイ</t>
    </rPh>
    <phoneticPr fontId="3"/>
  </si>
  <si>
    <t>②契約印紙税(売買)</t>
    <rPh sb="1" eb="3">
      <t>ケイヤク</t>
    </rPh>
    <rPh sb="3" eb="6">
      <t>インシゼイ</t>
    </rPh>
    <rPh sb="7" eb="9">
      <t>バイバイ</t>
    </rPh>
    <phoneticPr fontId="3"/>
  </si>
  <si>
    <t>③抵当権抹消登記</t>
    <rPh sb="1" eb="4">
      <t>テイトウケン</t>
    </rPh>
    <rPh sb="4" eb="6">
      <t>マッショウ</t>
    </rPh>
    <rPh sb="6" eb="8">
      <t>トウキ</t>
    </rPh>
    <phoneticPr fontId="3"/>
  </si>
  <si>
    <t>④銀行繰上返済手数料 (固定金利は要注意)</t>
    <rPh sb="1" eb="3">
      <t>ギンコウ</t>
    </rPh>
    <rPh sb="3" eb="5">
      <t>クリアゲ</t>
    </rPh>
    <rPh sb="5" eb="7">
      <t>ヘンサイ</t>
    </rPh>
    <rPh sb="7" eb="10">
      <t>テスウリョウ</t>
    </rPh>
    <rPh sb="12" eb="14">
      <t>コテイ</t>
    </rPh>
    <rPh sb="14" eb="16">
      <t>キンリ</t>
    </rPh>
    <rPh sb="17" eb="20">
      <t>ヨウチュウイ</t>
    </rPh>
    <phoneticPr fontId="3"/>
  </si>
  <si>
    <t>相場賃料の調べ方</t>
    <rPh sb="0" eb="2">
      <t>ソウバ</t>
    </rPh>
    <rPh sb="2" eb="4">
      <t>チンリョウ</t>
    </rPh>
    <rPh sb="5" eb="6">
      <t>シラ</t>
    </rPh>
    <rPh sb="7" eb="8">
      <t>カタ</t>
    </rPh>
    <phoneticPr fontId="3"/>
  </si>
  <si>
    <t>①インターネット</t>
    <phoneticPr fontId="3"/>
  </si>
  <si>
    <t>②レインズで成約事例</t>
    <rPh sb="6" eb="8">
      <t>セイヤク</t>
    </rPh>
    <rPh sb="8" eb="10">
      <t>ジレイ</t>
    </rPh>
    <phoneticPr fontId="3"/>
  </si>
  <si>
    <t xml:space="preserve">   賃貸物件情報を調べるサイトとして代表的なもの</t>
    <phoneticPr fontId="3"/>
  </si>
  <si>
    <t xml:space="preserve">      スーモ (http://suumo.jp/chintai/)</t>
  </si>
  <si>
    <t xml:space="preserve">      HOME’S家賃相場 (http:/ /yachin. homes. co.jp /)</t>
  </si>
  <si>
    <t xml:space="preserve">      アットホーム (http://www. athome. co. jp/)</t>
  </si>
  <si>
    <t xml:space="preserve">      YAHOO！賃貸 (http://r ealestate. yahoo. co.jp /rent/)</t>
  </si>
  <si>
    <t xml:space="preserve">      賃貸EX (http://chintai-ex.jp/)</t>
  </si>
  <si>
    <t xml:space="preserve">      @niｆｔy不動産 (http:/ /myhome. nifty. com/rent/)</t>
  </si>
  <si>
    <t xml:space="preserve">      スマイティ (http://sumaity.com/chintai/)</t>
  </si>
  <si>
    <t xml:space="preserve">      いい部屋ネット (http://www.eheya.net./)</t>
  </si>
  <si>
    <t xml:space="preserve">      CHINTAI (http://www.chintai.net/)</t>
  </si>
  <si>
    <t xml:space="preserve">   会員制</t>
    <phoneticPr fontId="3"/>
  </si>
  <si>
    <t xml:space="preserve">      REINS (http://www.reins.or.jp/)</t>
  </si>
  <si>
    <t xml:space="preserve">      賃料・設備相場チェッカー(SUUMO) (http://www.suumo-onr.jp/)</t>
  </si>
  <si>
    <t xml:space="preserve">      ATBB(at home Business Base) (http://atbb.athome.jp/)</t>
  </si>
  <si>
    <t>③現地調査</t>
    <rPh sb="1" eb="3">
      <t>ゲンチ</t>
    </rPh>
    <rPh sb="3" eb="5">
      <t>チョウサ</t>
    </rPh>
    <phoneticPr fontId="3"/>
  </si>
  <si>
    <t xml:space="preserve">   騒音、振動、におい、日照といった生活環境も直接肌で感じることができる。</t>
    <rPh sb="3" eb="5">
      <t>ソウオン</t>
    </rPh>
    <rPh sb="6" eb="8">
      <t>シンドウ</t>
    </rPh>
    <rPh sb="13" eb="15">
      <t>ニッショウ</t>
    </rPh>
    <rPh sb="19" eb="21">
      <t>セイカツ</t>
    </rPh>
    <rPh sb="21" eb="23">
      <t>カンキョウ</t>
    </rPh>
    <rPh sb="24" eb="26">
      <t>チョクセツ</t>
    </rPh>
    <rPh sb="26" eb="27">
      <t>ハダ</t>
    </rPh>
    <rPh sb="28" eb="29">
      <t>カン</t>
    </rPh>
    <phoneticPr fontId="3"/>
  </si>
  <si>
    <t>比較表分析による賃料設定</t>
    <rPh sb="0" eb="2">
      <t>ヒカク</t>
    </rPh>
    <rPh sb="2" eb="3">
      <t>ヒョウ</t>
    </rPh>
    <rPh sb="3" eb="5">
      <t>ブンセキ</t>
    </rPh>
    <rPh sb="8" eb="10">
      <t>チンリョウ</t>
    </rPh>
    <rPh sb="10" eb="12">
      <t>セッテイ</t>
    </rPh>
    <phoneticPr fontId="3"/>
  </si>
  <si>
    <t>・比較物件は3～5件で十分</t>
    <rPh sb="1" eb="3">
      <t>ヒカク</t>
    </rPh>
    <rPh sb="3" eb="5">
      <t>ブッケン</t>
    </rPh>
    <rPh sb="9" eb="10">
      <t>ケン</t>
    </rPh>
    <rPh sb="11" eb="13">
      <t>ジュウブン</t>
    </rPh>
    <phoneticPr fontId="3"/>
  </si>
  <si>
    <t>・一番良い部屋を対象に</t>
    <rPh sb="1" eb="3">
      <t>イチバン</t>
    </rPh>
    <rPh sb="3" eb="4">
      <t>ヨ</t>
    </rPh>
    <rPh sb="5" eb="7">
      <t>ヘヤ</t>
    </rPh>
    <rPh sb="8" eb="10">
      <t>タイショウ</t>
    </rPh>
    <phoneticPr fontId="3"/>
  </si>
  <si>
    <t>諸条件</t>
    <rPh sb="0" eb="3">
      <t>ショジョウケン</t>
    </rPh>
    <phoneticPr fontId="3"/>
  </si>
  <si>
    <t>当該物件</t>
    <rPh sb="0" eb="2">
      <t>トウガイ</t>
    </rPh>
    <rPh sb="2" eb="4">
      <t>ブッケン</t>
    </rPh>
    <phoneticPr fontId="3"/>
  </si>
  <si>
    <t>比較物件1</t>
    <rPh sb="0" eb="2">
      <t>ヒカク</t>
    </rPh>
    <rPh sb="2" eb="4">
      <t>ブッケン</t>
    </rPh>
    <phoneticPr fontId="3"/>
  </si>
  <si>
    <t>調整値</t>
    <rPh sb="0" eb="3">
      <t>チョウセイチ</t>
    </rPh>
    <phoneticPr fontId="3"/>
  </si>
  <si>
    <t>部屋面積(㎡)</t>
    <rPh sb="0" eb="2">
      <t>ヘヤ</t>
    </rPh>
    <rPh sb="2" eb="4">
      <t>メンセキ</t>
    </rPh>
    <phoneticPr fontId="3"/>
  </si>
  <si>
    <t>バルコニーの向き</t>
    <rPh sb="6" eb="7">
      <t>ム</t>
    </rPh>
    <phoneticPr fontId="3"/>
  </si>
  <si>
    <t>南</t>
    <rPh sb="0" eb="1">
      <t>ミナミ</t>
    </rPh>
    <phoneticPr fontId="3"/>
  </si>
  <si>
    <t>東</t>
    <rPh sb="0" eb="1">
      <t>ヒガシ</t>
    </rPh>
    <phoneticPr fontId="3"/>
  </si>
  <si>
    <t>駅からの徒歩分数</t>
    <rPh sb="0" eb="1">
      <t>エキ</t>
    </rPh>
    <rPh sb="4" eb="6">
      <t>トホ</t>
    </rPh>
    <rPh sb="6" eb="7">
      <t>フン</t>
    </rPh>
    <rPh sb="7" eb="8">
      <t>スウ</t>
    </rPh>
    <phoneticPr fontId="3"/>
  </si>
  <si>
    <t>5分</t>
    <rPh sb="1" eb="2">
      <t>フン</t>
    </rPh>
    <phoneticPr fontId="3"/>
  </si>
  <si>
    <t>6分</t>
    <rPh sb="1" eb="2">
      <t>フン</t>
    </rPh>
    <phoneticPr fontId="3"/>
  </si>
  <si>
    <t>10分</t>
    <rPh sb="2" eb="3">
      <t>フン</t>
    </rPh>
    <phoneticPr fontId="3"/>
  </si>
  <si>
    <t>3分</t>
    <rPh sb="1" eb="2">
      <t>フン</t>
    </rPh>
    <phoneticPr fontId="3"/>
  </si>
  <si>
    <t>建物の構造</t>
    <rPh sb="0" eb="2">
      <t>タテモノ</t>
    </rPh>
    <rPh sb="3" eb="5">
      <t>コウゾウ</t>
    </rPh>
    <phoneticPr fontId="3"/>
  </si>
  <si>
    <t>木造</t>
    <rPh sb="0" eb="2">
      <t>モクゾウ</t>
    </rPh>
    <phoneticPr fontId="3"/>
  </si>
  <si>
    <t>所在階</t>
    <rPh sb="0" eb="2">
      <t>ショザイ</t>
    </rPh>
    <rPh sb="2" eb="3">
      <t>カイ</t>
    </rPh>
    <phoneticPr fontId="3"/>
  </si>
  <si>
    <t>2階</t>
    <rPh sb="1" eb="2">
      <t>カイ</t>
    </rPh>
    <phoneticPr fontId="3"/>
  </si>
  <si>
    <t>1階</t>
    <rPh sb="1" eb="2">
      <t>カイ</t>
    </rPh>
    <phoneticPr fontId="3"/>
  </si>
  <si>
    <t>エレベーターの有無</t>
    <rPh sb="7" eb="9">
      <t>ウム</t>
    </rPh>
    <phoneticPr fontId="3"/>
  </si>
  <si>
    <t>なし</t>
    <phoneticPr fontId="3"/>
  </si>
  <si>
    <t>生活の便利さ</t>
    <rPh sb="0" eb="2">
      <t>セイカツ</t>
    </rPh>
    <rPh sb="3" eb="5">
      <t>ベンリ</t>
    </rPh>
    <phoneticPr fontId="3"/>
  </si>
  <si>
    <t>便利</t>
    <rPh sb="0" eb="2">
      <t>ベンリ</t>
    </rPh>
    <phoneticPr fontId="3"/>
  </si>
  <si>
    <t>不便</t>
    <rPh sb="0" eb="2">
      <t>フベン</t>
    </rPh>
    <phoneticPr fontId="3"/>
  </si>
  <si>
    <t>防犯設備</t>
    <rPh sb="0" eb="2">
      <t>ボウハン</t>
    </rPh>
    <rPh sb="2" eb="4">
      <t>セツビ</t>
    </rPh>
    <phoneticPr fontId="3"/>
  </si>
  <si>
    <t>完備</t>
    <rPh sb="0" eb="2">
      <t>カンビ</t>
    </rPh>
    <phoneticPr fontId="3"/>
  </si>
  <si>
    <t>建物のグレード</t>
    <rPh sb="0" eb="2">
      <t>タテモノ</t>
    </rPh>
    <phoneticPr fontId="3"/>
  </si>
  <si>
    <t>B</t>
    <phoneticPr fontId="3"/>
  </si>
  <si>
    <t>A</t>
    <phoneticPr fontId="3"/>
  </si>
  <si>
    <t>C</t>
    <phoneticPr fontId="3"/>
  </si>
  <si>
    <t>D</t>
    <phoneticPr fontId="3"/>
  </si>
  <si>
    <t>管理状態</t>
    <rPh sb="0" eb="2">
      <t>カンリ</t>
    </rPh>
    <rPh sb="2" eb="4">
      <t>ジョウタイ</t>
    </rPh>
    <phoneticPr fontId="3"/>
  </si>
  <si>
    <t>普通</t>
    <rPh sb="0" eb="2">
      <t>フツウ</t>
    </rPh>
    <phoneticPr fontId="3"/>
  </si>
  <si>
    <t>良い</t>
    <rPh sb="0" eb="1">
      <t>ヨ</t>
    </rPh>
    <phoneticPr fontId="3"/>
  </si>
  <si>
    <t>悪い</t>
    <rPh sb="0" eb="1">
      <t>ワル</t>
    </rPh>
    <phoneticPr fontId="3"/>
  </si>
  <si>
    <t>周辺環境</t>
    <rPh sb="0" eb="2">
      <t>シュウヘン</t>
    </rPh>
    <rPh sb="2" eb="4">
      <t>カンキョウ</t>
    </rPh>
    <phoneticPr fontId="3"/>
  </si>
  <si>
    <t>忌避施設の有無</t>
    <rPh sb="0" eb="2">
      <t>キヒ</t>
    </rPh>
    <rPh sb="2" eb="4">
      <t>シセツ</t>
    </rPh>
    <rPh sb="5" eb="7">
      <t>ウム</t>
    </rPh>
    <phoneticPr fontId="3"/>
  </si>
  <si>
    <t>墓の前</t>
    <rPh sb="0" eb="1">
      <t>ハカ</t>
    </rPh>
    <rPh sb="2" eb="3">
      <t>マエ</t>
    </rPh>
    <phoneticPr fontId="3"/>
  </si>
  <si>
    <t>ラブホ</t>
    <phoneticPr fontId="3"/>
  </si>
  <si>
    <t>現況賃料</t>
    <rPh sb="0" eb="2">
      <t>ゲンキョウ</t>
    </rPh>
    <rPh sb="2" eb="4">
      <t>チンリョウ</t>
    </rPh>
    <phoneticPr fontId="3"/>
  </si>
  <si>
    <t>調整賃料</t>
    <rPh sb="0" eb="2">
      <t>チョウセイ</t>
    </rPh>
    <rPh sb="2" eb="4">
      <t>チンリョウ</t>
    </rPh>
    <phoneticPr fontId="3"/>
  </si>
  <si>
    <t>賃料単価/㎡</t>
    <rPh sb="0" eb="2">
      <t>チンリョウ</t>
    </rPh>
    <rPh sb="2" eb="4">
      <t>タンカ</t>
    </rPh>
    <phoneticPr fontId="3"/>
  </si>
  <si>
    <t>賃料単価/㎡ 平均値</t>
    <rPh sb="0" eb="2">
      <t>チンリョウ</t>
    </rPh>
    <rPh sb="2" eb="4">
      <t>タンカ</t>
    </rPh>
    <rPh sb="7" eb="10">
      <t>ヘイキンチ</t>
    </rPh>
    <phoneticPr fontId="3"/>
  </si>
  <si>
    <t>予想賃料</t>
    <rPh sb="0" eb="2">
      <t>ヨソウ</t>
    </rPh>
    <rPh sb="2" eb="4">
      <t>チンリョウ</t>
    </rPh>
    <phoneticPr fontId="3"/>
  </si>
  <si>
    <t>同一建物内の賃料設定</t>
    <rPh sb="0" eb="2">
      <t>ドウイツ</t>
    </rPh>
    <rPh sb="2" eb="4">
      <t>タテモノ</t>
    </rPh>
    <rPh sb="4" eb="5">
      <t>ナイ</t>
    </rPh>
    <rPh sb="6" eb="8">
      <t>チンリョウ</t>
    </rPh>
    <rPh sb="8" eb="10">
      <t>セッテイ</t>
    </rPh>
    <phoneticPr fontId="3"/>
  </si>
  <si>
    <t>・一番良い部屋を基準に設定</t>
    <rPh sb="1" eb="3">
      <t>イチバン</t>
    </rPh>
    <rPh sb="3" eb="4">
      <t>ヨ</t>
    </rPh>
    <rPh sb="5" eb="7">
      <t>ヘヤ</t>
    </rPh>
    <rPh sb="8" eb="10">
      <t>キジュン</t>
    </rPh>
    <rPh sb="11" eb="13">
      <t>セッテイ</t>
    </rPh>
    <phoneticPr fontId="3"/>
  </si>
  <si>
    <t>賃料の時間的変化</t>
    <rPh sb="0" eb="2">
      <t>チンリョウ</t>
    </rPh>
    <rPh sb="3" eb="6">
      <t>ジカンテキ</t>
    </rPh>
    <rPh sb="6" eb="8">
      <t>ヘンカ</t>
    </rPh>
    <phoneticPr fontId="3"/>
  </si>
  <si>
    <t>・例)東京都シングル向けワンルーム物件の場合、新築から5年程度は変化なし。10年目にかけて下げ幅大きくなり10年間平均すると年平均1%程度の賃料低下が発生。</t>
    <rPh sb="1" eb="2">
      <t>レイ</t>
    </rPh>
    <rPh sb="3" eb="6">
      <t>トウキョウト</t>
    </rPh>
    <rPh sb="10" eb="11">
      <t>ム</t>
    </rPh>
    <rPh sb="17" eb="19">
      <t>ブッケン</t>
    </rPh>
    <rPh sb="20" eb="22">
      <t>バアイ</t>
    </rPh>
    <rPh sb="23" eb="25">
      <t>シンチク</t>
    </rPh>
    <rPh sb="28" eb="29">
      <t>ネン</t>
    </rPh>
    <rPh sb="29" eb="31">
      <t>テイド</t>
    </rPh>
    <rPh sb="32" eb="34">
      <t>ヘンカ</t>
    </rPh>
    <rPh sb="39" eb="41">
      <t>ネンメ</t>
    </rPh>
    <rPh sb="45" eb="46">
      <t>サ</t>
    </rPh>
    <rPh sb="47" eb="48">
      <t>ハバ</t>
    </rPh>
    <rPh sb="48" eb="49">
      <t>オオ</t>
    </rPh>
    <rPh sb="55" eb="56">
      <t>ネン</t>
    </rPh>
    <rPh sb="56" eb="57">
      <t>カン</t>
    </rPh>
    <rPh sb="57" eb="59">
      <t>ヘイキン</t>
    </rPh>
    <rPh sb="62" eb="63">
      <t>ネン</t>
    </rPh>
    <rPh sb="63" eb="65">
      <t>ヘイキン</t>
    </rPh>
    <rPh sb="67" eb="69">
      <t>テイド</t>
    </rPh>
    <rPh sb="70" eb="72">
      <t>チンリョウ</t>
    </rPh>
    <rPh sb="72" eb="74">
      <t>テイカ</t>
    </rPh>
    <rPh sb="75" eb="77">
      <t>ハッセイ</t>
    </rPh>
    <phoneticPr fontId="3"/>
  </si>
  <si>
    <t>空室</t>
    <rPh sb="0" eb="2">
      <t>クウシツ</t>
    </rPh>
    <phoneticPr fontId="3"/>
  </si>
  <si>
    <t>時点空室率</t>
    <rPh sb="0" eb="2">
      <t>ジテン</t>
    </rPh>
    <rPh sb="2" eb="5">
      <t>クウシツリツ</t>
    </rPh>
    <phoneticPr fontId="3"/>
  </si>
  <si>
    <t>空室戸数÷総戸数</t>
    <rPh sb="0" eb="2">
      <t>クウシツ</t>
    </rPh>
    <rPh sb="2" eb="3">
      <t>ト</t>
    </rPh>
    <rPh sb="3" eb="4">
      <t>スウ</t>
    </rPh>
    <rPh sb="5" eb="6">
      <t>ソウ</t>
    </rPh>
    <rPh sb="6" eb="7">
      <t>ト</t>
    </rPh>
    <rPh sb="7" eb="8">
      <t>スウ</t>
    </rPh>
    <phoneticPr fontId="3"/>
  </si>
  <si>
    <t>稼働空室率1</t>
    <rPh sb="0" eb="2">
      <t>カドウ</t>
    </rPh>
    <rPh sb="2" eb="5">
      <t>クウシツリツ</t>
    </rPh>
    <phoneticPr fontId="3"/>
  </si>
  <si>
    <t>1－平均居住日数÷(平均居住日数＋空室日数)</t>
    <rPh sb="2" eb="4">
      <t>ヘイキン</t>
    </rPh>
    <rPh sb="4" eb="6">
      <t>キョジュウ</t>
    </rPh>
    <rPh sb="6" eb="8">
      <t>ニッスウ</t>
    </rPh>
    <rPh sb="17" eb="19">
      <t>クウシツ</t>
    </rPh>
    <rPh sb="19" eb="21">
      <t>ニッスウ</t>
    </rPh>
    <phoneticPr fontId="3"/>
  </si>
  <si>
    <t>稼働空室率2</t>
    <rPh sb="0" eb="2">
      <t>カドウ</t>
    </rPh>
    <rPh sb="2" eb="5">
      <t>クウシツリツ</t>
    </rPh>
    <phoneticPr fontId="3"/>
  </si>
  <si>
    <t>各室の空室日数合計÷(全室数×365日)</t>
    <rPh sb="0" eb="2">
      <t>カクシツ</t>
    </rPh>
    <rPh sb="3" eb="5">
      <t>クウシツ</t>
    </rPh>
    <rPh sb="5" eb="7">
      <t>ニッスウ</t>
    </rPh>
    <rPh sb="7" eb="9">
      <t>ゴウケイ</t>
    </rPh>
    <rPh sb="11" eb="13">
      <t>ゼンシツ</t>
    </rPh>
    <rPh sb="13" eb="14">
      <t>スウ</t>
    </rPh>
    <rPh sb="18" eb="19">
      <t>ニチ</t>
    </rPh>
    <phoneticPr fontId="3"/>
  </si>
  <si>
    <t>トラックレコードがあればもらう</t>
    <phoneticPr fontId="3"/>
  </si>
  <si>
    <t>トラックレコードがなければ、①平均的な居住期間、②どのくらいで空室が埋まるかという募集期間、の二つがわかれば計算可能</t>
    <rPh sb="15" eb="18">
      <t>ヘイキンテキ</t>
    </rPh>
    <rPh sb="19" eb="21">
      <t>キョジュウ</t>
    </rPh>
    <rPh sb="21" eb="23">
      <t>キカン</t>
    </rPh>
    <rPh sb="31" eb="33">
      <t>クウシツ</t>
    </rPh>
    <rPh sb="34" eb="35">
      <t>ウ</t>
    </rPh>
    <rPh sb="41" eb="43">
      <t>ボシュウ</t>
    </rPh>
    <rPh sb="43" eb="45">
      <t>キカン</t>
    </rPh>
    <rPh sb="47" eb="48">
      <t>フタ</t>
    </rPh>
    <rPh sb="54" eb="56">
      <t>ケイサン</t>
    </rPh>
    <rPh sb="56" eb="58">
      <t>カノウ</t>
    </rPh>
    <phoneticPr fontId="3"/>
  </si>
  <si>
    <t>①は年間の解約率から逆算可能。たとえば1000戸のうち250戸が解約となる場合、解約率は25%で、平均居住年数は1÷25%＝4年間となる。</t>
    <rPh sb="2" eb="4">
      <t>ネンカン</t>
    </rPh>
    <rPh sb="5" eb="7">
      <t>カイヤク</t>
    </rPh>
    <rPh sb="7" eb="8">
      <t>リツ</t>
    </rPh>
    <rPh sb="10" eb="12">
      <t>ギャクサン</t>
    </rPh>
    <rPh sb="12" eb="14">
      <t>カノウ</t>
    </rPh>
    <rPh sb="23" eb="24">
      <t>コ</t>
    </rPh>
    <rPh sb="30" eb="31">
      <t>コ</t>
    </rPh>
    <rPh sb="32" eb="34">
      <t>カイヤク</t>
    </rPh>
    <rPh sb="37" eb="39">
      <t>バアイ</t>
    </rPh>
    <rPh sb="40" eb="42">
      <t>カイヤク</t>
    </rPh>
    <rPh sb="42" eb="43">
      <t>リツ</t>
    </rPh>
    <rPh sb="49" eb="51">
      <t>ヘイキン</t>
    </rPh>
    <rPh sb="51" eb="53">
      <t>キョジュウ</t>
    </rPh>
    <rPh sb="53" eb="55">
      <t>ネンスウ</t>
    </rPh>
    <rPh sb="63" eb="65">
      <t>ネンカン</t>
    </rPh>
    <phoneticPr fontId="3"/>
  </si>
  <si>
    <t>空室期間が平均3か月であれば、稼働空室率は</t>
    <rPh sb="0" eb="2">
      <t>クウシツ</t>
    </rPh>
    <rPh sb="2" eb="4">
      <t>キカン</t>
    </rPh>
    <rPh sb="5" eb="7">
      <t>ヘイキン</t>
    </rPh>
    <rPh sb="9" eb="10">
      <t>ゲツ</t>
    </rPh>
    <rPh sb="15" eb="17">
      <t>カドウ</t>
    </rPh>
    <rPh sb="17" eb="20">
      <t>クウシツリツ</t>
    </rPh>
    <phoneticPr fontId="3"/>
  </si>
  <si>
    <t>1－48か月÷(48か月＋3か月)＝5.88%</t>
    <rPh sb="5" eb="6">
      <t>ゲツ</t>
    </rPh>
    <rPh sb="11" eb="12">
      <t>ゲツ</t>
    </rPh>
    <rPh sb="15" eb="16">
      <t>ゲツ</t>
    </rPh>
    <phoneticPr fontId="3"/>
  </si>
  <si>
    <t>となる</t>
    <phoneticPr fontId="3"/>
  </si>
  <si>
    <t>運営費</t>
    <rPh sb="0" eb="3">
      <t>ウンエイヒ</t>
    </rPh>
    <phoneticPr fontId="3"/>
  </si>
  <si>
    <t>・固定資産税・都市計画税</t>
    <rPh sb="1" eb="3">
      <t>コテイ</t>
    </rPh>
    <rPh sb="3" eb="6">
      <t>シサンゼイ</t>
    </rPh>
    <rPh sb="7" eb="9">
      <t>トシ</t>
    </rPh>
    <rPh sb="9" eb="11">
      <t>ケイカク</t>
    </rPh>
    <rPh sb="11" eb="12">
      <t>ゼイ</t>
    </rPh>
    <phoneticPr fontId="3"/>
  </si>
  <si>
    <t>・管理費・修繕積立金(区分の場合)</t>
    <rPh sb="1" eb="4">
      <t>カンリヒ</t>
    </rPh>
    <rPh sb="5" eb="7">
      <t>シュウゼン</t>
    </rPh>
    <rPh sb="7" eb="9">
      <t>ツミタテ</t>
    </rPh>
    <rPh sb="9" eb="10">
      <t>キン</t>
    </rPh>
    <rPh sb="11" eb="13">
      <t>クブン</t>
    </rPh>
    <rPh sb="14" eb="16">
      <t>バアイ</t>
    </rPh>
    <phoneticPr fontId="3"/>
  </si>
  <si>
    <t>・賃貸管理料・PMフィー</t>
    <rPh sb="1" eb="3">
      <t>チンタイ</t>
    </rPh>
    <rPh sb="3" eb="5">
      <t>カンリ</t>
    </rPh>
    <rPh sb="5" eb="6">
      <t>リョウ</t>
    </rPh>
    <phoneticPr fontId="3"/>
  </si>
  <si>
    <t>・清掃費用(一棟)</t>
    <rPh sb="1" eb="3">
      <t>セイソウ</t>
    </rPh>
    <rPh sb="3" eb="5">
      <t>ヒヨウ</t>
    </rPh>
    <rPh sb="6" eb="8">
      <t>イットウ</t>
    </rPh>
    <phoneticPr fontId="3"/>
  </si>
  <si>
    <t>・消防点検費用(一棟)</t>
    <rPh sb="1" eb="3">
      <t>ショウボウ</t>
    </rPh>
    <rPh sb="3" eb="5">
      <t>テンケン</t>
    </rPh>
    <rPh sb="5" eb="7">
      <t>ヒヨウ</t>
    </rPh>
    <rPh sb="8" eb="10">
      <t>イットウ</t>
    </rPh>
    <phoneticPr fontId="3"/>
  </si>
  <si>
    <t>・エレベータやポンプ・受水槽など機械の点検・メンテナンス(一棟)</t>
    <rPh sb="11" eb="14">
      <t>ジュスイソウ</t>
    </rPh>
    <rPh sb="16" eb="18">
      <t>キカイ</t>
    </rPh>
    <rPh sb="19" eb="21">
      <t>テンケン</t>
    </rPh>
    <rPh sb="29" eb="31">
      <t>イットウ</t>
    </rPh>
    <phoneticPr fontId="3"/>
  </si>
  <si>
    <t>・共用部分の水道光熱費(一棟)</t>
    <rPh sb="1" eb="3">
      <t>キョウヨウ</t>
    </rPh>
    <rPh sb="3" eb="5">
      <t>ブブン</t>
    </rPh>
    <rPh sb="6" eb="8">
      <t>スイドウ</t>
    </rPh>
    <rPh sb="8" eb="11">
      <t>コウネツヒ</t>
    </rPh>
    <rPh sb="12" eb="14">
      <t>イットウ</t>
    </rPh>
    <phoneticPr fontId="3"/>
  </si>
  <si>
    <t>・入居者募集費用</t>
    <rPh sb="1" eb="4">
      <t>ニュウキョシャ</t>
    </rPh>
    <rPh sb="4" eb="6">
      <t>ボシュウ</t>
    </rPh>
    <rPh sb="6" eb="8">
      <t>ヒヨウ</t>
    </rPh>
    <phoneticPr fontId="3"/>
  </si>
  <si>
    <t>・原状回復工事費用</t>
    <rPh sb="1" eb="3">
      <t>ゲンジョウ</t>
    </rPh>
    <rPh sb="3" eb="5">
      <t>カイフク</t>
    </rPh>
    <rPh sb="5" eb="7">
      <t>コウジ</t>
    </rPh>
    <rPh sb="7" eb="9">
      <t>ヒヨウ</t>
    </rPh>
    <phoneticPr fontId="3"/>
  </si>
  <si>
    <t>運営費比率</t>
    <rPh sb="0" eb="3">
      <t>ウンエイヒ</t>
    </rPh>
    <rPh sb="3" eb="5">
      <t>ヒリツ</t>
    </rPh>
    <phoneticPr fontId="3"/>
  </si>
  <si>
    <t>貸家・テラスハウス</t>
    <rPh sb="0" eb="2">
      <t>カシヤ</t>
    </rPh>
    <phoneticPr fontId="3"/>
  </si>
  <si>
    <t>7～8%</t>
    <phoneticPr fontId="3"/>
  </si>
  <si>
    <t>木造アパート</t>
    <rPh sb="0" eb="2">
      <t>モクゾウ</t>
    </rPh>
    <phoneticPr fontId="3"/>
  </si>
  <si>
    <t>15～16%</t>
    <phoneticPr fontId="3"/>
  </si>
  <si>
    <t>一棟マンション</t>
    <rPh sb="0" eb="2">
      <t>イットウ</t>
    </rPh>
    <phoneticPr fontId="3"/>
  </si>
  <si>
    <t>17～20%</t>
    <phoneticPr fontId="3"/>
  </si>
  <si>
    <t>区分マンション</t>
    <rPh sb="0" eb="2">
      <t>クブン</t>
    </rPh>
    <phoneticPr fontId="3"/>
  </si>
  <si>
    <t>22～24%</t>
    <phoneticPr fontId="3"/>
  </si>
  <si>
    <t>設備</t>
    <rPh sb="0" eb="2">
      <t>セツビ</t>
    </rPh>
    <phoneticPr fontId="3"/>
  </si>
  <si>
    <t>「首都圏賃貸市場における入居者ニーズと意識調査」」 (https://www.recruit-sumai.co.jp/, https://www.cfnets.co.jp/books/needs.html)</t>
    <rPh sb="1" eb="4">
      <t>シュトケン</t>
    </rPh>
    <rPh sb="4" eb="6">
      <t>チンタイ</t>
    </rPh>
    <rPh sb="6" eb="8">
      <t>シジョウ</t>
    </rPh>
    <rPh sb="12" eb="15">
      <t>ニュウキョシャ</t>
    </rPh>
    <rPh sb="19" eb="21">
      <t>イシキ</t>
    </rPh>
    <rPh sb="21" eb="23">
      <t>チョウサ</t>
    </rPh>
    <phoneticPr fontId="3"/>
  </si>
  <si>
    <t>「入居者に人気の設備ランキング」 (https://www.hatomark.or.jp/topics/2227)</t>
    <rPh sb="1" eb="4">
      <t>ニュウキョシャ</t>
    </rPh>
    <rPh sb="5" eb="7">
      <t>ニンキ</t>
    </rPh>
    <rPh sb="8" eb="10">
      <t>セツビ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</si>
</sst>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%"/>
    <numFmt numFmtId="177" formatCode="0.0"/>
    <numFmt numFmtId="178" formatCode="#,##0_);\(#,##0\)"/>
  </numFmts>
  <fonts count="9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b/>
      <u/>
      <sz val="9"/>
      <color theme="1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  <font>
      <sz val="9"/>
      <color theme="1"/>
      <name val="游ゴシック"/>
      <family val="2"/>
      <charset val="128"/>
      <scheme val="minor"/>
    </font>
    <font>
      <sz val="9"/>
      <color theme="1"/>
      <name val="游ゴシック"/>
      <family val="3"/>
      <charset val="128"/>
      <scheme val="minor"/>
    </font>
    <font>
      <b/>
      <sz val="9"/>
      <color theme="1"/>
      <name val="游ゴシック"/>
      <family val="3"/>
      <charset val="128"/>
      <scheme val="minor"/>
    </font>
    <font>
      <b/>
      <sz val="9"/>
      <color indexed="81"/>
      <name val="MS P ゴシック"/>
      <family val="3"/>
      <charset val="128"/>
    </font>
    <font>
      <b/>
      <sz val="9"/>
      <color indexed="81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67"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0" xfId="0" applyFont="1">
      <alignment vertical="center"/>
    </xf>
    <xf numFmtId="38" fontId="5" fillId="0" borderId="0" xfId="1" applyFont="1">
      <alignment vertical="center"/>
    </xf>
    <xf numFmtId="38" fontId="5" fillId="2" borderId="0" xfId="1" applyFont="1" applyFill="1">
      <alignment vertical="center"/>
    </xf>
    <xf numFmtId="10" fontId="5" fillId="2" borderId="0" xfId="0" applyNumberFormat="1" applyFont="1" applyFill="1">
      <alignment vertical="center"/>
    </xf>
    <xf numFmtId="38" fontId="5" fillId="0" borderId="0" xfId="1" applyFont="1" applyFill="1">
      <alignment vertical="center"/>
    </xf>
    <xf numFmtId="0" fontId="5" fillId="2" borderId="0" xfId="0" applyFont="1" applyFill="1">
      <alignment vertical="center"/>
    </xf>
    <xf numFmtId="176" fontId="5" fillId="2" borderId="0" xfId="0" applyNumberFormat="1" applyFont="1" applyFill="1">
      <alignment vertical="center"/>
    </xf>
    <xf numFmtId="10" fontId="4" fillId="0" borderId="0" xfId="2" applyNumberFormat="1" applyFont="1">
      <alignment vertical="center"/>
    </xf>
    <xf numFmtId="10" fontId="4" fillId="0" borderId="0" xfId="0" applyNumberFormat="1" applyFont="1">
      <alignment vertical="center"/>
    </xf>
    <xf numFmtId="177" fontId="4" fillId="0" borderId="0" xfId="0" applyNumberFormat="1" applyFont="1">
      <alignment vertical="center"/>
    </xf>
    <xf numFmtId="38" fontId="4" fillId="0" borderId="0" xfId="1" applyFont="1">
      <alignment vertical="center"/>
    </xf>
    <xf numFmtId="9" fontId="5" fillId="2" borderId="0" xfId="0" applyNumberFormat="1" applyFont="1" applyFill="1">
      <alignment vertical="center"/>
    </xf>
    <xf numFmtId="9" fontId="5" fillId="0" borderId="0" xfId="0" applyNumberFormat="1" applyFont="1">
      <alignment vertical="center"/>
    </xf>
    <xf numFmtId="10" fontId="5" fillId="0" borderId="0" xfId="0" applyNumberFormat="1" applyFont="1">
      <alignment vertical="center"/>
    </xf>
    <xf numFmtId="10" fontId="5" fillId="0" borderId="0" xfId="2" applyNumberFormat="1" applyFont="1">
      <alignment vertical="center"/>
    </xf>
    <xf numFmtId="176" fontId="5" fillId="0" borderId="0" xfId="2" applyNumberFormat="1" applyFont="1">
      <alignment vertical="center"/>
    </xf>
    <xf numFmtId="40" fontId="5" fillId="0" borderId="0" xfId="1" applyNumberFormat="1" applyFont="1">
      <alignment vertical="center"/>
    </xf>
    <xf numFmtId="38" fontId="4" fillId="0" borderId="0" xfId="0" applyNumberFormat="1" applyFont="1">
      <alignment vertical="center"/>
    </xf>
    <xf numFmtId="9" fontId="4" fillId="0" borderId="0" xfId="0" applyNumberFormat="1" applyFont="1">
      <alignment vertical="center"/>
    </xf>
    <xf numFmtId="0" fontId="6" fillId="0" borderId="0" xfId="0" applyFont="1">
      <alignment vertical="center"/>
    </xf>
    <xf numFmtId="0" fontId="5" fillId="0" borderId="1" xfId="0" applyFont="1" applyBorder="1">
      <alignment vertical="center"/>
    </xf>
    <xf numFmtId="0" fontId="5" fillId="0" borderId="1" xfId="0" applyFont="1" applyBorder="1" applyAlignment="1">
      <alignment vertical="center" wrapText="1"/>
    </xf>
    <xf numFmtId="0" fontId="5" fillId="0" borderId="0" xfId="0" quotePrefix="1" applyFont="1">
      <alignment vertical="center"/>
    </xf>
    <xf numFmtId="0" fontId="5" fillId="0" borderId="1" xfId="0" applyFont="1" applyBorder="1">
      <alignment vertical="center"/>
    </xf>
    <xf numFmtId="0" fontId="5" fillId="0" borderId="2" xfId="0" applyFont="1" applyBorder="1">
      <alignment vertical="center"/>
    </xf>
    <xf numFmtId="0" fontId="5" fillId="0" borderId="3" xfId="0" applyFont="1" applyBorder="1">
      <alignment vertical="center"/>
    </xf>
    <xf numFmtId="0" fontId="5" fillId="0" borderId="4" xfId="0" applyFont="1" applyBorder="1">
      <alignment vertical="center"/>
    </xf>
    <xf numFmtId="0" fontId="5" fillId="0" borderId="5" xfId="0" applyFont="1" applyBorder="1">
      <alignment vertical="center"/>
    </xf>
    <xf numFmtId="0" fontId="5" fillId="0" borderId="6" xfId="0" applyFont="1" applyBorder="1">
      <alignment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178" fontId="5" fillId="0" borderId="5" xfId="1" applyNumberFormat="1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178" fontId="5" fillId="0" borderId="1" xfId="1" applyNumberFormat="1" applyFont="1" applyBorder="1" applyAlignment="1">
      <alignment horizontal="center" vertical="center"/>
    </xf>
    <xf numFmtId="0" fontId="5" fillId="0" borderId="7" xfId="0" applyFont="1" applyBorder="1">
      <alignment vertical="center"/>
    </xf>
    <xf numFmtId="0" fontId="5" fillId="0" borderId="8" xfId="0" applyFont="1" applyBorder="1">
      <alignment vertical="center"/>
    </xf>
    <xf numFmtId="0" fontId="5" fillId="0" borderId="9" xfId="0" applyFont="1" applyBorder="1">
      <alignment vertical="center"/>
    </xf>
    <xf numFmtId="0" fontId="5" fillId="0" borderId="10" xfId="0" applyFont="1" applyBorder="1">
      <alignment vertical="center"/>
    </xf>
    <xf numFmtId="0" fontId="5" fillId="0" borderId="1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178" fontId="5" fillId="0" borderId="13" xfId="1" applyNumberFormat="1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178" fontId="5" fillId="0" borderId="8" xfId="1" applyNumberFormat="1" applyFont="1" applyBorder="1" applyAlignment="1">
      <alignment horizontal="center" vertical="center"/>
    </xf>
    <xf numFmtId="0" fontId="5" fillId="0" borderId="15" xfId="0" applyFont="1" applyBorder="1">
      <alignment vertical="center"/>
    </xf>
    <xf numFmtId="0" fontId="5" fillId="0" borderId="16" xfId="0" applyFont="1" applyBorder="1">
      <alignment vertical="center"/>
    </xf>
    <xf numFmtId="0" fontId="5" fillId="0" borderId="17" xfId="0" applyFont="1" applyBorder="1">
      <alignment vertical="center"/>
    </xf>
    <xf numFmtId="0" fontId="5" fillId="0" borderId="18" xfId="0" applyFont="1" applyBorder="1" applyAlignment="1">
      <alignment horizontal="center" vertical="center"/>
    </xf>
    <xf numFmtId="38" fontId="5" fillId="0" borderId="19" xfId="1" applyFont="1" applyBorder="1" applyAlignment="1">
      <alignment horizontal="center" vertical="center"/>
    </xf>
    <xf numFmtId="178" fontId="5" fillId="0" borderId="20" xfId="1" applyNumberFormat="1" applyFont="1" applyBorder="1" applyAlignment="1">
      <alignment horizontal="center" vertical="center"/>
    </xf>
    <xf numFmtId="38" fontId="5" fillId="0" borderId="21" xfId="1" applyFont="1" applyBorder="1" applyAlignment="1">
      <alignment horizontal="center" vertical="center"/>
    </xf>
    <xf numFmtId="178" fontId="5" fillId="0" borderId="15" xfId="1" applyNumberFormat="1" applyFont="1" applyBorder="1" applyAlignment="1">
      <alignment horizontal="center" vertical="center"/>
    </xf>
    <xf numFmtId="38" fontId="5" fillId="0" borderId="4" xfId="1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38" fontId="5" fillId="0" borderId="6" xfId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38" fontId="5" fillId="0" borderId="12" xfId="1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38" fontId="5" fillId="0" borderId="14" xfId="1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38" fontId="5" fillId="0" borderId="18" xfId="0" applyNumberFormat="1" applyFont="1" applyBorder="1">
      <alignment vertical="center"/>
    </xf>
    <xf numFmtId="0" fontId="5" fillId="0" borderId="19" xfId="0" applyFont="1" applyBorder="1">
      <alignment vertical="center"/>
    </xf>
    <xf numFmtId="0" fontId="5" fillId="0" borderId="20" xfId="0" applyFont="1" applyBorder="1">
      <alignment vertical="center"/>
    </xf>
    <xf numFmtId="0" fontId="5" fillId="0" borderId="21" xfId="0" applyFont="1" applyBorder="1">
      <alignment vertical="center"/>
    </xf>
    <xf numFmtId="38" fontId="5" fillId="0" borderId="3" xfId="1" applyFont="1" applyBorder="1">
      <alignment vertical="center"/>
    </xf>
    <xf numFmtId="38" fontId="5" fillId="0" borderId="1" xfId="1" applyFont="1" applyBorder="1">
      <alignment vertical="center"/>
    </xf>
  </cellXfs>
  <cellStyles count="3">
    <cellStyle name="パーセント" xfId="2" builtinId="5"/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'CF表(時系列)'!$AA$15:$AO$15</c:f>
              <c:numCache>
                <c:formatCode>0.00%</c:formatCode>
                <c:ptCount val="15"/>
                <c:pt idx="0">
                  <c:v>-2.7168404944741709E-2</c:v>
                </c:pt>
                <c:pt idx="1">
                  <c:v>-1.4340567864657427E-2</c:v>
                </c:pt>
                <c:pt idx="2">
                  <c:v>-5.7231479938860685E-3</c:v>
                </c:pt>
                <c:pt idx="3">
                  <c:v>1.7593042513279755E-3</c:v>
                </c:pt>
                <c:pt idx="4">
                  <c:v>8.6886688148066771E-3</c:v>
                </c:pt>
                <c:pt idx="5">
                  <c:v>1.5232088147124179E-2</c:v>
                </c:pt>
                <c:pt idx="6">
                  <c:v>2.144154271927845E-2</c:v>
                </c:pt>
                <c:pt idx="7">
                  <c:v>2.7329554464285088E-2</c:v>
                </c:pt>
                <c:pt idx="8">
                  <c:v>3.2894789574150707E-2</c:v>
                </c:pt>
                <c:pt idx="9">
                  <c:v>3.8132382503679008E-2</c:v>
                </c:pt>
                <c:pt idx="10">
                  <c:v>4.3038496337611809E-2</c:v>
                </c:pt>
                <c:pt idx="11">
                  <c:v>4.761231980945424E-2</c:v>
                </c:pt>
                <c:pt idx="12">
                  <c:v>5.1856771989025052E-2</c:v>
                </c:pt>
                <c:pt idx="13">
                  <c:v>5.5778503802875745E-2</c:v>
                </c:pt>
                <c:pt idx="14">
                  <c:v>5.9387512501611894E-2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E8-4976-A299-7ECA39E673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787136"/>
        <c:axId val="141788672"/>
      </c:lineChart>
      <c:catAx>
        <c:axId val="141787136"/>
        <c:scaling>
          <c:orientation val="minMax"/>
        </c:scaling>
        <c:delete val="0"/>
        <c:axPos val="b"/>
        <c:majorTickMark val="out"/>
        <c:minorTickMark val="none"/>
        <c:tickLblPos val="nextTo"/>
        <c:crossAx val="141788672"/>
        <c:crosses val="autoZero"/>
        <c:auto val="1"/>
        <c:lblAlgn val="ctr"/>
        <c:lblOffset val="100"/>
        <c:noMultiLvlLbl val="0"/>
      </c:catAx>
      <c:valAx>
        <c:axId val="141788672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41787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566737</xdr:colOff>
      <xdr:row>7</xdr:row>
      <xdr:rowOff>38100</xdr:rowOff>
    </xdr:from>
    <xdr:to>
      <xdr:col>33</xdr:col>
      <xdr:colOff>347662</xdr:colOff>
      <xdr:row>34</xdr:row>
      <xdr:rowOff>66675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6C76985-F5E4-4E64-B0DF-1C2503D8C7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685799</xdr:colOff>
      <xdr:row>3</xdr:row>
      <xdr:rowOff>57150</xdr:rowOff>
    </xdr:from>
    <xdr:to>
      <xdr:col>13</xdr:col>
      <xdr:colOff>390524</xdr:colOff>
      <xdr:row>11</xdr:row>
      <xdr:rowOff>47625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4A98C410-ACAA-4197-927B-4BB06D34C9B6}"/>
            </a:ext>
          </a:extLst>
        </xdr:cNvPr>
        <xdr:cNvSpPr txBox="1"/>
      </xdr:nvSpPr>
      <xdr:spPr>
        <a:xfrm>
          <a:off x="5029199" y="476250"/>
          <a:ext cx="3533775" cy="1108075"/>
        </a:xfrm>
        <a:prstGeom prst="rect">
          <a:avLst/>
        </a:prstGeom>
        <a:solidFill>
          <a:schemeClr val="lt1"/>
        </a:solidFill>
        <a:ln w="1905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 u="sng"/>
            <a:t>前提条件</a:t>
          </a:r>
          <a:endParaRPr kumimoji="1" lang="en-US" altLang="ja-JP" sz="1100" b="1" u="sng"/>
        </a:p>
        <a:p>
          <a:r>
            <a:rPr kumimoji="1" lang="ja-JP" altLang="en-US" sz="1100" b="0" u="none"/>
            <a:t>・家賃下落は</a:t>
          </a:r>
          <a:r>
            <a:rPr kumimoji="1" lang="en-US" altLang="ja-JP" sz="1100" b="0" u="none"/>
            <a:t>10</a:t>
          </a:r>
          <a:r>
            <a:rPr kumimoji="1" lang="ja-JP" altLang="en-US" sz="1100" b="0" u="none"/>
            <a:t>年で</a:t>
          </a:r>
          <a:r>
            <a:rPr kumimoji="1" lang="en-US" altLang="ja-JP" sz="1100" b="0" u="none"/>
            <a:t>5%</a:t>
          </a:r>
          <a:r>
            <a:rPr kumimoji="1" lang="ja-JP" altLang="en-US" sz="1100" b="0" u="none"/>
            <a:t>を想定</a:t>
          </a:r>
          <a:r>
            <a:rPr kumimoji="1" lang="en-US" altLang="ja-JP" sz="1100" b="0" u="none"/>
            <a:t>(</a:t>
          </a:r>
          <a:r>
            <a:rPr kumimoji="1" lang="ja-JP" altLang="en-US" sz="1100" b="0" u="none"/>
            <a:t>エイブルの保守的見積による</a:t>
          </a:r>
          <a:r>
            <a:rPr kumimoji="1" lang="en-US" altLang="ja-JP" sz="1100" b="0" u="none"/>
            <a:t>)</a:t>
          </a:r>
        </a:p>
        <a:p>
          <a:r>
            <a:rPr kumimoji="1" lang="ja-JP" altLang="en-US" sz="1100" b="0" u="none"/>
            <a:t>・表面利回りは年間</a:t>
          </a:r>
          <a:r>
            <a:rPr kumimoji="1" lang="en-US" altLang="ja-JP" sz="1100" b="0" u="none"/>
            <a:t>0.1%</a:t>
          </a:r>
          <a:r>
            <a:rPr kumimoji="1" lang="ja-JP" altLang="en-US" sz="1100" b="0" u="none"/>
            <a:t>増</a:t>
          </a:r>
          <a:endParaRPr kumimoji="1" lang="en-US" altLang="ja-JP" sz="1100" b="0" u="none"/>
        </a:p>
        <a:p>
          <a:r>
            <a:rPr kumimoji="1" lang="ja-JP" altLang="en-US" sz="1100" b="0" u="none"/>
            <a:t>・借入金利は</a:t>
          </a:r>
          <a:r>
            <a:rPr kumimoji="1" lang="en-US" altLang="ja-JP" sz="1100" b="0" u="none"/>
            <a:t>2.1%</a:t>
          </a:r>
          <a:r>
            <a:rPr kumimoji="1" lang="ja-JP" altLang="en-US" sz="1100" b="0" u="none"/>
            <a:t>一定</a:t>
          </a:r>
          <a:endParaRPr kumimoji="1" lang="en-US" altLang="ja-JP" sz="1100" b="0" u="none"/>
        </a:p>
        <a:p>
          <a:endParaRPr kumimoji="1" lang="en-US" altLang="ja-JP" sz="1100" b="1" u="sng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takuy\Documents\01_Files\02_TS&#12461;&#12515;&#12500;&#12479;&#12523;\01_&#36939;&#21942;(&#30690;&#21475;&#28193;)\fudosan_analysis_v2.0_yaguchi.xlsx" TargetMode="External"/><Relationship Id="rId1" Type="http://schemas.openxmlformats.org/officeDocument/2006/relationships/externalLinkPath" Target="fudosan_analysis_v2.0_yaguch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目標"/>
      <sheetName val="指標"/>
      <sheetName val="CF表"/>
      <sheetName val="経費(定期入力)"/>
      <sheetName val="諸経費"/>
      <sheetName val="CF表(時系列)"/>
      <sheetName val="所得税計算"/>
      <sheetName val="借入"/>
      <sheetName val="譲渡"/>
      <sheetName val="物件2"/>
      <sheetName val="物件1"/>
      <sheetName val="減価償却"/>
      <sheetName val="調査項目(雛形)"/>
      <sheetName val="調査項目(梅島)"/>
      <sheetName val="質問項目"/>
    </sheetNames>
    <sheetDataSet>
      <sheetData sheetId="0"/>
      <sheetData sheetId="1"/>
      <sheetData sheetId="2"/>
      <sheetData sheetId="3"/>
      <sheetData sheetId="4">
        <row r="17">
          <cell r="C17">
            <v>6902000</v>
          </cell>
        </row>
      </sheetData>
      <sheetData sheetId="5">
        <row r="15">
          <cell r="AA15">
            <v>-2.7168404944741709E-2</v>
          </cell>
          <cell r="AB15">
            <v>-1.4340567864657427E-2</v>
          </cell>
          <cell r="AC15">
            <v>-5.7231479938860685E-3</v>
          </cell>
          <cell r="AD15">
            <v>1.7593042513279755E-3</v>
          </cell>
          <cell r="AE15">
            <v>8.6886688148066771E-3</v>
          </cell>
          <cell r="AF15">
            <v>1.5232088147124179E-2</v>
          </cell>
          <cell r="AG15">
            <v>2.144154271927845E-2</v>
          </cell>
          <cell r="AH15">
            <v>2.7329554464285088E-2</v>
          </cell>
          <cell r="AI15">
            <v>3.2894789574150707E-2</v>
          </cell>
          <cell r="AJ15">
            <v>3.8132382503679008E-2</v>
          </cell>
          <cell r="AK15">
            <v>4.3038496337611809E-2</v>
          </cell>
          <cell r="AL15">
            <v>4.761231980945424E-2</v>
          </cell>
          <cell r="AM15">
            <v>5.1856771989025052E-2</v>
          </cell>
          <cell r="AN15">
            <v>5.5778503802875745E-2</v>
          </cell>
          <cell r="AO15">
            <v>5.9387512501611894E-2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868E5-422D-4F2E-A8F7-8A35E55BFA71}">
  <sheetPr>
    <pageSetUpPr fitToPage="1"/>
  </sheetPr>
  <dimension ref="B2:AQ181"/>
  <sheetViews>
    <sheetView tabSelected="1" topLeftCell="A19" zoomScaleNormal="100" workbookViewId="0">
      <selection activeCell="E30" sqref="E30"/>
    </sheetView>
  </sheetViews>
  <sheetFormatPr defaultColWidth="8.25" defaultRowHeight="15"/>
  <cols>
    <col min="1" max="3" width="8.25" style="2"/>
    <col min="4" max="4" width="8.25" style="3"/>
    <col min="5" max="22" width="8.25" style="2"/>
    <col min="23" max="23" width="8.4140625" style="2" bestFit="1" customWidth="1"/>
    <col min="24" max="26" width="8.25" style="2"/>
    <col min="27" max="27" width="8.1640625" style="2" customWidth="1"/>
    <col min="28" max="16384" width="8.25" style="2"/>
  </cols>
  <sheetData>
    <row r="2" spans="2:41">
      <c r="B2" s="1" t="s">
        <v>0</v>
      </c>
    </row>
    <row r="3" spans="2:41">
      <c r="B3" s="1"/>
    </row>
    <row r="4" spans="2:41">
      <c r="B4" s="2" t="s">
        <v>1</v>
      </c>
      <c r="D4" s="4">
        <f>D7</f>
        <v>6902000</v>
      </c>
      <c r="F4" s="2" t="s">
        <v>2</v>
      </c>
      <c r="G4" s="5">
        <v>2.1000000000000001E-2</v>
      </c>
    </row>
    <row r="5" spans="2:41">
      <c r="B5" s="2" t="s">
        <v>3</v>
      </c>
      <c r="D5" s="6">
        <f>D8-D4</f>
        <v>96000000</v>
      </c>
      <c r="F5" s="2" t="s">
        <v>4</v>
      </c>
      <c r="G5" s="7">
        <v>35</v>
      </c>
    </row>
    <row r="6" spans="2:41">
      <c r="B6" s="2" t="s">
        <v>5</v>
      </c>
      <c r="D6" s="4">
        <v>96000000</v>
      </c>
      <c r="F6" s="2" t="s">
        <v>6</v>
      </c>
      <c r="G6" s="3">
        <f>-PMT(G4/12,G5*12,D5)</f>
        <v>322961.1418616554</v>
      </c>
    </row>
    <row r="7" spans="2:41">
      <c r="B7" s="2" t="s">
        <v>7</v>
      </c>
      <c r="C7" s="8">
        <f>690.2/D6</f>
        <v>7.1895833333333339E-6</v>
      </c>
      <c r="D7" s="3">
        <f>[1]諸経費!C17</f>
        <v>6902000</v>
      </c>
    </row>
    <row r="8" spans="2:41">
      <c r="B8" s="2" t="s">
        <v>8</v>
      </c>
      <c r="D8" s="3">
        <f>D6+D7</f>
        <v>102902000</v>
      </c>
    </row>
    <row r="10" spans="2:41">
      <c r="B10" s="2" t="s">
        <v>9</v>
      </c>
    </row>
    <row r="11" spans="2:41">
      <c r="B11" s="2" t="s">
        <v>10</v>
      </c>
      <c r="C11" s="5">
        <f>D11*12/D6</f>
        <v>6.9500000000000006E-2</v>
      </c>
      <c r="D11" s="4">
        <v>556000</v>
      </c>
    </row>
    <row r="12" spans="2:41">
      <c r="B12" s="2" t="s">
        <v>11</v>
      </c>
      <c r="C12" s="8">
        <f>-((95%)^(1/10)-1)</f>
        <v>5.1161968918237433E-3</v>
      </c>
    </row>
    <row r="13" spans="2:41">
      <c r="B13" s="2" t="s">
        <v>12</v>
      </c>
      <c r="C13" s="8">
        <v>0.01</v>
      </c>
      <c r="L13" s="9"/>
    </row>
    <row r="14" spans="2:41">
      <c r="B14" s="2" t="s">
        <v>13</v>
      </c>
      <c r="C14" s="8">
        <f>(8.5%-7.6%)/10</f>
        <v>9.0000000000000084E-4</v>
      </c>
    </row>
    <row r="15" spans="2:41">
      <c r="C15" s="3"/>
      <c r="AA15" s="10">
        <f>IRR(AA16:AA17)</f>
        <v>-2.7168404944741709E-2</v>
      </c>
      <c r="AB15" s="10">
        <f>IRR(AB16:AB18)</f>
        <v>-1.4340567864657427E-2</v>
      </c>
      <c r="AC15" s="10">
        <f t="shared" ref="AC15:AJ15" si="0">IRR(AC16:AC35)</f>
        <v>-5.7231479938860685E-3</v>
      </c>
      <c r="AD15" s="10">
        <f t="shared" si="0"/>
        <v>1.7593042513279755E-3</v>
      </c>
      <c r="AE15" s="10">
        <f t="shared" si="0"/>
        <v>8.6886688148066771E-3</v>
      </c>
      <c r="AF15" s="10">
        <f t="shared" si="0"/>
        <v>1.5232088147124179E-2</v>
      </c>
      <c r="AG15" s="10">
        <f t="shared" si="0"/>
        <v>2.144154271927845E-2</v>
      </c>
      <c r="AH15" s="10">
        <f t="shared" si="0"/>
        <v>2.7329554464285088E-2</v>
      </c>
      <c r="AI15" s="10">
        <f t="shared" si="0"/>
        <v>3.2894789574150707E-2</v>
      </c>
      <c r="AJ15" s="10">
        <f t="shared" si="0"/>
        <v>3.8132382503679008E-2</v>
      </c>
      <c r="AK15" s="10">
        <f>IRR(AK16:AK39)</f>
        <v>4.3038496337611809E-2</v>
      </c>
      <c r="AL15" s="10">
        <f>IRR(AL16:AL39)</f>
        <v>4.761231980945424E-2</v>
      </c>
      <c r="AM15" s="10">
        <f>IRR(AM16:AM39)</f>
        <v>5.1856771989025052E-2</v>
      </c>
      <c r="AN15" s="10">
        <f>IRR(AN16:AN39)</f>
        <v>5.5778503802875745E-2</v>
      </c>
      <c r="AO15" s="10">
        <f>IRR(AO16:AO39)</f>
        <v>5.9387512501611894E-2</v>
      </c>
    </row>
    <row r="16" spans="2:41">
      <c r="D16" s="3" t="s">
        <v>14</v>
      </c>
      <c r="E16" s="3" t="s">
        <v>15</v>
      </c>
      <c r="F16" s="3" t="s">
        <v>16</v>
      </c>
      <c r="G16" s="3" t="s">
        <v>17</v>
      </c>
      <c r="H16" s="3" t="s">
        <v>18</v>
      </c>
      <c r="I16" s="3" t="s">
        <v>19</v>
      </c>
      <c r="J16" s="3" t="s">
        <v>20</v>
      </c>
      <c r="K16" s="3" t="s">
        <v>21</v>
      </c>
      <c r="L16" s="3" t="s">
        <v>22</v>
      </c>
      <c r="M16" s="3" t="s">
        <v>23</v>
      </c>
      <c r="N16" s="3" t="s">
        <v>24</v>
      </c>
      <c r="O16" s="3" t="s">
        <v>25</v>
      </c>
      <c r="P16" s="3" t="s">
        <v>26</v>
      </c>
      <c r="Q16" s="3" t="s">
        <v>27</v>
      </c>
      <c r="R16" s="3" t="s">
        <v>28</v>
      </c>
      <c r="W16" s="2">
        <v>-5000</v>
      </c>
      <c r="AA16" s="2">
        <f>$W16</f>
        <v>-5000</v>
      </c>
      <c r="AB16" s="2">
        <f t="shared" ref="AB16:AO31" si="1">$W16</f>
        <v>-5000</v>
      </c>
      <c r="AC16" s="2">
        <f t="shared" si="1"/>
        <v>-5000</v>
      </c>
      <c r="AD16" s="2">
        <f t="shared" si="1"/>
        <v>-5000</v>
      </c>
      <c r="AE16" s="2">
        <f t="shared" si="1"/>
        <v>-5000</v>
      </c>
      <c r="AF16" s="2">
        <f t="shared" si="1"/>
        <v>-5000</v>
      </c>
      <c r="AG16" s="2">
        <f t="shared" si="1"/>
        <v>-5000</v>
      </c>
      <c r="AH16" s="2">
        <f t="shared" si="1"/>
        <v>-5000</v>
      </c>
      <c r="AI16" s="2">
        <f t="shared" si="1"/>
        <v>-5000</v>
      </c>
      <c r="AJ16" s="2">
        <f t="shared" si="1"/>
        <v>-5000</v>
      </c>
      <c r="AK16" s="2">
        <f t="shared" si="1"/>
        <v>-5000</v>
      </c>
      <c r="AL16" s="2">
        <f t="shared" si="1"/>
        <v>-5000</v>
      </c>
      <c r="AM16" s="2">
        <f t="shared" si="1"/>
        <v>-5000</v>
      </c>
      <c r="AN16" s="2">
        <f t="shared" si="1"/>
        <v>-5000</v>
      </c>
      <c r="AO16" s="2">
        <f t="shared" si="1"/>
        <v>-5000</v>
      </c>
    </row>
    <row r="17" spans="2:43">
      <c r="B17" s="2" t="s">
        <v>29</v>
      </c>
      <c r="D17" s="3">
        <f>D11*12</f>
        <v>6672000</v>
      </c>
      <c r="E17" s="3">
        <f>D17*(1-$C$12)</f>
        <v>6637864.7343377518</v>
      </c>
      <c r="F17" s="3">
        <f t="shared" ref="F17:R17" si="2">E17*(1-$C$12)</f>
        <v>6603904.1114155864</v>
      </c>
      <c r="G17" s="3">
        <f t="shared" si="2"/>
        <v>6570117.2377268597</v>
      </c>
      <c r="H17" s="3">
        <f t="shared" si="2"/>
        <v>6536503.2243362842</v>
      </c>
      <c r="I17" s="3">
        <f t="shared" si="2"/>
        <v>6503061.186856539</v>
      </c>
      <c r="J17" s="3">
        <f t="shared" si="2"/>
        <v>6469790.2454250036</v>
      </c>
      <c r="K17" s="3">
        <f t="shared" si="2"/>
        <v>6436689.5246806089</v>
      </c>
      <c r="L17" s="3">
        <f t="shared" si="2"/>
        <v>6403758.1537408037</v>
      </c>
      <c r="M17" s="3">
        <f t="shared" si="2"/>
        <v>6370995.2661786443</v>
      </c>
      <c r="N17" s="3">
        <f t="shared" si="2"/>
        <v>6338399.9999999972</v>
      </c>
      <c r="O17" s="3">
        <f t="shared" si="2"/>
        <v>6305971.497620862</v>
      </c>
      <c r="P17" s="3">
        <f t="shared" si="2"/>
        <v>6273708.9058448048</v>
      </c>
      <c r="Q17" s="3">
        <f t="shared" si="2"/>
        <v>6241611.3758405149</v>
      </c>
      <c r="R17" s="3">
        <f t="shared" si="2"/>
        <v>6209678.0631194683</v>
      </c>
      <c r="W17" s="11">
        <v>64.15797527629087</v>
      </c>
      <c r="X17" s="12">
        <v>5000</v>
      </c>
      <c r="Y17" s="12">
        <v>200</v>
      </c>
      <c r="AA17" s="12">
        <f>$W17+$X17-$Y17</f>
        <v>4864.1579752762909</v>
      </c>
      <c r="AB17" s="11">
        <f>$W17</f>
        <v>64.15797527629087</v>
      </c>
      <c r="AC17" s="11">
        <f t="shared" si="1"/>
        <v>64.15797527629087</v>
      </c>
      <c r="AD17" s="11">
        <f t="shared" si="1"/>
        <v>64.15797527629087</v>
      </c>
      <c r="AE17" s="11">
        <f t="shared" si="1"/>
        <v>64.15797527629087</v>
      </c>
      <c r="AF17" s="11">
        <f t="shared" si="1"/>
        <v>64.15797527629087</v>
      </c>
      <c r="AG17" s="11">
        <f t="shared" si="1"/>
        <v>64.15797527629087</v>
      </c>
      <c r="AH17" s="11">
        <f t="shared" si="1"/>
        <v>64.15797527629087</v>
      </c>
      <c r="AI17" s="11">
        <f t="shared" si="1"/>
        <v>64.15797527629087</v>
      </c>
      <c r="AJ17" s="11">
        <f t="shared" si="1"/>
        <v>64.15797527629087</v>
      </c>
      <c r="AK17" s="11">
        <f t="shared" si="1"/>
        <v>64.15797527629087</v>
      </c>
      <c r="AL17" s="11">
        <f t="shared" si="1"/>
        <v>64.15797527629087</v>
      </c>
      <c r="AM17" s="11">
        <f t="shared" si="1"/>
        <v>64.15797527629087</v>
      </c>
      <c r="AN17" s="11">
        <f t="shared" si="1"/>
        <v>64.15797527629087</v>
      </c>
      <c r="AO17" s="11">
        <f t="shared" si="1"/>
        <v>64.15797527629087</v>
      </c>
      <c r="AP17" s="11"/>
      <c r="AQ17" s="11"/>
    </row>
    <row r="18" spans="2:43">
      <c r="B18" s="2" t="s">
        <v>30</v>
      </c>
      <c r="C18" s="13">
        <v>0</v>
      </c>
      <c r="D18" s="4">
        <f>D17*C18</f>
        <v>0</v>
      </c>
      <c r="E18" s="4">
        <f t="shared" ref="E18:R18" si="3">E17*D18</f>
        <v>0</v>
      </c>
      <c r="F18" s="4">
        <f t="shared" si="3"/>
        <v>0</v>
      </c>
      <c r="G18" s="4">
        <f t="shared" si="3"/>
        <v>0</v>
      </c>
      <c r="H18" s="4">
        <f t="shared" si="3"/>
        <v>0</v>
      </c>
      <c r="I18" s="4">
        <f t="shared" si="3"/>
        <v>0</v>
      </c>
      <c r="J18" s="4">
        <f t="shared" si="3"/>
        <v>0</v>
      </c>
      <c r="K18" s="4">
        <f t="shared" si="3"/>
        <v>0</v>
      </c>
      <c r="L18" s="4">
        <f t="shared" si="3"/>
        <v>0</v>
      </c>
      <c r="M18" s="4">
        <f t="shared" si="3"/>
        <v>0</v>
      </c>
      <c r="N18" s="4">
        <f t="shared" si="3"/>
        <v>0</v>
      </c>
      <c r="O18" s="4">
        <f t="shared" si="3"/>
        <v>0</v>
      </c>
      <c r="P18" s="4">
        <f t="shared" si="3"/>
        <v>0</v>
      </c>
      <c r="Q18" s="4">
        <f t="shared" si="3"/>
        <v>0</v>
      </c>
      <c r="R18" s="4">
        <f t="shared" si="3"/>
        <v>0</v>
      </c>
      <c r="W18" s="11">
        <v>124.78929158650416</v>
      </c>
      <c r="X18" s="12">
        <v>4864.1618497109821</v>
      </c>
      <c r="Y18" s="12">
        <v>194.5664739884393</v>
      </c>
      <c r="AB18" s="12">
        <f>$W18+$X18-$Y18</f>
        <v>4794.3846673090466</v>
      </c>
      <c r="AC18" s="11">
        <f t="shared" si="1"/>
        <v>124.78929158650416</v>
      </c>
      <c r="AD18" s="11">
        <f t="shared" si="1"/>
        <v>124.78929158650416</v>
      </c>
      <c r="AE18" s="11">
        <f t="shared" si="1"/>
        <v>124.78929158650416</v>
      </c>
      <c r="AF18" s="11">
        <f t="shared" si="1"/>
        <v>124.78929158650416</v>
      </c>
      <c r="AG18" s="11">
        <f t="shared" si="1"/>
        <v>124.78929158650416</v>
      </c>
      <c r="AH18" s="11">
        <f t="shared" si="1"/>
        <v>124.78929158650416</v>
      </c>
      <c r="AI18" s="11">
        <f t="shared" si="1"/>
        <v>124.78929158650416</v>
      </c>
      <c r="AJ18" s="11">
        <f t="shared" si="1"/>
        <v>124.78929158650416</v>
      </c>
      <c r="AK18" s="11">
        <f t="shared" si="1"/>
        <v>124.78929158650416</v>
      </c>
      <c r="AL18" s="11">
        <f t="shared" si="1"/>
        <v>124.78929158650416</v>
      </c>
      <c r="AM18" s="11">
        <f t="shared" si="1"/>
        <v>124.78929158650416</v>
      </c>
      <c r="AN18" s="11">
        <f t="shared" si="1"/>
        <v>124.78929158650416</v>
      </c>
      <c r="AO18" s="11">
        <f t="shared" si="1"/>
        <v>124.78929158650416</v>
      </c>
      <c r="AP18" s="11"/>
      <c r="AQ18" s="11"/>
    </row>
    <row r="19" spans="2:43">
      <c r="B19" s="2" t="s">
        <v>31</v>
      </c>
      <c r="D19" s="3">
        <f>D17-D18</f>
        <v>6672000</v>
      </c>
      <c r="E19" s="3">
        <f t="shared" ref="E19:R19" si="4">E17-E18</f>
        <v>6637864.7343377518</v>
      </c>
      <c r="F19" s="3">
        <f t="shared" si="4"/>
        <v>6603904.1114155864</v>
      </c>
      <c r="G19" s="3">
        <f t="shared" si="4"/>
        <v>6570117.2377268597</v>
      </c>
      <c r="H19" s="3">
        <f t="shared" si="4"/>
        <v>6536503.2243362842</v>
      </c>
      <c r="I19" s="3">
        <f t="shared" si="4"/>
        <v>6503061.186856539</v>
      </c>
      <c r="J19" s="3">
        <f t="shared" si="4"/>
        <v>6469790.2454250036</v>
      </c>
      <c r="K19" s="3">
        <f t="shared" si="4"/>
        <v>6436689.5246806089</v>
      </c>
      <c r="L19" s="3">
        <f t="shared" si="4"/>
        <v>6403758.1537408037</v>
      </c>
      <c r="M19" s="3">
        <f t="shared" si="4"/>
        <v>6370995.2661786443</v>
      </c>
      <c r="N19" s="3">
        <f t="shared" si="4"/>
        <v>6338399.9999999972</v>
      </c>
      <c r="O19" s="3">
        <f t="shared" si="4"/>
        <v>6305971.497620862</v>
      </c>
      <c r="P19" s="3">
        <f t="shared" si="4"/>
        <v>6273708.9058448048</v>
      </c>
      <c r="Q19" s="3">
        <f t="shared" si="4"/>
        <v>6241611.3758405149</v>
      </c>
      <c r="R19" s="3">
        <f t="shared" si="4"/>
        <v>6209678.0631194683</v>
      </c>
      <c r="W19" s="11">
        <v>183.04234958074693</v>
      </c>
      <c r="X19" s="12">
        <v>4733.4374999999991</v>
      </c>
      <c r="Y19" s="12">
        <v>189.33749999999998</v>
      </c>
      <c r="AC19" s="12">
        <f>$W19+$X19-$Y19</f>
        <v>4727.1423495807467</v>
      </c>
      <c r="AD19" s="11">
        <f t="shared" si="1"/>
        <v>183.04234958074693</v>
      </c>
      <c r="AE19" s="11">
        <f t="shared" si="1"/>
        <v>183.04234958074693</v>
      </c>
      <c r="AF19" s="11">
        <f t="shared" si="1"/>
        <v>183.04234958074693</v>
      </c>
      <c r="AG19" s="11">
        <f t="shared" si="1"/>
        <v>183.04234958074693</v>
      </c>
      <c r="AH19" s="11">
        <f t="shared" si="1"/>
        <v>183.04234958074693</v>
      </c>
      <c r="AI19" s="11">
        <f t="shared" si="1"/>
        <v>183.04234958074693</v>
      </c>
      <c r="AJ19" s="11">
        <f t="shared" si="1"/>
        <v>183.04234958074693</v>
      </c>
      <c r="AK19" s="11">
        <f t="shared" si="1"/>
        <v>183.04234958074693</v>
      </c>
      <c r="AL19" s="11">
        <f t="shared" si="1"/>
        <v>183.04234958074693</v>
      </c>
      <c r="AM19" s="11">
        <f t="shared" si="1"/>
        <v>183.04234958074693</v>
      </c>
      <c r="AN19" s="11">
        <f t="shared" si="1"/>
        <v>183.04234958074693</v>
      </c>
      <c r="AO19" s="11">
        <f t="shared" si="1"/>
        <v>183.04234958074693</v>
      </c>
      <c r="AP19" s="11"/>
      <c r="AQ19" s="11"/>
    </row>
    <row r="20" spans="2:43">
      <c r="B20" s="2" t="s">
        <v>32</v>
      </c>
      <c r="C20" s="13">
        <f>SUM(D20:M20)/SUM(D17:M17)</f>
        <v>0.22314398551356321</v>
      </c>
      <c r="D20" s="3">
        <f>SUM(D21:D28)</f>
        <v>2377344</v>
      </c>
      <c r="E20" s="3">
        <f t="shared" ref="E20:R20" si="5">SUM(E21:E28)</f>
        <v>1262613.1787470202</v>
      </c>
      <c r="F20" s="3">
        <f t="shared" si="5"/>
        <v>1259896.328913247</v>
      </c>
      <c r="G20" s="3">
        <f t="shared" si="5"/>
        <v>1388595.723772686</v>
      </c>
      <c r="H20" s="3">
        <f t="shared" si="5"/>
        <v>1385234.3224336286</v>
      </c>
      <c r="I20" s="3">
        <f t="shared" si="5"/>
        <v>1381890.1186856539</v>
      </c>
      <c r="J20" s="3">
        <f t="shared" si="5"/>
        <v>1378563.0245425003</v>
      </c>
      <c r="K20" s="3">
        <f t="shared" si="5"/>
        <v>1375252.9524680609</v>
      </c>
      <c r="L20" s="3">
        <f t="shared" si="5"/>
        <v>1371959.8153740806</v>
      </c>
      <c r="M20" s="3">
        <f t="shared" si="5"/>
        <v>1368683.5266178646</v>
      </c>
      <c r="N20" s="3">
        <f t="shared" si="5"/>
        <v>1365423.9999999998</v>
      </c>
      <c r="O20" s="3">
        <f t="shared" si="5"/>
        <v>1362181.1497620861</v>
      </c>
      <c r="P20" s="3">
        <f t="shared" si="5"/>
        <v>1358954.8905844805</v>
      </c>
      <c r="Q20" s="3">
        <f t="shared" si="5"/>
        <v>1355745.1375840516</v>
      </c>
      <c r="R20" s="3">
        <f t="shared" si="5"/>
        <v>1352551.8063119468</v>
      </c>
      <c r="W20" s="11">
        <v>238.92623726446294</v>
      </c>
      <c r="X20" s="12">
        <v>4607.5650837988815</v>
      </c>
      <c r="Y20" s="12">
        <v>184.30260335195527</v>
      </c>
      <c r="AD20" s="12">
        <f>$W20+$X20-$Y20</f>
        <v>4662.1887177113886</v>
      </c>
      <c r="AE20" s="11">
        <f t="shared" si="1"/>
        <v>238.92623726446294</v>
      </c>
      <c r="AF20" s="11">
        <f t="shared" si="1"/>
        <v>238.92623726446294</v>
      </c>
      <c r="AG20" s="11">
        <f t="shared" si="1"/>
        <v>238.92623726446294</v>
      </c>
      <c r="AH20" s="11">
        <f t="shared" si="1"/>
        <v>238.92623726446294</v>
      </c>
      <c r="AI20" s="11">
        <f t="shared" si="1"/>
        <v>238.92623726446294</v>
      </c>
      <c r="AJ20" s="11">
        <f t="shared" si="1"/>
        <v>238.92623726446294</v>
      </c>
      <c r="AK20" s="11">
        <f t="shared" si="1"/>
        <v>238.92623726446294</v>
      </c>
      <c r="AL20" s="11">
        <f t="shared" si="1"/>
        <v>238.92623726446294</v>
      </c>
      <c r="AM20" s="11">
        <f t="shared" si="1"/>
        <v>238.92623726446294</v>
      </c>
      <c r="AN20" s="11">
        <f t="shared" si="1"/>
        <v>238.92623726446294</v>
      </c>
      <c r="AO20" s="11">
        <f t="shared" si="1"/>
        <v>238.92623726446294</v>
      </c>
      <c r="AP20" s="11"/>
      <c r="AQ20" s="11"/>
    </row>
    <row r="21" spans="2:43">
      <c r="B21" s="2" t="s">
        <v>33</v>
      </c>
      <c r="C21" s="14"/>
      <c r="D21" s="4">
        <f>13750*12</f>
        <v>165000</v>
      </c>
      <c r="E21" s="4">
        <f t="shared" ref="E21:R21" si="6">13750*12</f>
        <v>165000</v>
      </c>
      <c r="F21" s="4">
        <f t="shared" si="6"/>
        <v>165000</v>
      </c>
      <c r="G21" s="4">
        <f t="shared" si="6"/>
        <v>165000</v>
      </c>
      <c r="H21" s="4">
        <f t="shared" si="6"/>
        <v>165000</v>
      </c>
      <c r="I21" s="4">
        <f t="shared" si="6"/>
        <v>165000</v>
      </c>
      <c r="J21" s="4">
        <f t="shared" si="6"/>
        <v>165000</v>
      </c>
      <c r="K21" s="4">
        <f t="shared" si="6"/>
        <v>165000</v>
      </c>
      <c r="L21" s="4">
        <f t="shared" si="6"/>
        <v>165000</v>
      </c>
      <c r="M21" s="4">
        <f t="shared" si="6"/>
        <v>165000</v>
      </c>
      <c r="N21" s="4">
        <f t="shared" si="6"/>
        <v>165000</v>
      </c>
      <c r="O21" s="4">
        <f t="shared" si="6"/>
        <v>165000</v>
      </c>
      <c r="P21" s="4">
        <f t="shared" si="6"/>
        <v>165000</v>
      </c>
      <c r="Q21" s="4">
        <f t="shared" si="6"/>
        <v>165000</v>
      </c>
      <c r="R21" s="4">
        <f t="shared" si="6"/>
        <v>165000</v>
      </c>
      <c r="W21" s="11"/>
      <c r="X21" s="12"/>
      <c r="Y21" s="12"/>
      <c r="AD21" s="12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</row>
    <row r="22" spans="2:43">
      <c r="B22" s="2" t="s">
        <v>34</v>
      </c>
      <c r="C22" s="14"/>
      <c r="D22" s="4">
        <v>60000</v>
      </c>
      <c r="E22" s="4">
        <v>60000</v>
      </c>
      <c r="F22" s="4">
        <v>60000</v>
      </c>
      <c r="G22" s="4">
        <v>60000</v>
      </c>
      <c r="H22" s="4">
        <v>60000</v>
      </c>
      <c r="I22" s="4">
        <v>60000</v>
      </c>
      <c r="J22" s="4">
        <v>60000</v>
      </c>
      <c r="K22" s="4">
        <v>60000</v>
      </c>
      <c r="L22" s="4">
        <v>60000</v>
      </c>
      <c r="M22" s="4">
        <v>60000</v>
      </c>
      <c r="N22" s="4">
        <v>60000</v>
      </c>
      <c r="O22" s="4">
        <v>60000</v>
      </c>
      <c r="P22" s="4">
        <v>60000</v>
      </c>
      <c r="Q22" s="4">
        <v>60000</v>
      </c>
      <c r="R22" s="4">
        <v>60000</v>
      </c>
      <c r="W22" s="11"/>
      <c r="X22" s="12"/>
      <c r="Y22" s="12"/>
      <c r="AD22" s="12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</row>
    <row r="23" spans="2:43">
      <c r="B23" s="2" t="s">
        <v>35</v>
      </c>
      <c r="C23" s="14"/>
      <c r="D23" s="4">
        <f>5032*12</f>
        <v>60384</v>
      </c>
      <c r="E23" s="4">
        <f t="shared" ref="E23:R23" si="7">5032*12</f>
        <v>60384</v>
      </c>
      <c r="F23" s="4">
        <f t="shared" si="7"/>
        <v>60384</v>
      </c>
      <c r="G23" s="4">
        <f t="shared" si="7"/>
        <v>60384</v>
      </c>
      <c r="H23" s="4">
        <f t="shared" si="7"/>
        <v>60384</v>
      </c>
      <c r="I23" s="4">
        <f t="shared" si="7"/>
        <v>60384</v>
      </c>
      <c r="J23" s="4">
        <f t="shared" si="7"/>
        <v>60384</v>
      </c>
      <c r="K23" s="4">
        <f t="shared" si="7"/>
        <v>60384</v>
      </c>
      <c r="L23" s="4">
        <f t="shared" si="7"/>
        <v>60384</v>
      </c>
      <c r="M23" s="4">
        <f t="shared" si="7"/>
        <v>60384</v>
      </c>
      <c r="N23" s="4">
        <f t="shared" si="7"/>
        <v>60384</v>
      </c>
      <c r="O23" s="4">
        <f t="shared" si="7"/>
        <v>60384</v>
      </c>
      <c r="P23" s="4">
        <f t="shared" si="7"/>
        <v>60384</v>
      </c>
      <c r="Q23" s="4">
        <f t="shared" si="7"/>
        <v>60384</v>
      </c>
      <c r="R23" s="4">
        <f t="shared" si="7"/>
        <v>60384</v>
      </c>
      <c r="W23" s="11"/>
      <c r="X23" s="12"/>
      <c r="Y23" s="12"/>
      <c r="AD23" s="12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</row>
    <row r="24" spans="2:43">
      <c r="B24" s="2" t="s">
        <v>36</v>
      </c>
      <c r="C24" s="15"/>
      <c r="D24" s="4">
        <f>D17*8%+D17*2/12</f>
        <v>1645760</v>
      </c>
      <c r="E24" s="4">
        <f t="shared" ref="E24:F24" si="8">E17*8%</f>
        <v>531029.1787470202</v>
      </c>
      <c r="F24" s="4">
        <f t="shared" si="8"/>
        <v>528312.32891324698</v>
      </c>
      <c r="G24" s="4">
        <f>G17*10%</f>
        <v>657011.72377268597</v>
      </c>
      <c r="H24" s="4">
        <f t="shared" ref="H24:R24" si="9">H17*10%</f>
        <v>653650.32243362849</v>
      </c>
      <c r="I24" s="4">
        <f t="shared" si="9"/>
        <v>650306.1186856539</v>
      </c>
      <c r="J24" s="4">
        <f t="shared" si="9"/>
        <v>646979.02454250038</v>
      </c>
      <c r="K24" s="4">
        <f t="shared" si="9"/>
        <v>643668.95246806089</v>
      </c>
      <c r="L24" s="4">
        <f t="shared" si="9"/>
        <v>640375.81537408044</v>
      </c>
      <c r="M24" s="4">
        <f t="shared" si="9"/>
        <v>637099.5266178645</v>
      </c>
      <c r="N24" s="4">
        <f t="shared" si="9"/>
        <v>633839.99999999977</v>
      </c>
      <c r="O24" s="4">
        <f t="shared" si="9"/>
        <v>630597.14976208622</v>
      </c>
      <c r="P24" s="4">
        <f t="shared" si="9"/>
        <v>627370.89058448048</v>
      </c>
      <c r="Q24" s="4">
        <f t="shared" si="9"/>
        <v>624161.13758405147</v>
      </c>
      <c r="R24" s="4">
        <f t="shared" si="9"/>
        <v>620967.80631194683</v>
      </c>
      <c r="W24" s="11"/>
      <c r="X24" s="12"/>
      <c r="Y24" s="12"/>
      <c r="AD24" s="12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</row>
    <row r="25" spans="2:43">
      <c r="B25" s="2" t="s">
        <v>37</v>
      </c>
      <c r="C25" s="14"/>
      <c r="D25" s="4">
        <v>400000</v>
      </c>
      <c r="E25" s="4">
        <v>400000</v>
      </c>
      <c r="F25" s="4">
        <v>400000</v>
      </c>
      <c r="G25" s="4">
        <v>400000</v>
      </c>
      <c r="H25" s="4">
        <v>400000</v>
      </c>
      <c r="I25" s="4">
        <v>400000</v>
      </c>
      <c r="J25" s="4">
        <v>400000</v>
      </c>
      <c r="K25" s="4">
        <v>400000</v>
      </c>
      <c r="L25" s="4">
        <v>400000</v>
      </c>
      <c r="M25" s="4">
        <v>400000</v>
      </c>
      <c r="N25" s="4">
        <v>400000</v>
      </c>
      <c r="O25" s="4">
        <v>400000</v>
      </c>
      <c r="P25" s="4">
        <v>400000</v>
      </c>
      <c r="Q25" s="4">
        <v>400000</v>
      </c>
      <c r="R25" s="4">
        <v>400000</v>
      </c>
      <c r="W25" s="11"/>
      <c r="X25" s="12"/>
      <c r="Y25" s="12"/>
      <c r="AD25" s="12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</row>
    <row r="26" spans="2:43">
      <c r="B26" s="2" t="s">
        <v>38</v>
      </c>
      <c r="C26" s="1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W26" s="11"/>
      <c r="X26" s="12"/>
      <c r="Y26" s="12"/>
      <c r="AD26" s="12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</row>
    <row r="27" spans="2:43">
      <c r="B27" s="2" t="s">
        <v>39</v>
      </c>
      <c r="C27" s="14"/>
      <c r="D27" s="4">
        <v>46200</v>
      </c>
      <c r="E27" s="4">
        <v>46200</v>
      </c>
      <c r="F27" s="4">
        <v>46200</v>
      </c>
      <c r="G27" s="4">
        <v>46200</v>
      </c>
      <c r="H27" s="4">
        <v>46200</v>
      </c>
      <c r="I27" s="4">
        <v>46200</v>
      </c>
      <c r="J27" s="4">
        <v>46200</v>
      </c>
      <c r="K27" s="4">
        <v>46200</v>
      </c>
      <c r="L27" s="4">
        <v>46200</v>
      </c>
      <c r="M27" s="4">
        <v>46200</v>
      </c>
      <c r="N27" s="4">
        <v>46200</v>
      </c>
      <c r="O27" s="4">
        <v>46200</v>
      </c>
      <c r="P27" s="4">
        <v>46200</v>
      </c>
      <c r="Q27" s="4">
        <v>46200</v>
      </c>
      <c r="R27" s="4">
        <v>46200</v>
      </c>
      <c r="W27" s="11"/>
      <c r="X27" s="12"/>
      <c r="Y27" s="12"/>
      <c r="AD27" s="12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</row>
    <row r="28" spans="2:43">
      <c r="B28" s="2" t="s">
        <v>40</v>
      </c>
      <c r="C28" s="1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W28" s="11"/>
      <c r="X28" s="12"/>
      <c r="Y28" s="12"/>
      <c r="AD28" s="12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</row>
    <row r="29" spans="2:43">
      <c r="B29" s="2" t="s">
        <v>41</v>
      </c>
      <c r="D29" s="3">
        <f t="shared" ref="D29:R29" si="10">D19-D20</f>
        <v>4294656</v>
      </c>
      <c r="E29" s="3">
        <f t="shared" si="10"/>
        <v>5375251.555590732</v>
      </c>
      <c r="F29" s="3">
        <f t="shared" si="10"/>
        <v>5344007.7825023392</v>
      </c>
      <c r="G29" s="3">
        <f t="shared" si="10"/>
        <v>5181521.5139541738</v>
      </c>
      <c r="H29" s="3">
        <f t="shared" si="10"/>
        <v>5151268.9019026551</v>
      </c>
      <c r="I29" s="3">
        <f t="shared" si="10"/>
        <v>5121171.0681708846</v>
      </c>
      <c r="J29" s="3">
        <f t="shared" si="10"/>
        <v>5091227.2208825033</v>
      </c>
      <c r="K29" s="3">
        <f t="shared" si="10"/>
        <v>5061436.572212548</v>
      </c>
      <c r="L29" s="3">
        <f t="shared" si="10"/>
        <v>5031798.3383667227</v>
      </c>
      <c r="M29" s="3">
        <f t="shared" si="10"/>
        <v>5002311.7395607792</v>
      </c>
      <c r="N29" s="3">
        <f t="shared" si="10"/>
        <v>4972975.9999999972</v>
      </c>
      <c r="O29" s="3">
        <f t="shared" si="10"/>
        <v>4943790.3478587754</v>
      </c>
      <c r="P29" s="3">
        <f t="shared" si="10"/>
        <v>4914754.0152603239</v>
      </c>
      <c r="Q29" s="3">
        <f t="shared" si="10"/>
        <v>4885866.2382564638</v>
      </c>
      <c r="R29" s="3">
        <f t="shared" si="10"/>
        <v>4857126.256807521</v>
      </c>
      <c r="W29" s="11">
        <v>292.44972982266563</v>
      </c>
      <c r="X29" s="12">
        <v>4486.3000467032953</v>
      </c>
      <c r="Y29" s="12">
        <v>179.45200186813182</v>
      </c>
      <c r="AE29" s="12">
        <f>$W29+$X29-$Y29</f>
        <v>4599.2977746578299</v>
      </c>
      <c r="AF29" s="11">
        <f t="shared" si="1"/>
        <v>292.44972982266563</v>
      </c>
      <c r="AG29" s="11">
        <f t="shared" si="1"/>
        <v>292.44972982266563</v>
      </c>
      <c r="AH29" s="11">
        <f t="shared" si="1"/>
        <v>292.44972982266563</v>
      </c>
      <c r="AI29" s="11">
        <f t="shared" si="1"/>
        <v>292.44972982266563</v>
      </c>
      <c r="AJ29" s="11">
        <f t="shared" si="1"/>
        <v>292.44972982266563</v>
      </c>
      <c r="AK29" s="11">
        <f t="shared" si="1"/>
        <v>292.44972982266563</v>
      </c>
      <c r="AL29" s="11">
        <f t="shared" si="1"/>
        <v>292.44972982266563</v>
      </c>
      <c r="AM29" s="11">
        <f t="shared" si="1"/>
        <v>292.44972982266563</v>
      </c>
      <c r="AN29" s="11">
        <f t="shared" si="1"/>
        <v>292.44972982266563</v>
      </c>
      <c r="AO29" s="11">
        <f t="shared" si="1"/>
        <v>292.44972982266563</v>
      </c>
      <c r="AP29" s="11"/>
      <c r="AQ29" s="11"/>
    </row>
    <row r="30" spans="2:43">
      <c r="B30" s="2" t="s">
        <v>42</v>
      </c>
      <c r="D30" s="4">
        <f>G6*12</f>
        <v>3875533.7023398648</v>
      </c>
      <c r="E30" s="4">
        <f>$D$30</f>
        <v>3875533.7023398648</v>
      </c>
      <c r="F30" s="4">
        <f t="shared" ref="F30:R30" si="11">$D$30</f>
        <v>3875533.7023398648</v>
      </c>
      <c r="G30" s="4">
        <f t="shared" si="11"/>
        <v>3875533.7023398648</v>
      </c>
      <c r="H30" s="4">
        <f t="shared" si="11"/>
        <v>3875533.7023398648</v>
      </c>
      <c r="I30" s="4">
        <f t="shared" si="11"/>
        <v>3875533.7023398648</v>
      </c>
      <c r="J30" s="4">
        <f t="shared" si="11"/>
        <v>3875533.7023398648</v>
      </c>
      <c r="K30" s="4">
        <f t="shared" si="11"/>
        <v>3875533.7023398648</v>
      </c>
      <c r="L30" s="4">
        <f t="shared" si="11"/>
        <v>3875533.7023398648</v>
      </c>
      <c r="M30" s="4">
        <f t="shared" si="11"/>
        <v>3875533.7023398648</v>
      </c>
      <c r="N30" s="4">
        <f t="shared" si="11"/>
        <v>3875533.7023398648</v>
      </c>
      <c r="O30" s="4">
        <f t="shared" si="11"/>
        <v>3875533.7023398648</v>
      </c>
      <c r="P30" s="4">
        <f t="shared" si="11"/>
        <v>3875533.7023398648</v>
      </c>
      <c r="Q30" s="4">
        <f t="shared" si="11"/>
        <v>3875533.7023398648</v>
      </c>
      <c r="R30" s="4">
        <f t="shared" si="11"/>
        <v>3875533.7023398648</v>
      </c>
      <c r="W30" s="11">
        <v>343.62128939605338</v>
      </c>
      <c r="X30" s="12">
        <v>4369.4137427837813</v>
      </c>
      <c r="Y30" s="12">
        <v>174.77654971135127</v>
      </c>
      <c r="AF30" s="12">
        <f>$W30+$X30-$Y30</f>
        <v>4538.2584824684836</v>
      </c>
      <c r="AG30" s="11">
        <f t="shared" si="1"/>
        <v>343.62128939605338</v>
      </c>
      <c r="AH30" s="11">
        <f t="shared" si="1"/>
        <v>343.62128939605338</v>
      </c>
      <c r="AI30" s="11">
        <f t="shared" si="1"/>
        <v>343.62128939605338</v>
      </c>
      <c r="AJ30" s="11">
        <f t="shared" si="1"/>
        <v>343.62128939605338</v>
      </c>
      <c r="AK30" s="11">
        <f t="shared" si="1"/>
        <v>343.62128939605338</v>
      </c>
      <c r="AL30" s="11">
        <f t="shared" si="1"/>
        <v>343.62128939605338</v>
      </c>
      <c r="AM30" s="11">
        <f t="shared" si="1"/>
        <v>343.62128939605338</v>
      </c>
      <c r="AN30" s="11">
        <f t="shared" si="1"/>
        <v>343.62128939605338</v>
      </c>
      <c r="AO30" s="11">
        <f t="shared" si="1"/>
        <v>343.62128939605338</v>
      </c>
      <c r="AP30" s="11"/>
      <c r="AQ30" s="11"/>
    </row>
    <row r="31" spans="2:43">
      <c r="B31" s="2" t="s">
        <v>43</v>
      </c>
      <c r="D31" s="3">
        <f>D29-D30</f>
        <v>419122.2976601352</v>
      </c>
      <c r="E31" s="3">
        <f t="shared" ref="E31:R31" si="12">E29-E30</f>
        <v>1499717.8532508672</v>
      </c>
      <c r="F31" s="3">
        <f t="shared" si="12"/>
        <v>1468474.0801624744</v>
      </c>
      <c r="G31" s="3">
        <f t="shared" si="12"/>
        <v>1305987.811614309</v>
      </c>
      <c r="H31" s="3">
        <f t="shared" si="12"/>
        <v>1275735.1995627903</v>
      </c>
      <c r="I31" s="3">
        <f t="shared" si="12"/>
        <v>1245637.3658310198</v>
      </c>
      <c r="J31" s="3">
        <f t="shared" si="12"/>
        <v>1215693.5185426385</v>
      </c>
      <c r="K31" s="3">
        <f t="shared" si="12"/>
        <v>1185902.8698726832</v>
      </c>
      <c r="L31" s="3">
        <f t="shared" si="12"/>
        <v>1156264.6360268579</v>
      </c>
      <c r="M31" s="3">
        <f t="shared" si="12"/>
        <v>1126778.0372209144</v>
      </c>
      <c r="N31" s="3">
        <f t="shared" si="12"/>
        <v>1097442.2976601324</v>
      </c>
      <c r="O31" s="3">
        <f t="shared" si="12"/>
        <v>1068256.6455189106</v>
      </c>
      <c r="P31" s="3">
        <f t="shared" si="12"/>
        <v>1039220.3129204591</v>
      </c>
      <c r="Q31" s="3">
        <f t="shared" si="12"/>
        <v>1010332.535916599</v>
      </c>
      <c r="R31" s="3">
        <f t="shared" si="12"/>
        <v>981592.55446765618</v>
      </c>
      <c r="W31" s="11">
        <v>392.44906480873561</v>
      </c>
      <c r="X31" s="12">
        <v>4256.6921648449443</v>
      </c>
      <c r="Y31" s="12">
        <v>170.26768659379778</v>
      </c>
      <c r="AG31" s="12">
        <f>$W31+$X31-$Y31</f>
        <v>4478.8735430598826</v>
      </c>
      <c r="AH31" s="11">
        <f t="shared" si="1"/>
        <v>392.44906480873561</v>
      </c>
      <c r="AI31" s="11">
        <f t="shared" si="1"/>
        <v>392.44906480873561</v>
      </c>
      <c r="AJ31" s="11">
        <f t="shared" si="1"/>
        <v>392.44906480873561</v>
      </c>
      <c r="AK31" s="11">
        <f t="shared" si="1"/>
        <v>392.44906480873561</v>
      </c>
      <c r="AL31" s="11">
        <f t="shared" si="1"/>
        <v>392.44906480873561</v>
      </c>
      <c r="AM31" s="11">
        <f t="shared" si="1"/>
        <v>392.44906480873561</v>
      </c>
      <c r="AN31" s="11">
        <f t="shared" si="1"/>
        <v>392.44906480873561</v>
      </c>
      <c r="AO31" s="11">
        <f t="shared" si="1"/>
        <v>392.44906480873561</v>
      </c>
      <c r="AP31" s="11"/>
      <c r="AQ31" s="11"/>
    </row>
    <row r="32" spans="2:43">
      <c r="B32" s="2" t="s">
        <v>44</v>
      </c>
      <c r="C32" s="14"/>
      <c r="D32" s="4">
        <v>170025.58333374048</v>
      </c>
      <c r="E32" s="4">
        <v>433532.30707252375</v>
      </c>
      <c r="F32" s="4">
        <v>435969.78789423266</v>
      </c>
      <c r="G32" s="4">
        <v>405811.71078391967</v>
      </c>
      <c r="H32" s="4">
        <v>408931.68527254486</v>
      </c>
      <c r="I32" s="4">
        <v>412314.6602310607</v>
      </c>
      <c r="J32" s="4">
        <v>415965.20503321197</v>
      </c>
      <c r="K32" s="4">
        <v>419887.99109114101</v>
      </c>
      <c r="L32" s="4">
        <v>424087.79399257596</v>
      </c>
      <c r="M32" s="4">
        <v>428569.49568347237</v>
      </c>
      <c r="N32" s="4">
        <v>433338.08669706853</v>
      </c>
      <c r="O32" s="4">
        <v>438398.66843033407</v>
      </c>
      <c r="P32" s="4">
        <v>443756.45546882215</v>
      </c>
      <c r="Q32" s="4">
        <v>449416.77796094911</v>
      </c>
      <c r="R32" s="4">
        <v>455385.08404274576</v>
      </c>
      <c r="W32" s="11">
        <v>438.94089124728788</v>
      </c>
      <c r="X32" s="12">
        <v>4147.9347943504754</v>
      </c>
      <c r="Y32" s="12">
        <v>165.91739177401902</v>
      </c>
      <c r="AH32" s="12">
        <f>$W32+$X32-$Y32</f>
        <v>4420.9582938237445</v>
      </c>
      <c r="AI32" s="11">
        <f t="shared" ref="AI32:AU53" si="13">$W32</f>
        <v>438.94089124728788</v>
      </c>
      <c r="AJ32" s="11">
        <f t="shared" si="13"/>
        <v>438.94089124728788</v>
      </c>
      <c r="AK32" s="11">
        <f t="shared" si="13"/>
        <v>438.94089124728788</v>
      </c>
      <c r="AL32" s="11">
        <f t="shared" si="13"/>
        <v>438.94089124728788</v>
      </c>
      <c r="AM32" s="11">
        <f t="shared" si="13"/>
        <v>438.94089124728788</v>
      </c>
      <c r="AN32" s="11">
        <f t="shared" si="13"/>
        <v>438.94089124728788</v>
      </c>
      <c r="AO32" s="11">
        <f t="shared" si="13"/>
        <v>438.94089124728788</v>
      </c>
      <c r="AP32" s="11"/>
      <c r="AQ32" s="11"/>
    </row>
    <row r="33" spans="2:43">
      <c r="B33" s="2" t="s">
        <v>45</v>
      </c>
      <c r="D33" s="3">
        <f>D31-D32</f>
        <v>249096.71432639472</v>
      </c>
      <c r="E33" s="3">
        <f t="shared" ref="E33:R33" si="14">E31-E32</f>
        <v>1066185.5461783435</v>
      </c>
      <c r="F33" s="3">
        <f t="shared" si="14"/>
        <v>1032504.2922682418</v>
      </c>
      <c r="G33" s="3">
        <f t="shared" si="14"/>
        <v>900176.1008303893</v>
      </c>
      <c r="H33" s="3">
        <f t="shared" si="14"/>
        <v>866803.51429024548</v>
      </c>
      <c r="I33" s="3">
        <f t="shared" si="14"/>
        <v>833322.70559995912</v>
      </c>
      <c r="J33" s="3">
        <f t="shared" si="14"/>
        <v>799728.31350942655</v>
      </c>
      <c r="K33" s="3">
        <f t="shared" si="14"/>
        <v>766014.87878154218</v>
      </c>
      <c r="L33" s="3">
        <f t="shared" si="14"/>
        <v>732176.84203428193</v>
      </c>
      <c r="M33" s="3">
        <f t="shared" si="14"/>
        <v>698208.54153744201</v>
      </c>
      <c r="N33" s="3">
        <f t="shared" si="14"/>
        <v>664104.21096306387</v>
      </c>
      <c r="O33" s="3">
        <f t="shared" si="14"/>
        <v>629857.97708857653</v>
      </c>
      <c r="P33" s="3">
        <f t="shared" si="14"/>
        <v>595463.85745163693</v>
      </c>
      <c r="Q33" s="3">
        <f t="shared" si="14"/>
        <v>560915.75795564987</v>
      </c>
      <c r="R33" s="3">
        <f t="shared" si="14"/>
        <v>526207.47042491043</v>
      </c>
      <c r="W33" s="11">
        <v>483.10428989084767</v>
      </c>
      <c r="X33" s="12">
        <v>4042.9535580604706</v>
      </c>
      <c r="Y33" s="12">
        <v>161.71814232241883</v>
      </c>
      <c r="AI33" s="12">
        <f>$W33+$X33-$Y33</f>
        <v>4364.3397056288995</v>
      </c>
      <c r="AJ33" s="11">
        <f t="shared" si="13"/>
        <v>483.10428989084767</v>
      </c>
      <c r="AK33" s="11">
        <f t="shared" si="13"/>
        <v>483.10428989084767</v>
      </c>
      <c r="AL33" s="11">
        <f t="shared" si="13"/>
        <v>483.10428989084767</v>
      </c>
      <c r="AM33" s="11">
        <f t="shared" si="13"/>
        <v>483.10428989084767</v>
      </c>
      <c r="AN33" s="11">
        <f t="shared" si="13"/>
        <v>483.10428989084767</v>
      </c>
      <c r="AO33" s="11">
        <f t="shared" si="13"/>
        <v>483.10428989084767</v>
      </c>
      <c r="AP33" s="11"/>
      <c r="AQ33" s="11"/>
    </row>
    <row r="34" spans="2:43">
      <c r="W34" s="11">
        <v>524.94646749195147</v>
      </c>
      <c r="X34" s="12">
        <v>3941.5718800055529</v>
      </c>
      <c r="Y34" s="12">
        <v>157.66287520022212</v>
      </c>
      <c r="AJ34" s="12">
        <f>$W34+$X34-$Y34</f>
        <v>4308.8554722972822</v>
      </c>
      <c r="AK34" s="11">
        <f t="shared" si="13"/>
        <v>524.94646749195147</v>
      </c>
      <c r="AL34" s="11">
        <f t="shared" si="13"/>
        <v>524.94646749195147</v>
      </c>
      <c r="AM34" s="11">
        <f t="shared" si="13"/>
        <v>524.94646749195147</v>
      </c>
      <c r="AN34" s="11">
        <f t="shared" si="13"/>
        <v>524.94646749195147</v>
      </c>
      <c r="AO34" s="11">
        <f t="shared" si="13"/>
        <v>524.94646749195147</v>
      </c>
      <c r="AP34" s="11"/>
      <c r="AQ34" s="11"/>
    </row>
    <row r="35" spans="2:43">
      <c r="B35" s="2" t="s">
        <v>46</v>
      </c>
      <c r="D35" s="16">
        <f>D29/$D$6</f>
        <v>4.4735999999999998E-2</v>
      </c>
      <c r="E35" s="16">
        <f t="shared" ref="E35:R35" si="15">E29/$D$6</f>
        <v>5.5992203704070126E-2</v>
      </c>
      <c r="F35" s="16">
        <f t="shared" si="15"/>
        <v>5.566674773439937E-2</v>
      </c>
      <c r="G35" s="16">
        <f t="shared" si="15"/>
        <v>5.3974182437022643E-2</v>
      </c>
      <c r="H35" s="16">
        <f t="shared" si="15"/>
        <v>5.3659051061485989E-2</v>
      </c>
      <c r="I35" s="16">
        <f t="shared" si="15"/>
        <v>5.3345531960113379E-2</v>
      </c>
      <c r="J35" s="16">
        <f t="shared" si="15"/>
        <v>5.3033616884192745E-2</v>
      </c>
      <c r="K35" s="16">
        <f t="shared" si="15"/>
        <v>5.272329762721404E-2</v>
      </c>
      <c r="L35" s="16">
        <f t="shared" si="15"/>
        <v>5.2414566024653358E-2</v>
      </c>
      <c r="M35" s="16">
        <f t="shared" si="15"/>
        <v>5.2107413953758119E-2</v>
      </c>
      <c r="N35" s="16">
        <f t="shared" si="15"/>
        <v>5.1801833333333304E-2</v>
      </c>
      <c r="O35" s="16">
        <f t="shared" si="15"/>
        <v>5.1497816123528911E-2</v>
      </c>
      <c r="P35" s="16">
        <f t="shared" si="15"/>
        <v>5.1195354325628377E-2</v>
      </c>
      <c r="Q35" s="16">
        <f t="shared" si="15"/>
        <v>5.0894439981838166E-2</v>
      </c>
      <c r="R35" s="16">
        <f t="shared" si="15"/>
        <v>5.0595065175078342E-2</v>
      </c>
      <c r="W35" s="11">
        <v>564.47431590780673</v>
      </c>
      <c r="X35" s="12">
        <v>3843.6238187874146</v>
      </c>
      <c r="Y35" s="12">
        <v>153.74495275149658</v>
      </c>
      <c r="AK35" s="12">
        <f>$W35+$X35-$Y35</f>
        <v>4254.3531819437248</v>
      </c>
      <c r="AL35" s="11">
        <f t="shared" si="13"/>
        <v>564.47431590780673</v>
      </c>
      <c r="AM35" s="11">
        <f t="shared" si="13"/>
        <v>564.47431590780673</v>
      </c>
      <c r="AN35" s="11">
        <f t="shared" si="13"/>
        <v>564.47431590780673</v>
      </c>
      <c r="AO35" s="11">
        <f t="shared" si="13"/>
        <v>564.47431590780673</v>
      </c>
      <c r="AP35" s="11"/>
      <c r="AQ35" s="11"/>
    </row>
    <row r="36" spans="2:43">
      <c r="B36" s="2" t="s">
        <v>47</v>
      </c>
      <c r="D36" s="16">
        <f>D29/$D$8</f>
        <v>4.1735398728887679E-2</v>
      </c>
      <c r="E36" s="16">
        <f t="shared" ref="E36:R36" si="16">E29/$D$8</f>
        <v>5.2236609158138152E-2</v>
      </c>
      <c r="F36" s="16">
        <f t="shared" si="16"/>
        <v>5.193298266799809E-2</v>
      </c>
      <c r="G36" s="16">
        <f t="shared" si="16"/>
        <v>5.0353943693554781E-2</v>
      </c>
      <c r="H36" s="16">
        <f t="shared" si="16"/>
        <v>5.0059949290612964E-2</v>
      </c>
      <c r="I36" s="16">
        <f t="shared" si="16"/>
        <v>4.9767459020921702E-2</v>
      </c>
      <c r="J36" s="16">
        <f t="shared" si="16"/>
        <v>4.9476465189039115E-2</v>
      </c>
      <c r="K36" s="16">
        <f t="shared" si="16"/>
        <v>4.9186960138894752E-2</v>
      </c>
      <c r="L36" s="16">
        <f t="shared" si="16"/>
        <v>4.8898936253588099E-2</v>
      </c>
      <c r="M36" s="16">
        <f t="shared" si="16"/>
        <v>4.8612385955188228E-2</v>
      </c>
      <c r="N36" s="16">
        <f t="shared" si="16"/>
        <v>4.8327301704534385E-2</v>
      </c>
      <c r="O36" s="16">
        <f t="shared" si="16"/>
        <v>4.8043676001037643E-2</v>
      </c>
      <c r="P36" s="16">
        <f t="shared" si="16"/>
        <v>4.7761501382483564E-2</v>
      </c>
      <c r="Q36" s="16">
        <f t="shared" si="16"/>
        <v>4.7480770424835901E-2</v>
      </c>
      <c r="R36" s="16">
        <f t="shared" si="16"/>
        <v>4.7201475742041178E-2</v>
      </c>
      <c r="W36" s="11">
        <v>601.69441158168161</v>
      </c>
      <c r="X36" s="12">
        <v>3748.9532813788574</v>
      </c>
      <c r="Y36" s="12">
        <v>149.95813125515429</v>
      </c>
      <c r="AL36" s="12">
        <f>$W36+$X36-$Y36</f>
        <v>4200.6895617053842</v>
      </c>
      <c r="AM36" s="11">
        <f t="shared" si="13"/>
        <v>601.69441158168161</v>
      </c>
      <c r="AN36" s="11">
        <f t="shared" si="13"/>
        <v>601.69441158168161</v>
      </c>
      <c r="AO36" s="11">
        <f t="shared" si="13"/>
        <v>601.69441158168161</v>
      </c>
      <c r="AP36" s="11"/>
      <c r="AQ36" s="11"/>
    </row>
    <row r="37" spans="2:43">
      <c r="B37" s="2" t="s">
        <v>48</v>
      </c>
      <c r="D37" s="16">
        <f>D31/$D$4</f>
        <v>6.0724760599845724E-2</v>
      </c>
      <c r="E37" s="16">
        <f t="shared" ref="E37:R37" si="17">E31/$D$4</f>
        <v>0.21728743165037195</v>
      </c>
      <c r="F37" s="16">
        <f t="shared" si="17"/>
        <v>0.21276066070160451</v>
      </c>
      <c r="G37" s="16">
        <f t="shared" si="17"/>
        <v>0.18921874987167617</v>
      </c>
      <c r="H37" s="16">
        <f t="shared" si="17"/>
        <v>0.18483558382538254</v>
      </c>
      <c r="I37" s="16">
        <f t="shared" si="17"/>
        <v>0.1804748429195914</v>
      </c>
      <c r="J37" s="16">
        <f t="shared" si="17"/>
        <v>0.17613641242286851</v>
      </c>
      <c r="K37" s="16">
        <f t="shared" si="17"/>
        <v>0.17182017819076836</v>
      </c>
      <c r="L37" s="16">
        <f t="shared" si="17"/>
        <v>0.16752602666283076</v>
      </c>
      <c r="M37" s="16">
        <f t="shared" si="17"/>
        <v>0.16325384485959352</v>
      </c>
      <c r="N37" s="16">
        <f t="shared" si="17"/>
        <v>0.15900352037961929</v>
      </c>
      <c r="O37" s="16">
        <f t="shared" si="17"/>
        <v>0.15477494139653877</v>
      </c>
      <c r="P37" s="16">
        <f t="shared" si="17"/>
        <v>0.15056799665610823</v>
      </c>
      <c r="Q37" s="16">
        <f t="shared" si="17"/>
        <v>0.14638257547328296</v>
      </c>
      <c r="R37" s="16">
        <f t="shared" si="17"/>
        <v>0.142218567729304</v>
      </c>
      <c r="W37" s="11">
        <v>636.61301497408795</v>
      </c>
      <c r="X37" s="12">
        <v>3657.4133056248002</v>
      </c>
      <c r="Y37" s="12">
        <v>146.29653222499201</v>
      </c>
      <c r="AM37" s="12">
        <f>$W37+$X37-$Y37</f>
        <v>4147.7297883738966</v>
      </c>
      <c r="AN37" s="11">
        <f t="shared" si="13"/>
        <v>636.61301497408795</v>
      </c>
      <c r="AO37" s="11">
        <f t="shared" si="13"/>
        <v>636.61301497408795</v>
      </c>
      <c r="AP37" s="11"/>
      <c r="AQ37" s="11"/>
    </row>
    <row r="38" spans="2:43">
      <c r="B38" s="2" t="s">
        <v>49</v>
      </c>
      <c r="D38" s="16">
        <f>D33/$D$4</f>
        <v>3.6090512072789731E-2</v>
      </c>
      <c r="E38" s="16">
        <f t="shared" ref="E38:R38" si="18">E33/$D$4</f>
        <v>0.15447486904931085</v>
      </c>
      <c r="F38" s="16">
        <f t="shared" si="18"/>
        <v>0.14959494237441925</v>
      </c>
      <c r="G38" s="16">
        <f t="shared" si="18"/>
        <v>0.13042250084473911</v>
      </c>
      <c r="H38" s="16">
        <f t="shared" si="18"/>
        <v>0.12558729560855483</v>
      </c>
      <c r="I38" s="16">
        <f t="shared" si="18"/>
        <v>0.12073641054766142</v>
      </c>
      <c r="J38" s="16">
        <f t="shared" si="18"/>
        <v>0.11586906889444024</v>
      </c>
      <c r="K38" s="16">
        <f t="shared" si="18"/>
        <v>0.11098447968437296</v>
      </c>
      <c r="L38" s="16">
        <f t="shared" si="18"/>
        <v>0.1060818374433906</v>
      </c>
      <c r="M38" s="16">
        <f t="shared" si="18"/>
        <v>0.10116032186865286</v>
      </c>
      <c r="N38" s="16">
        <f t="shared" si="18"/>
        <v>9.6219097502617187E-2</v>
      </c>
      <c r="O38" s="16">
        <f t="shared" si="18"/>
        <v>9.1257313400257389E-2</v>
      </c>
      <c r="P38" s="16">
        <f t="shared" si="18"/>
        <v>8.6274102789283824E-2</v>
      </c>
      <c r="Q38" s="16">
        <f t="shared" si="18"/>
        <v>8.1268582723217894E-2</v>
      </c>
      <c r="R38" s="16">
        <f t="shared" si="18"/>
        <v>7.6239853727167545E-2</v>
      </c>
      <c r="W38" s="11">
        <v>669.23606994342231</v>
      </c>
      <c r="X38" s="12">
        <v>3568.8654045412522</v>
      </c>
      <c r="Y38" s="12">
        <v>142.75461618165011</v>
      </c>
      <c r="AN38" s="12">
        <f>$W38+$X38-$Y38</f>
        <v>4095.3468583030244</v>
      </c>
      <c r="AO38" s="11">
        <f t="shared" si="13"/>
        <v>669.23606994342231</v>
      </c>
      <c r="AP38" s="11"/>
      <c r="AQ38" s="11"/>
    </row>
    <row r="39" spans="2:43">
      <c r="B39" s="2" t="s">
        <v>50</v>
      </c>
      <c r="D39" s="16">
        <f>D30/$D$5</f>
        <v>4.0370142732706928E-2</v>
      </c>
      <c r="E39" s="16">
        <f t="shared" ref="E39:R39" si="19">E30/$D$5</f>
        <v>4.0370142732706928E-2</v>
      </c>
      <c r="F39" s="16">
        <f t="shared" si="19"/>
        <v>4.0370142732706928E-2</v>
      </c>
      <c r="G39" s="16">
        <f t="shared" si="19"/>
        <v>4.0370142732706928E-2</v>
      </c>
      <c r="H39" s="16">
        <f t="shared" si="19"/>
        <v>4.0370142732706928E-2</v>
      </c>
      <c r="I39" s="16">
        <f t="shared" si="19"/>
        <v>4.0370142732706928E-2</v>
      </c>
      <c r="J39" s="16">
        <f t="shared" si="19"/>
        <v>4.0370142732706928E-2</v>
      </c>
      <c r="K39" s="16">
        <f t="shared" si="19"/>
        <v>4.0370142732706928E-2</v>
      </c>
      <c r="L39" s="16">
        <f t="shared" si="19"/>
        <v>4.0370142732706928E-2</v>
      </c>
      <c r="M39" s="16">
        <f t="shared" si="19"/>
        <v>4.0370142732706928E-2</v>
      </c>
      <c r="N39" s="16">
        <f t="shared" si="19"/>
        <v>4.0370142732706928E-2</v>
      </c>
      <c r="O39" s="16">
        <f t="shared" si="19"/>
        <v>4.0370142732706928E-2</v>
      </c>
      <c r="P39" s="16">
        <f t="shared" si="19"/>
        <v>4.0370142732706928E-2</v>
      </c>
      <c r="Q39" s="16">
        <f t="shared" si="19"/>
        <v>4.0370142732706928E-2</v>
      </c>
      <c r="R39" s="16">
        <f t="shared" si="19"/>
        <v>4.0370142732706928E-2</v>
      </c>
      <c r="W39" s="11">
        <v>699.56920307572182</v>
      </c>
      <c r="X39" s="12">
        <v>3483.1789662907095</v>
      </c>
      <c r="Y39" s="12">
        <v>139.32715865162839</v>
      </c>
      <c r="AO39" s="12">
        <f>$W39+$X39-$Y39</f>
        <v>4043.4210107148028</v>
      </c>
      <c r="AP39" s="11"/>
      <c r="AQ39" s="11"/>
    </row>
    <row r="40" spans="2:43">
      <c r="B40" s="2" t="s">
        <v>51</v>
      </c>
      <c r="D40" s="16">
        <f>D35-D39</f>
        <v>4.3658572672930704E-3</v>
      </c>
      <c r="E40" s="16">
        <f t="shared" ref="E40:R40" si="20">E35-E39</f>
        <v>1.5622060971363198E-2</v>
      </c>
      <c r="F40" s="16">
        <f t="shared" si="20"/>
        <v>1.5296605001692443E-2</v>
      </c>
      <c r="G40" s="16">
        <f t="shared" si="20"/>
        <v>1.3604039704315715E-2</v>
      </c>
      <c r="H40" s="16">
        <f t="shared" si="20"/>
        <v>1.3288908328779062E-2</v>
      </c>
      <c r="I40" s="16">
        <f t="shared" si="20"/>
        <v>1.2975389227406452E-2</v>
      </c>
      <c r="J40" s="16">
        <f t="shared" si="20"/>
        <v>1.2663474151485818E-2</v>
      </c>
      <c r="K40" s="16">
        <f t="shared" si="20"/>
        <v>1.2353154894507112E-2</v>
      </c>
      <c r="L40" s="16">
        <f t="shared" si="20"/>
        <v>1.2044423291946431E-2</v>
      </c>
      <c r="M40" s="16">
        <f t="shared" si="20"/>
        <v>1.1737271221051192E-2</v>
      </c>
      <c r="N40" s="16">
        <f t="shared" si="20"/>
        <v>1.1431690600626376E-2</v>
      </c>
      <c r="O40" s="16">
        <f t="shared" si="20"/>
        <v>1.1127673390821984E-2</v>
      </c>
      <c r="P40" s="16">
        <f t="shared" si="20"/>
        <v>1.0825211592921449E-2</v>
      </c>
      <c r="Q40" s="16">
        <f t="shared" si="20"/>
        <v>1.0524297249131238E-2</v>
      </c>
      <c r="R40" s="16">
        <f t="shared" si="20"/>
        <v>1.0224922442371415E-2</v>
      </c>
      <c r="W40" s="11"/>
      <c r="X40" s="12"/>
      <c r="Y40" s="12"/>
      <c r="AO40" s="12"/>
      <c r="AP40" s="11"/>
      <c r="AQ40" s="11"/>
    </row>
    <row r="41" spans="2:43"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AP41" s="12"/>
      <c r="AQ41" s="11"/>
    </row>
    <row r="42" spans="2:43">
      <c r="B42" s="2" t="s">
        <v>10</v>
      </c>
      <c r="D42" s="17">
        <f>C11</f>
        <v>6.9500000000000006E-2</v>
      </c>
      <c r="E42" s="16">
        <f>D42+$C$14</f>
        <v>7.0400000000000004E-2</v>
      </c>
      <c r="F42" s="16">
        <f t="shared" ref="F42:R42" si="21">E42+$C$14</f>
        <v>7.1300000000000002E-2</v>
      </c>
      <c r="G42" s="16">
        <f t="shared" si="21"/>
        <v>7.22E-2</v>
      </c>
      <c r="H42" s="16">
        <f t="shared" si="21"/>
        <v>7.3099999999999998E-2</v>
      </c>
      <c r="I42" s="16">
        <f t="shared" si="21"/>
        <v>7.3999999999999996E-2</v>
      </c>
      <c r="J42" s="16">
        <f t="shared" si="21"/>
        <v>7.4899999999999994E-2</v>
      </c>
      <c r="K42" s="16">
        <f t="shared" si="21"/>
        <v>7.5799999999999992E-2</v>
      </c>
      <c r="L42" s="16">
        <f t="shared" si="21"/>
        <v>7.669999999999999E-2</v>
      </c>
      <c r="M42" s="16">
        <f t="shared" si="21"/>
        <v>7.7599999999999988E-2</v>
      </c>
      <c r="N42" s="16">
        <f t="shared" si="21"/>
        <v>7.8499999999999986E-2</v>
      </c>
      <c r="O42" s="16">
        <f t="shared" si="21"/>
        <v>7.9399999999999984E-2</v>
      </c>
      <c r="P42" s="16">
        <f t="shared" si="21"/>
        <v>8.0299999999999983E-2</v>
      </c>
      <c r="Q42" s="16">
        <f t="shared" si="21"/>
        <v>8.1199999999999981E-2</v>
      </c>
      <c r="R42" s="16">
        <f t="shared" si="21"/>
        <v>8.2099999999999979E-2</v>
      </c>
      <c r="AQ42" s="12"/>
    </row>
    <row r="43" spans="2:43">
      <c r="B43" s="2" t="s">
        <v>5</v>
      </c>
      <c r="D43" s="3">
        <f t="shared" ref="D43:R43" si="22">D17/D42</f>
        <v>95999999.999999985</v>
      </c>
      <c r="E43" s="3">
        <f t="shared" si="22"/>
        <v>94287851.340024874</v>
      </c>
      <c r="F43" s="3">
        <f t="shared" si="22"/>
        <v>92621376.036684245</v>
      </c>
      <c r="G43" s="3">
        <f t="shared" si="22"/>
        <v>90998853.708128244</v>
      </c>
      <c r="H43" s="3">
        <f t="shared" si="22"/>
        <v>89418648.759730294</v>
      </c>
      <c r="I43" s="3">
        <f t="shared" si="22"/>
        <v>87879205.227791071</v>
      </c>
      <c r="J43" s="3">
        <f t="shared" si="22"/>
        <v>86379041.994993374</v>
      </c>
      <c r="K43" s="3">
        <f t="shared" si="22"/>
        <v>84916748.346709892</v>
      </c>
      <c r="L43" s="3">
        <f t="shared" si="22"/>
        <v>83490979.840166941</v>
      </c>
      <c r="M43" s="3">
        <f t="shared" si="22"/>
        <v>82100454.461065009</v>
      </c>
      <c r="N43" s="3">
        <f t="shared" si="22"/>
        <v>80743949.044585973</v>
      </c>
      <c r="O43" s="3">
        <f t="shared" si="22"/>
        <v>79420295.939809367</v>
      </c>
      <c r="P43" s="3">
        <f t="shared" si="22"/>
        <v>78128379.898440927</v>
      </c>
      <c r="Q43" s="3">
        <f t="shared" si="22"/>
        <v>76867135.170449704</v>
      </c>
      <c r="R43" s="3">
        <f t="shared" si="22"/>
        <v>75635542.790736541</v>
      </c>
    </row>
    <row r="44" spans="2:43">
      <c r="B44" s="2" t="s">
        <v>52</v>
      </c>
      <c r="D44" s="3">
        <f>D5</f>
        <v>96000000</v>
      </c>
      <c r="E44" s="4">
        <v>94122463.468457401</v>
      </c>
      <c r="F44" s="4">
        <v>92205116.950207025</v>
      </c>
      <c r="G44" s="4">
        <v>90247116.341810644</v>
      </c>
      <c r="H44" s="4">
        <v>88247599.642044231</v>
      </c>
      <c r="I44" s="4">
        <v>86205686.572405711</v>
      </c>
      <c r="J44" s="4">
        <v>84120478.189576149</v>
      </c>
      <c r="K44" s="4">
        <v>81991056.489663929</v>
      </c>
      <c r="L44" s="4">
        <v>79816484.004057467</v>
      </c>
      <c r="M44" s="4">
        <v>77595803.386708841</v>
      </c>
      <c r="N44" s="4">
        <v>75328036.992666304</v>
      </c>
      <c r="O44" s="4">
        <v>73012186.4476704</v>
      </c>
      <c r="P44" s="4">
        <v>70647232.208624005</v>
      </c>
      <c r="Q44" s="4">
        <v>68232133.114742965</v>
      </c>
      <c r="R44" s="4">
        <v>65765825.929189593</v>
      </c>
    </row>
    <row r="45" spans="2:43">
      <c r="B45" s="2" t="s">
        <v>53</v>
      </c>
      <c r="D45" s="17">
        <f>D44/D43</f>
        <v>1.0000000000000002</v>
      </c>
      <c r="E45" s="17">
        <f t="shared" ref="E45:R45" si="23">E44/E43</f>
        <v>0.99824592596801209</v>
      </c>
      <c r="F45" s="17">
        <f t="shared" si="23"/>
        <v>0.99550579893876379</v>
      </c>
      <c r="G45" s="17">
        <f t="shared" si="23"/>
        <v>0.9917390457606341</v>
      </c>
      <c r="H45" s="17">
        <f t="shared" si="23"/>
        <v>0.98690374844700801</v>
      </c>
      <c r="I45" s="17">
        <f t="shared" si="23"/>
        <v>0.98095660229234616</v>
      </c>
      <c r="J45" s="17">
        <f t="shared" si="23"/>
        <v>0.973852872719425</v>
      </c>
      <c r="K45" s="17">
        <f t="shared" si="23"/>
        <v>0.96554635081997553</v>
      </c>
      <c r="L45" s="17">
        <f t="shared" si="23"/>
        <v>0.95598930754982347</v>
      </c>
      <c r="M45" s="17">
        <f t="shared" si="23"/>
        <v>0.94513244653849715</v>
      </c>
      <c r="N45" s="17">
        <f t="shared" si="23"/>
        <v>0.9329248554720917</v>
      </c>
      <c r="O45" s="17">
        <f t="shared" si="23"/>
        <v>0.91931395600696941</v>
      </c>
      <c r="P45" s="17">
        <f t="shared" si="23"/>
        <v>0.90424545217062402</v>
      </c>
      <c r="Q45" s="17">
        <f t="shared" si="23"/>
        <v>0.88766327720476401</v>
      </c>
      <c r="R45" s="17">
        <f t="shared" si="23"/>
        <v>0.86950953880434445</v>
      </c>
    </row>
    <row r="46" spans="2:43">
      <c r="B46" s="2" t="s">
        <v>54</v>
      </c>
      <c r="D46" s="18">
        <f>D29/D30</f>
        <v>1.1081456980769098</v>
      </c>
      <c r="E46" s="18">
        <f t="shared" ref="E46:R46" si="24">E29/E30</f>
        <v>1.3869706648004141</v>
      </c>
      <c r="F46" s="18">
        <f t="shared" si="24"/>
        <v>1.3789088659649325</v>
      </c>
      <c r="G46" s="18">
        <f t="shared" si="24"/>
        <v>1.3369827001699959</v>
      </c>
      <c r="H46" s="18">
        <f t="shared" si="24"/>
        <v>1.3291766496037853</v>
      </c>
      <c r="I46" s="18">
        <f t="shared" si="24"/>
        <v>1.321410536329219</v>
      </c>
      <c r="J46" s="18">
        <f t="shared" si="24"/>
        <v>1.3136841560192496</v>
      </c>
      <c r="K46" s="18">
        <f t="shared" si="24"/>
        <v>1.3059973053922072</v>
      </c>
      <c r="L46" s="18">
        <f t="shared" si="24"/>
        <v>1.2983497822064507</v>
      </c>
      <c r="M46" s="18">
        <f t="shared" si="24"/>
        <v>1.2907413852550473</v>
      </c>
      <c r="N46" s="18">
        <f t="shared" si="24"/>
        <v>1.2831719143604785</v>
      </c>
      <c r="O46" s="18">
        <f t="shared" si="24"/>
        <v>1.2756411703693733</v>
      </c>
      <c r="P46" s="18">
        <f t="shared" si="24"/>
        <v>1.2681489551472682</v>
      </c>
      <c r="Q46" s="18">
        <f t="shared" si="24"/>
        <v>1.2606950715733958</v>
      </c>
      <c r="R46" s="18">
        <f t="shared" si="24"/>
        <v>1.2532793235354958</v>
      </c>
    </row>
    <row r="47" spans="2:43">
      <c r="B47" s="2" t="s">
        <v>55</v>
      </c>
      <c r="D47" s="16">
        <f t="shared" ref="D47:R47" si="25">(D20+D30)/D17</f>
        <v>0.93718190982312133</v>
      </c>
      <c r="E47" s="16">
        <f t="shared" si="25"/>
        <v>0.77406622260727775</v>
      </c>
      <c r="F47" s="16">
        <f t="shared" si="25"/>
        <v>0.77763546299467712</v>
      </c>
      <c r="G47" s="16">
        <f t="shared" si="25"/>
        <v>0.80122305822564643</v>
      </c>
      <c r="H47" s="16">
        <f t="shared" si="25"/>
        <v>0.80482910269009633</v>
      </c>
      <c r="I47" s="16">
        <f t="shared" si="25"/>
        <v>0.80845369126333888</v>
      </c>
      <c r="J47" s="16">
        <f t="shared" si="25"/>
        <v>0.81209691930858274</v>
      </c>
      <c r="K47" s="16">
        <f t="shared" si="25"/>
        <v>0.81575888267944252</v>
      </c>
      <c r="L47" s="16">
        <f t="shared" si="25"/>
        <v>0.81943967772246085</v>
      </c>
      <c r="M47" s="16">
        <f t="shared" si="25"/>
        <v>0.82313940127964302</v>
      </c>
      <c r="N47" s="16">
        <f t="shared" si="25"/>
        <v>0.8268581506910051</v>
      </c>
      <c r="O47" s="16">
        <f t="shared" si="25"/>
        <v>0.83059602379713471</v>
      </c>
      <c r="P47" s="16">
        <f t="shared" si="25"/>
        <v>0.83435311894176567</v>
      </c>
      <c r="Q47" s="16">
        <f t="shared" si="25"/>
        <v>0.83812953497436482</v>
      </c>
      <c r="R47" s="16">
        <f t="shared" si="25"/>
        <v>0.84192537125273326</v>
      </c>
    </row>
    <row r="48" spans="2:43">
      <c r="B48" s="2" t="s">
        <v>56</v>
      </c>
      <c r="D48" s="18">
        <f>$D$4/D33</f>
        <v>27.708113367389576</v>
      </c>
      <c r="E48" s="18">
        <f t="shared" ref="E48:R48" si="26">$D$4/E33</f>
        <v>6.4735448953886729</v>
      </c>
      <c r="F48" s="18">
        <f t="shared" si="26"/>
        <v>6.6847179732661868</v>
      </c>
      <c r="G48" s="18">
        <f t="shared" si="26"/>
        <v>7.667388629439376</v>
      </c>
      <c r="H48" s="18">
        <f t="shared" si="26"/>
        <v>7.9625888522746511</v>
      </c>
      <c r="I48" s="18">
        <f t="shared" si="26"/>
        <v>8.2825056291137962</v>
      </c>
      <c r="J48" s="18">
        <f t="shared" si="26"/>
        <v>8.6304309643760604</v>
      </c>
      <c r="K48" s="18">
        <f t="shared" si="26"/>
        <v>9.0102688487965565</v>
      </c>
      <c r="L48" s="18">
        <f t="shared" si="26"/>
        <v>9.4266843797237101</v>
      </c>
      <c r="M48" s="18">
        <f t="shared" si="26"/>
        <v>9.8852987172026374</v>
      </c>
      <c r="N48" s="18">
        <f t="shared" si="26"/>
        <v>10.392947200245768</v>
      </c>
      <c r="O48" s="18">
        <f t="shared" si="26"/>
        <v>10.958025858310874</v>
      </c>
      <c r="P48" s="18">
        <f t="shared" si="26"/>
        <v>11.590963773247269</v>
      </c>
      <c r="Q48" s="18">
        <f t="shared" si="26"/>
        <v>12.30487805362338</v>
      </c>
      <c r="R48" s="18">
        <f t="shared" si="26"/>
        <v>13.116499456814367</v>
      </c>
    </row>
    <row r="50" spans="2:18">
      <c r="B50" s="2" t="s">
        <v>57</v>
      </c>
      <c r="D50" s="3">
        <f>D33</f>
        <v>249096.71432639472</v>
      </c>
      <c r="E50" s="3">
        <f t="shared" ref="E50:R50" si="27">D50+E33</f>
        <v>1315282.2605047382</v>
      </c>
      <c r="F50" s="3">
        <f t="shared" si="27"/>
        <v>2347786.5527729802</v>
      </c>
      <c r="G50" s="3">
        <f t="shared" si="27"/>
        <v>3247962.6536033694</v>
      </c>
      <c r="H50" s="3">
        <f t="shared" si="27"/>
        <v>4114766.1678936146</v>
      </c>
      <c r="I50" s="3">
        <f t="shared" si="27"/>
        <v>4948088.8734935736</v>
      </c>
      <c r="J50" s="3">
        <f t="shared" si="27"/>
        <v>5747817.1870029997</v>
      </c>
      <c r="K50" s="3">
        <f t="shared" si="27"/>
        <v>6513832.0657845419</v>
      </c>
      <c r="L50" s="3">
        <f t="shared" si="27"/>
        <v>7246008.9078188241</v>
      </c>
      <c r="M50" s="3">
        <f t="shared" si="27"/>
        <v>7944217.4493562663</v>
      </c>
      <c r="N50" s="3">
        <f t="shared" si="27"/>
        <v>8608321.6603193302</v>
      </c>
      <c r="O50" s="3">
        <f t="shared" si="27"/>
        <v>9238179.6374079064</v>
      </c>
      <c r="P50" s="3">
        <f t="shared" si="27"/>
        <v>9833643.4948595427</v>
      </c>
      <c r="Q50" s="3">
        <f t="shared" si="27"/>
        <v>10394559.252815193</v>
      </c>
      <c r="R50" s="3">
        <f t="shared" si="27"/>
        <v>10920766.723240104</v>
      </c>
    </row>
    <row r="51" spans="2:18">
      <c r="B51" s="2" t="s">
        <v>58</v>
      </c>
      <c r="D51" s="3">
        <f>D43-D44</f>
        <v>0</v>
      </c>
      <c r="E51" s="3">
        <f t="shared" ref="E51:R51" si="28">E43-E44</f>
        <v>165387.87156747282</v>
      </c>
      <c r="F51" s="3">
        <f t="shared" si="28"/>
        <v>416259.08647722006</v>
      </c>
      <c r="G51" s="3">
        <f t="shared" si="28"/>
        <v>751737.36631760001</v>
      </c>
      <c r="H51" s="3">
        <f t="shared" si="28"/>
        <v>1171049.1176860631</v>
      </c>
      <c r="I51" s="3">
        <f t="shared" si="28"/>
        <v>1673518.6553853601</v>
      </c>
      <c r="J51" s="3">
        <f t="shared" si="28"/>
        <v>2258563.8054172248</v>
      </c>
      <c r="K51" s="3">
        <f t="shared" si="28"/>
        <v>2925691.8570459634</v>
      </c>
      <c r="L51" s="3">
        <f t="shared" si="28"/>
        <v>3674495.8361094743</v>
      </c>
      <c r="M51" s="3">
        <f t="shared" si="28"/>
        <v>4504651.0743561685</v>
      </c>
      <c r="N51" s="3">
        <f t="shared" si="28"/>
        <v>5415912.0519196689</v>
      </c>
      <c r="O51" s="3">
        <f t="shared" si="28"/>
        <v>6408109.4921389669</v>
      </c>
      <c r="P51" s="3">
        <f t="shared" si="28"/>
        <v>7481147.6898169219</v>
      </c>
      <c r="Q51" s="3">
        <f t="shared" si="28"/>
        <v>8635002.0557067394</v>
      </c>
      <c r="R51" s="3">
        <f t="shared" si="28"/>
        <v>9869716.8615469486</v>
      </c>
    </row>
    <row r="52" spans="2:18">
      <c r="B52" s="2" t="s">
        <v>59</v>
      </c>
      <c r="C52" s="13">
        <v>0.04</v>
      </c>
      <c r="D52" s="3">
        <f>D43*$C$52</f>
        <v>3839999.9999999995</v>
      </c>
      <c r="E52" s="3">
        <f t="shared" ref="E52:R52" si="29">E43*$C$52</f>
        <v>3771514.0536009949</v>
      </c>
      <c r="F52" s="3">
        <f t="shared" si="29"/>
        <v>3704855.04146737</v>
      </c>
      <c r="G52" s="3">
        <f t="shared" si="29"/>
        <v>3639954.1483251299</v>
      </c>
      <c r="H52" s="3">
        <f t="shared" si="29"/>
        <v>3576745.950389212</v>
      </c>
      <c r="I52" s="3">
        <f t="shared" si="29"/>
        <v>3515168.209111643</v>
      </c>
      <c r="J52" s="3">
        <f t="shared" si="29"/>
        <v>3455161.6797997351</v>
      </c>
      <c r="K52" s="3">
        <f t="shared" si="29"/>
        <v>3396669.9338683956</v>
      </c>
      <c r="L52" s="3">
        <f t="shared" si="29"/>
        <v>3339639.1936066779</v>
      </c>
      <c r="M52" s="3">
        <f t="shared" si="29"/>
        <v>3284018.1784426006</v>
      </c>
      <c r="N52" s="3">
        <f t="shared" si="29"/>
        <v>3229757.9617834389</v>
      </c>
      <c r="O52" s="3">
        <f t="shared" si="29"/>
        <v>3176811.8375923745</v>
      </c>
      <c r="P52" s="3">
        <f t="shared" si="29"/>
        <v>3125135.1959376372</v>
      </c>
      <c r="Q52" s="3">
        <f t="shared" si="29"/>
        <v>3074685.406817988</v>
      </c>
      <c r="R52" s="3">
        <f t="shared" si="29"/>
        <v>3025421.7116294615</v>
      </c>
    </row>
    <row r="53" spans="2:18">
      <c r="B53" s="2" t="s">
        <v>60</v>
      </c>
      <c r="C53" s="14"/>
      <c r="D53" s="3">
        <f>D51-D52</f>
        <v>-3839999.9999999995</v>
      </c>
      <c r="E53" s="3">
        <f t="shared" ref="E53:R53" si="30">E51-E52</f>
        <v>-3606126.1820335221</v>
      </c>
      <c r="F53" s="3">
        <f t="shared" si="30"/>
        <v>-3288595.9549901499</v>
      </c>
      <c r="G53" s="3">
        <f t="shared" si="30"/>
        <v>-2888216.7820075299</v>
      </c>
      <c r="H53" s="3">
        <f t="shared" si="30"/>
        <v>-2405696.8327031489</v>
      </c>
      <c r="I53" s="3">
        <f t="shared" si="30"/>
        <v>-1841649.5537262829</v>
      </c>
      <c r="J53" s="3">
        <f t="shared" si="30"/>
        <v>-1196597.8743825103</v>
      </c>
      <c r="K53" s="3">
        <f t="shared" si="30"/>
        <v>-470978.07682243222</v>
      </c>
      <c r="L53" s="3">
        <f t="shared" si="30"/>
        <v>334856.64250279637</v>
      </c>
      <c r="M53" s="3">
        <f t="shared" si="30"/>
        <v>1220632.8959135679</v>
      </c>
      <c r="N53" s="3">
        <f t="shared" si="30"/>
        <v>2186154.09013623</v>
      </c>
      <c r="O53" s="3">
        <f t="shared" si="30"/>
        <v>3231297.6545465924</v>
      </c>
      <c r="P53" s="3">
        <f t="shared" si="30"/>
        <v>4356012.4938792847</v>
      </c>
      <c r="Q53" s="3">
        <f t="shared" si="30"/>
        <v>5560316.6488887519</v>
      </c>
      <c r="R53" s="3">
        <f t="shared" si="30"/>
        <v>6844295.1499174871</v>
      </c>
    </row>
    <row r="54" spans="2:18">
      <c r="B54" s="2" t="s">
        <v>61</v>
      </c>
      <c r="D54" s="4">
        <v>1768595.0413223139</v>
      </c>
      <c r="E54" s="4">
        <v>1768595.0413223139</v>
      </c>
      <c r="F54" s="4">
        <v>1768595.0413223139</v>
      </c>
      <c r="G54" s="4">
        <v>1768595.0413223139</v>
      </c>
      <c r="H54" s="4">
        <v>1768595.0413223139</v>
      </c>
      <c r="I54" s="4">
        <v>1768595.0413223139</v>
      </c>
      <c r="J54" s="4">
        <v>1768595.0413223139</v>
      </c>
      <c r="K54" s="4">
        <v>1768595.0413223139</v>
      </c>
      <c r="L54" s="4">
        <v>1768595.0413223139</v>
      </c>
      <c r="M54" s="4">
        <v>1768595.0413223139</v>
      </c>
      <c r="N54" s="4">
        <v>1768595.0413223139</v>
      </c>
      <c r="O54" s="4">
        <v>1768595.0413223139</v>
      </c>
      <c r="P54" s="4">
        <v>1768595.0413223139</v>
      </c>
      <c r="Q54" s="4">
        <v>1768595.0413223139</v>
      </c>
      <c r="R54" s="4">
        <v>1768595.0413223139</v>
      </c>
    </row>
    <row r="55" spans="2:18">
      <c r="B55" s="2" t="s">
        <v>62</v>
      </c>
      <c r="D55" s="6">
        <f>D54</f>
        <v>1768595.0413223139</v>
      </c>
      <c r="E55" s="6">
        <f>D55+E54</f>
        <v>3537190.0826446279</v>
      </c>
      <c r="F55" s="6">
        <f t="shared" ref="F55:R55" si="31">E55+F54</f>
        <v>5305785.1239669416</v>
      </c>
      <c r="G55" s="6">
        <f t="shared" si="31"/>
        <v>7074380.1652892558</v>
      </c>
      <c r="H55" s="6">
        <f t="shared" si="31"/>
        <v>8842975.20661157</v>
      </c>
      <c r="I55" s="6">
        <f t="shared" si="31"/>
        <v>10611570.247933883</v>
      </c>
      <c r="J55" s="6">
        <f t="shared" si="31"/>
        <v>12380165.289256196</v>
      </c>
      <c r="K55" s="6">
        <f t="shared" si="31"/>
        <v>14148760.33057851</v>
      </c>
      <c r="L55" s="6">
        <f t="shared" si="31"/>
        <v>15917355.371900823</v>
      </c>
      <c r="M55" s="6">
        <f t="shared" si="31"/>
        <v>17685950.413223136</v>
      </c>
      <c r="N55" s="6">
        <f t="shared" si="31"/>
        <v>19454545.454545449</v>
      </c>
      <c r="O55" s="6">
        <f t="shared" si="31"/>
        <v>21223140.495867763</v>
      </c>
      <c r="P55" s="6">
        <f t="shared" si="31"/>
        <v>22991735.537190076</v>
      </c>
      <c r="Q55" s="6">
        <f t="shared" si="31"/>
        <v>24760330.578512389</v>
      </c>
      <c r="R55" s="6">
        <f t="shared" si="31"/>
        <v>26528925.619834702</v>
      </c>
    </row>
    <row r="56" spans="2:18">
      <c r="B56" s="2" t="s">
        <v>63</v>
      </c>
      <c r="C56" s="14"/>
      <c r="D56" s="3">
        <f>$D$6-D55</f>
        <v>94231404.958677679</v>
      </c>
      <c r="E56" s="3">
        <f t="shared" ref="E56:R56" si="32">$D$6-E55</f>
        <v>92462809.917355374</v>
      </c>
      <c r="F56" s="3">
        <f t="shared" si="32"/>
        <v>90694214.876033053</v>
      </c>
      <c r="G56" s="3">
        <f t="shared" si="32"/>
        <v>88925619.834710747</v>
      </c>
      <c r="H56" s="3">
        <f t="shared" si="32"/>
        <v>87157024.793388426</v>
      </c>
      <c r="I56" s="3">
        <f t="shared" si="32"/>
        <v>85388429.752066121</v>
      </c>
      <c r="J56" s="3">
        <f t="shared" si="32"/>
        <v>83619834.7107438</v>
      </c>
      <c r="K56" s="3">
        <f t="shared" si="32"/>
        <v>81851239.669421494</v>
      </c>
      <c r="L56" s="3">
        <f t="shared" si="32"/>
        <v>80082644.628099173</v>
      </c>
      <c r="M56" s="3">
        <f t="shared" si="32"/>
        <v>78314049.586776868</v>
      </c>
      <c r="N56" s="3">
        <f t="shared" si="32"/>
        <v>76545454.545454547</v>
      </c>
      <c r="O56" s="3">
        <f t="shared" si="32"/>
        <v>74776859.504132241</v>
      </c>
      <c r="P56" s="3">
        <f t="shared" si="32"/>
        <v>73008264.46280992</v>
      </c>
      <c r="Q56" s="3">
        <f t="shared" si="32"/>
        <v>71239669.421487615</v>
      </c>
      <c r="R56" s="3">
        <f t="shared" si="32"/>
        <v>69471074.380165294</v>
      </c>
    </row>
    <row r="57" spans="2:18">
      <c r="B57" s="2" t="s">
        <v>64</v>
      </c>
      <c r="C57" s="14"/>
      <c r="D57" s="3">
        <f>D43-D56-D52</f>
        <v>-2071404.9586776937</v>
      </c>
      <c r="E57" s="3">
        <f>E43-E56-E52</f>
        <v>-1946472.6309314948</v>
      </c>
      <c r="F57" s="3">
        <f>F43-F56-F52</f>
        <v>-1777693.8808161779</v>
      </c>
      <c r="G57" s="3">
        <f t="shared" ref="G57:R57" si="33">G43-G56-G52</f>
        <v>-1566720.2749076332</v>
      </c>
      <c r="H57" s="3">
        <f t="shared" si="33"/>
        <v>-1315121.984047344</v>
      </c>
      <c r="I57" s="3">
        <f t="shared" si="33"/>
        <v>-1024392.7333866926</v>
      </c>
      <c r="J57" s="3">
        <f t="shared" si="33"/>
        <v>-695954.39555016113</v>
      </c>
      <c r="K57" s="3">
        <f t="shared" si="33"/>
        <v>-331161.25657999748</v>
      </c>
      <c r="L57" s="3">
        <f t="shared" si="33"/>
        <v>68696.018461090047</v>
      </c>
      <c r="M57" s="3">
        <f t="shared" si="33"/>
        <v>502386.69584554108</v>
      </c>
      <c r="N57" s="3">
        <f t="shared" si="33"/>
        <v>968736.53734798729</v>
      </c>
      <c r="O57" s="3">
        <f t="shared" si="33"/>
        <v>1466624.5980847515</v>
      </c>
      <c r="P57" s="3">
        <f t="shared" si="33"/>
        <v>1994980.2396933697</v>
      </c>
      <c r="Q57" s="3">
        <f t="shared" si="33"/>
        <v>2552780.3421441014</v>
      </c>
      <c r="R57" s="3">
        <f t="shared" si="33"/>
        <v>3139046.6989417858</v>
      </c>
    </row>
    <row r="58" spans="2:18">
      <c r="B58" s="2" t="s">
        <v>65</v>
      </c>
      <c r="C58" s="13">
        <v>0.25</v>
      </c>
      <c r="D58" s="18">
        <f>IF(D57&lt;=0,0,D57*$C58)</f>
        <v>0</v>
      </c>
      <c r="E58" s="18">
        <f t="shared" ref="E58:R58" si="34">IF(E57&lt;=0,0,E57*$C58)</f>
        <v>0</v>
      </c>
      <c r="F58" s="18">
        <f t="shared" si="34"/>
        <v>0</v>
      </c>
      <c r="G58" s="18">
        <f t="shared" si="34"/>
        <v>0</v>
      </c>
      <c r="H58" s="18">
        <f t="shared" si="34"/>
        <v>0</v>
      </c>
      <c r="I58" s="18">
        <f t="shared" si="34"/>
        <v>0</v>
      </c>
      <c r="J58" s="18">
        <f t="shared" si="34"/>
        <v>0</v>
      </c>
      <c r="K58" s="18">
        <f t="shared" si="34"/>
        <v>0</v>
      </c>
      <c r="L58" s="18">
        <f t="shared" si="34"/>
        <v>17174.004615272512</v>
      </c>
      <c r="M58" s="18">
        <f t="shared" si="34"/>
        <v>125596.67396138527</v>
      </c>
      <c r="N58" s="18">
        <f t="shared" si="34"/>
        <v>242184.13433699682</v>
      </c>
      <c r="O58" s="18">
        <f t="shared" si="34"/>
        <v>366656.14952118788</v>
      </c>
      <c r="P58" s="18">
        <f t="shared" si="34"/>
        <v>498745.05992334243</v>
      </c>
      <c r="Q58" s="18">
        <f t="shared" si="34"/>
        <v>638195.08553602535</v>
      </c>
      <c r="R58" s="18">
        <f t="shared" si="34"/>
        <v>784761.67473544646</v>
      </c>
    </row>
    <row r="59" spans="2:18">
      <c r="B59" s="2" t="s">
        <v>45</v>
      </c>
      <c r="C59" s="14"/>
      <c r="D59" s="3">
        <f>D53-D58</f>
        <v>-3839999.9999999995</v>
      </c>
      <c r="E59" s="3">
        <f t="shared" ref="E59:R59" si="35">E53-E58</f>
        <v>-3606126.1820335221</v>
      </c>
      <c r="F59" s="3">
        <f t="shared" si="35"/>
        <v>-3288595.9549901499</v>
      </c>
      <c r="G59" s="3">
        <f t="shared" si="35"/>
        <v>-2888216.7820075299</v>
      </c>
      <c r="H59" s="3">
        <f t="shared" si="35"/>
        <v>-2405696.8327031489</v>
      </c>
      <c r="I59" s="3">
        <f t="shared" si="35"/>
        <v>-1841649.5537262829</v>
      </c>
      <c r="J59" s="3">
        <f t="shared" si="35"/>
        <v>-1196597.8743825103</v>
      </c>
      <c r="K59" s="3">
        <f t="shared" si="35"/>
        <v>-470978.07682243222</v>
      </c>
      <c r="L59" s="3">
        <f t="shared" si="35"/>
        <v>317682.63788752386</v>
      </c>
      <c r="M59" s="3">
        <f t="shared" si="35"/>
        <v>1095036.2219521827</v>
      </c>
      <c r="N59" s="3">
        <f t="shared" si="35"/>
        <v>1943969.9557992332</v>
      </c>
      <c r="O59" s="3">
        <f t="shared" si="35"/>
        <v>2864641.5050254045</v>
      </c>
      <c r="P59" s="3">
        <f t="shared" si="35"/>
        <v>3857267.4339559423</v>
      </c>
      <c r="Q59" s="3">
        <f t="shared" si="35"/>
        <v>4922121.5633527264</v>
      </c>
      <c r="R59" s="3">
        <f t="shared" si="35"/>
        <v>6059533.4751820406</v>
      </c>
    </row>
    <row r="60" spans="2:18">
      <c r="B60" s="2" t="s">
        <v>66</v>
      </c>
      <c r="D60" s="3">
        <f>D59+D50</f>
        <v>-3590903.2856736048</v>
      </c>
      <c r="E60" s="3">
        <f t="shared" ref="E60:R60" si="36">E59+E50</f>
        <v>-2290843.9215287836</v>
      </c>
      <c r="F60" s="3">
        <f t="shared" si="36"/>
        <v>-940809.40221716976</v>
      </c>
      <c r="G60" s="3">
        <f t="shared" si="36"/>
        <v>359745.8715958395</v>
      </c>
      <c r="H60" s="3">
        <f t="shared" si="36"/>
        <v>1709069.3351904657</v>
      </c>
      <c r="I60" s="3">
        <f t="shared" si="36"/>
        <v>3106439.3197672907</v>
      </c>
      <c r="J60" s="3">
        <f t="shared" si="36"/>
        <v>4551219.3126204889</v>
      </c>
      <c r="K60" s="3">
        <f t="shared" si="36"/>
        <v>6042853.9889621101</v>
      </c>
      <c r="L60" s="3">
        <f t="shared" si="36"/>
        <v>7563691.5457063476</v>
      </c>
      <c r="M60" s="3">
        <f t="shared" si="36"/>
        <v>9039253.6713084485</v>
      </c>
      <c r="N60" s="3">
        <f t="shared" si="36"/>
        <v>10552291.616118563</v>
      </c>
      <c r="O60" s="3">
        <f t="shared" si="36"/>
        <v>12102821.142433312</v>
      </c>
      <c r="P60" s="3">
        <f t="shared" si="36"/>
        <v>13690910.928815484</v>
      </c>
      <c r="Q60" s="3">
        <f t="shared" si="36"/>
        <v>15316680.816167919</v>
      </c>
      <c r="R60" s="3">
        <f t="shared" si="36"/>
        <v>16980300.198422145</v>
      </c>
    </row>
    <row r="61" spans="2:18">
      <c r="C61" s="19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</row>
    <row r="62" spans="2:18">
      <c r="B62" s="2" t="s">
        <v>67</v>
      </c>
      <c r="M62" s="20"/>
    </row>
    <row r="63" spans="2:18">
      <c r="C63" s="2" t="s">
        <v>68</v>
      </c>
      <c r="D63" s="3" t="str">
        <f t="shared" ref="D63:R63" si="37">D16 &amp; "売却"</f>
        <v>1年目売却</v>
      </c>
      <c r="E63" s="3" t="str">
        <f t="shared" si="37"/>
        <v>2年目売却</v>
      </c>
      <c r="F63" s="3" t="str">
        <f t="shared" si="37"/>
        <v>3年目売却</v>
      </c>
      <c r="G63" s="3" t="str">
        <f t="shared" si="37"/>
        <v>4年目売却</v>
      </c>
      <c r="H63" s="3" t="str">
        <f t="shared" si="37"/>
        <v>5年目売却</v>
      </c>
      <c r="I63" s="3" t="str">
        <f t="shared" si="37"/>
        <v>6年目売却</v>
      </c>
      <c r="J63" s="3" t="str">
        <f t="shared" si="37"/>
        <v>7年目売却</v>
      </c>
      <c r="K63" s="3" t="str">
        <f t="shared" si="37"/>
        <v>8年目売却</v>
      </c>
      <c r="L63" s="3" t="str">
        <f t="shared" si="37"/>
        <v>9年目売却</v>
      </c>
      <c r="M63" s="3" t="str">
        <f t="shared" si="37"/>
        <v>10年目売却</v>
      </c>
      <c r="N63" s="3" t="str">
        <f t="shared" si="37"/>
        <v>11年目売却</v>
      </c>
      <c r="O63" s="3" t="str">
        <f t="shared" si="37"/>
        <v>12年目売却</v>
      </c>
      <c r="P63" s="3" t="str">
        <f t="shared" si="37"/>
        <v>13年目売却</v>
      </c>
      <c r="Q63" s="3" t="str">
        <f t="shared" si="37"/>
        <v>14年目売却</v>
      </c>
      <c r="R63" s="3" t="str">
        <f t="shared" si="37"/>
        <v>15年目売却</v>
      </c>
    </row>
    <row r="64" spans="2:18">
      <c r="B64" s="2" t="s">
        <v>67</v>
      </c>
      <c r="C64" s="19" t="s">
        <v>69</v>
      </c>
      <c r="D64" s="17" t="e">
        <f>IRR($C65:D65)</f>
        <v>#NUM!</v>
      </c>
      <c r="E64" s="17" t="e">
        <f>IRR($C66:E66)</f>
        <v>#NUM!</v>
      </c>
      <c r="F64" s="17" t="e">
        <f>IRR($C67:F67)</f>
        <v>#NUM!</v>
      </c>
      <c r="G64" s="17" t="e">
        <f>IRR($C68:G68)</f>
        <v>#NUM!</v>
      </c>
      <c r="H64" s="17" t="e">
        <f>IRR($C69:H69)</f>
        <v>#NUM!</v>
      </c>
      <c r="I64" s="17" t="e">
        <f>IRR($C70:I70)</f>
        <v>#NUM!</v>
      </c>
      <c r="J64" s="17">
        <f>IRR($C71:J71)</f>
        <v>-0.11161665108394914</v>
      </c>
      <c r="K64" s="17">
        <f>IRR($C72:K72)</f>
        <v>-2.962022193593139E-2</v>
      </c>
      <c r="L64" s="17">
        <f>IRR($C73:L73)</f>
        <v>1.7828899771292539E-2</v>
      </c>
      <c r="M64" s="17">
        <f>IRR($C74:M74)</f>
        <v>4.7167207594767335E-2</v>
      </c>
      <c r="N64" s="17">
        <f>IRR($C75:N75)</f>
        <v>6.7481805833283337E-2</v>
      </c>
      <c r="O64" s="17">
        <f>IRR($C76:O76)</f>
        <v>8.1930218502215935E-2</v>
      </c>
      <c r="P64" s="17">
        <f>IRR($C77:P77)</f>
        <v>9.2389053888268569E-2</v>
      </c>
      <c r="Q64" s="17">
        <f>IRR($C78:Q78)</f>
        <v>0.10004341313937326</v>
      </c>
      <c r="R64" s="17">
        <f>IRR($C79:R79)</f>
        <v>0.10567529299894396</v>
      </c>
    </row>
    <row r="65" spans="2:18">
      <c r="B65" s="2" t="s">
        <v>70</v>
      </c>
      <c r="C65" s="19">
        <f t="shared" ref="C65:C79" si="38">-$D$4</f>
        <v>-6902000</v>
      </c>
      <c r="D65" s="3">
        <f>D$33+D$59</f>
        <v>-3590903.2856736048</v>
      </c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</row>
    <row r="66" spans="2:18">
      <c r="B66" s="2" t="s">
        <v>71</v>
      </c>
      <c r="C66" s="19">
        <f t="shared" si="38"/>
        <v>-6902000</v>
      </c>
      <c r="D66" s="3">
        <f t="shared" ref="D66:Q79" si="39">D$33</f>
        <v>249096.71432639472</v>
      </c>
      <c r="E66" s="3">
        <f>E$33+E$59</f>
        <v>-2539940.6358551783</v>
      </c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</row>
    <row r="67" spans="2:18">
      <c r="B67" s="2" t="s">
        <v>72</v>
      </c>
      <c r="C67" s="19">
        <f t="shared" si="38"/>
        <v>-6902000</v>
      </c>
      <c r="D67" s="3">
        <f t="shared" si="39"/>
        <v>249096.71432639472</v>
      </c>
      <c r="E67" s="3">
        <f t="shared" si="39"/>
        <v>1066185.5461783435</v>
      </c>
      <c r="F67" s="3">
        <f>F$33+F$59</f>
        <v>-2256091.6627219082</v>
      </c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</row>
    <row r="68" spans="2:18">
      <c r="B68" s="2" t="s">
        <v>73</v>
      </c>
      <c r="C68" s="19">
        <f t="shared" si="38"/>
        <v>-6902000</v>
      </c>
      <c r="D68" s="3">
        <f t="shared" si="39"/>
        <v>249096.71432639472</v>
      </c>
      <c r="E68" s="3">
        <f t="shared" si="39"/>
        <v>1066185.5461783435</v>
      </c>
      <c r="F68" s="3">
        <f t="shared" si="39"/>
        <v>1032504.2922682418</v>
      </c>
      <c r="G68" s="3">
        <f>G$33+G$59</f>
        <v>-1988040.6811771407</v>
      </c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</row>
    <row r="69" spans="2:18">
      <c r="B69" s="2" t="s">
        <v>74</v>
      </c>
      <c r="C69" s="19">
        <f t="shared" si="38"/>
        <v>-6902000</v>
      </c>
      <c r="D69" s="3">
        <f t="shared" si="39"/>
        <v>249096.71432639472</v>
      </c>
      <c r="E69" s="3">
        <f t="shared" si="39"/>
        <v>1066185.5461783435</v>
      </c>
      <c r="F69" s="3">
        <f t="shared" si="39"/>
        <v>1032504.2922682418</v>
      </c>
      <c r="G69" s="3">
        <f t="shared" si="39"/>
        <v>900176.1008303893</v>
      </c>
      <c r="H69" s="3">
        <f>H$33+H$59</f>
        <v>-1538893.3184129035</v>
      </c>
      <c r="I69" s="3"/>
      <c r="J69" s="3"/>
      <c r="K69" s="3"/>
      <c r="L69" s="3"/>
      <c r="M69" s="3"/>
      <c r="N69" s="3"/>
      <c r="O69" s="3"/>
      <c r="P69" s="3"/>
      <c r="Q69" s="3"/>
      <c r="R69" s="3"/>
    </row>
    <row r="70" spans="2:18">
      <c r="B70" s="2" t="s">
        <v>75</v>
      </c>
      <c r="C70" s="19">
        <f t="shared" si="38"/>
        <v>-6902000</v>
      </c>
      <c r="D70" s="3">
        <f t="shared" si="39"/>
        <v>249096.71432639472</v>
      </c>
      <c r="E70" s="3">
        <f t="shared" si="39"/>
        <v>1066185.5461783435</v>
      </c>
      <c r="F70" s="3">
        <f t="shared" si="39"/>
        <v>1032504.2922682418</v>
      </c>
      <c r="G70" s="3">
        <f t="shared" si="39"/>
        <v>900176.1008303893</v>
      </c>
      <c r="H70" s="3">
        <f t="shared" si="39"/>
        <v>866803.51429024548</v>
      </c>
      <c r="I70" s="3">
        <f>I$33+I$59</f>
        <v>-1008326.8481263238</v>
      </c>
      <c r="J70" s="3"/>
      <c r="K70" s="3"/>
      <c r="L70" s="3"/>
      <c r="M70" s="3"/>
      <c r="N70" s="3"/>
      <c r="O70" s="3"/>
      <c r="P70" s="3"/>
      <c r="Q70" s="3"/>
      <c r="R70" s="3"/>
    </row>
    <row r="71" spans="2:18">
      <c r="B71" s="2" t="s">
        <v>76</v>
      </c>
      <c r="C71" s="19">
        <f t="shared" si="38"/>
        <v>-6902000</v>
      </c>
      <c r="D71" s="3">
        <f t="shared" si="39"/>
        <v>249096.71432639472</v>
      </c>
      <c r="E71" s="3">
        <f t="shared" si="39"/>
        <v>1066185.5461783435</v>
      </c>
      <c r="F71" s="3">
        <f t="shared" si="39"/>
        <v>1032504.2922682418</v>
      </c>
      <c r="G71" s="3">
        <f t="shared" si="39"/>
        <v>900176.1008303893</v>
      </c>
      <c r="H71" s="3">
        <f t="shared" si="39"/>
        <v>866803.51429024548</v>
      </c>
      <c r="I71" s="3">
        <f t="shared" si="39"/>
        <v>833322.70559995912</v>
      </c>
      <c r="J71" s="3">
        <f>J$33+J$59</f>
        <v>-396869.56087308377</v>
      </c>
      <c r="K71" s="3"/>
      <c r="L71" s="3"/>
      <c r="M71" s="3"/>
      <c r="N71" s="3"/>
      <c r="O71" s="3"/>
      <c r="P71" s="3"/>
      <c r="Q71" s="3"/>
      <c r="R71" s="3"/>
    </row>
    <row r="72" spans="2:18">
      <c r="B72" s="2" t="s">
        <v>77</v>
      </c>
      <c r="C72" s="19">
        <f t="shared" si="38"/>
        <v>-6902000</v>
      </c>
      <c r="D72" s="3">
        <f t="shared" si="39"/>
        <v>249096.71432639472</v>
      </c>
      <c r="E72" s="3">
        <f t="shared" si="39"/>
        <v>1066185.5461783435</v>
      </c>
      <c r="F72" s="3">
        <f t="shared" si="39"/>
        <v>1032504.2922682418</v>
      </c>
      <c r="G72" s="3">
        <f t="shared" si="39"/>
        <v>900176.1008303893</v>
      </c>
      <c r="H72" s="3">
        <f t="shared" si="39"/>
        <v>866803.51429024548</v>
      </c>
      <c r="I72" s="3">
        <f t="shared" si="39"/>
        <v>833322.70559995912</v>
      </c>
      <c r="J72" s="3">
        <f t="shared" si="39"/>
        <v>799728.31350942655</v>
      </c>
      <c r="K72" s="3">
        <f>K$33+K$59</f>
        <v>295036.80195910996</v>
      </c>
      <c r="L72" s="3"/>
      <c r="M72" s="3"/>
      <c r="N72" s="3"/>
      <c r="O72" s="3"/>
      <c r="P72" s="3"/>
      <c r="Q72" s="3"/>
      <c r="R72" s="3"/>
    </row>
    <row r="73" spans="2:18">
      <c r="B73" s="2" t="s">
        <v>78</v>
      </c>
      <c r="C73" s="19">
        <f t="shared" si="38"/>
        <v>-6902000</v>
      </c>
      <c r="D73" s="3">
        <f t="shared" si="39"/>
        <v>249096.71432639472</v>
      </c>
      <c r="E73" s="3">
        <f t="shared" si="39"/>
        <v>1066185.5461783435</v>
      </c>
      <c r="F73" s="3">
        <f t="shared" si="39"/>
        <v>1032504.2922682418</v>
      </c>
      <c r="G73" s="3">
        <f t="shared" si="39"/>
        <v>900176.1008303893</v>
      </c>
      <c r="H73" s="3">
        <f t="shared" si="39"/>
        <v>866803.51429024548</v>
      </c>
      <c r="I73" s="3">
        <f t="shared" si="39"/>
        <v>833322.70559995912</v>
      </c>
      <c r="J73" s="3">
        <f t="shared" si="39"/>
        <v>799728.31350942655</v>
      </c>
      <c r="K73" s="3">
        <f t="shared" si="39"/>
        <v>766014.87878154218</v>
      </c>
      <c r="L73" s="3">
        <f>L$33+L$59</f>
        <v>1049859.4799218057</v>
      </c>
      <c r="M73" s="3"/>
      <c r="N73" s="3"/>
      <c r="O73" s="3"/>
      <c r="P73" s="3"/>
      <c r="Q73" s="3"/>
      <c r="R73" s="3"/>
    </row>
    <row r="74" spans="2:18">
      <c r="B74" s="2" t="s">
        <v>79</v>
      </c>
      <c r="C74" s="19">
        <f t="shared" si="38"/>
        <v>-6902000</v>
      </c>
      <c r="D74" s="3">
        <f t="shared" si="39"/>
        <v>249096.71432639472</v>
      </c>
      <c r="E74" s="3">
        <f t="shared" si="39"/>
        <v>1066185.5461783435</v>
      </c>
      <c r="F74" s="3">
        <f t="shared" si="39"/>
        <v>1032504.2922682418</v>
      </c>
      <c r="G74" s="3">
        <f t="shared" si="39"/>
        <v>900176.1008303893</v>
      </c>
      <c r="H74" s="3">
        <f t="shared" si="39"/>
        <v>866803.51429024548</v>
      </c>
      <c r="I74" s="3">
        <f t="shared" si="39"/>
        <v>833322.70559995912</v>
      </c>
      <c r="J74" s="3">
        <f t="shared" si="39"/>
        <v>799728.31350942655</v>
      </c>
      <c r="K74" s="3">
        <f t="shared" si="39"/>
        <v>766014.87878154218</v>
      </c>
      <c r="L74" s="3">
        <f t="shared" si="39"/>
        <v>732176.84203428193</v>
      </c>
      <c r="M74" s="3">
        <f>M$33+M$59</f>
        <v>1793244.7634896247</v>
      </c>
      <c r="N74" s="3"/>
      <c r="O74" s="3"/>
      <c r="P74" s="3"/>
      <c r="Q74" s="3"/>
      <c r="R74" s="3"/>
    </row>
    <row r="75" spans="2:18">
      <c r="B75" s="2" t="s">
        <v>80</v>
      </c>
      <c r="C75" s="19">
        <f t="shared" si="38"/>
        <v>-6902000</v>
      </c>
      <c r="D75" s="3">
        <f t="shared" si="39"/>
        <v>249096.71432639472</v>
      </c>
      <c r="E75" s="3">
        <f t="shared" si="39"/>
        <v>1066185.5461783435</v>
      </c>
      <c r="F75" s="3">
        <f t="shared" si="39"/>
        <v>1032504.2922682418</v>
      </c>
      <c r="G75" s="3">
        <f t="shared" si="39"/>
        <v>900176.1008303893</v>
      </c>
      <c r="H75" s="3">
        <f t="shared" si="39"/>
        <v>866803.51429024548</v>
      </c>
      <c r="I75" s="3">
        <f t="shared" si="39"/>
        <v>833322.70559995912</v>
      </c>
      <c r="J75" s="3">
        <f t="shared" si="39"/>
        <v>799728.31350942655</v>
      </c>
      <c r="K75" s="3">
        <f t="shared" si="39"/>
        <v>766014.87878154218</v>
      </c>
      <c r="L75" s="3">
        <f t="shared" si="39"/>
        <v>732176.84203428193</v>
      </c>
      <c r="M75" s="3">
        <f t="shared" si="39"/>
        <v>698208.54153744201</v>
      </c>
      <c r="N75" s="3">
        <f>N$33+N$59</f>
        <v>2608074.166762297</v>
      </c>
      <c r="O75" s="3"/>
      <c r="P75" s="3"/>
      <c r="Q75" s="3"/>
      <c r="R75" s="3"/>
    </row>
    <row r="76" spans="2:18">
      <c r="B76" s="2" t="s">
        <v>81</v>
      </c>
      <c r="C76" s="19">
        <f t="shared" si="38"/>
        <v>-6902000</v>
      </c>
      <c r="D76" s="3">
        <f t="shared" si="39"/>
        <v>249096.71432639472</v>
      </c>
      <c r="E76" s="3">
        <f t="shared" si="39"/>
        <v>1066185.5461783435</v>
      </c>
      <c r="F76" s="3">
        <f t="shared" si="39"/>
        <v>1032504.2922682418</v>
      </c>
      <c r="G76" s="3">
        <f t="shared" si="39"/>
        <v>900176.1008303893</v>
      </c>
      <c r="H76" s="3">
        <f t="shared" si="39"/>
        <v>866803.51429024548</v>
      </c>
      <c r="I76" s="3">
        <f t="shared" si="39"/>
        <v>833322.70559995912</v>
      </c>
      <c r="J76" s="3">
        <f t="shared" si="39"/>
        <v>799728.31350942655</v>
      </c>
      <c r="K76" s="3">
        <f t="shared" si="39"/>
        <v>766014.87878154218</v>
      </c>
      <c r="L76" s="3">
        <f t="shared" si="39"/>
        <v>732176.84203428193</v>
      </c>
      <c r="M76" s="3">
        <f t="shared" si="39"/>
        <v>698208.54153744201</v>
      </c>
      <c r="N76" s="3">
        <f t="shared" si="39"/>
        <v>664104.21096306387</v>
      </c>
      <c r="O76" s="3">
        <f>O$33+O$59</f>
        <v>3494499.4821139812</v>
      </c>
      <c r="P76" s="3"/>
      <c r="Q76" s="3"/>
      <c r="R76" s="3"/>
    </row>
    <row r="77" spans="2:18">
      <c r="B77" s="2" t="s">
        <v>82</v>
      </c>
      <c r="C77" s="19">
        <f t="shared" si="38"/>
        <v>-6902000</v>
      </c>
      <c r="D77" s="3">
        <f t="shared" si="39"/>
        <v>249096.71432639472</v>
      </c>
      <c r="E77" s="3">
        <f t="shared" si="39"/>
        <v>1066185.5461783435</v>
      </c>
      <c r="F77" s="3">
        <f t="shared" si="39"/>
        <v>1032504.2922682418</v>
      </c>
      <c r="G77" s="3">
        <f t="shared" si="39"/>
        <v>900176.1008303893</v>
      </c>
      <c r="H77" s="3">
        <f t="shared" si="39"/>
        <v>866803.51429024548</v>
      </c>
      <c r="I77" s="3">
        <f t="shared" si="39"/>
        <v>833322.70559995912</v>
      </c>
      <c r="J77" s="3">
        <f t="shared" si="39"/>
        <v>799728.31350942655</v>
      </c>
      <c r="K77" s="3">
        <f t="shared" si="39"/>
        <v>766014.87878154218</v>
      </c>
      <c r="L77" s="3">
        <f t="shared" si="39"/>
        <v>732176.84203428193</v>
      </c>
      <c r="M77" s="3">
        <f t="shared" si="39"/>
        <v>698208.54153744201</v>
      </c>
      <c r="N77" s="3">
        <f t="shared" si="39"/>
        <v>664104.21096306387</v>
      </c>
      <c r="O77" s="3">
        <f t="shared" si="39"/>
        <v>629857.97708857653</v>
      </c>
      <c r="P77" s="3">
        <f>P$33+P$59</f>
        <v>4452731.2914075796</v>
      </c>
      <c r="Q77" s="3"/>
      <c r="R77" s="3"/>
    </row>
    <row r="78" spans="2:18">
      <c r="B78" s="2" t="s">
        <v>83</v>
      </c>
      <c r="C78" s="19">
        <f t="shared" si="38"/>
        <v>-6902000</v>
      </c>
      <c r="D78" s="3">
        <f t="shared" si="39"/>
        <v>249096.71432639472</v>
      </c>
      <c r="E78" s="3">
        <f t="shared" si="39"/>
        <v>1066185.5461783435</v>
      </c>
      <c r="F78" s="3">
        <f t="shared" si="39"/>
        <v>1032504.2922682418</v>
      </c>
      <c r="G78" s="3">
        <f t="shared" si="39"/>
        <v>900176.1008303893</v>
      </c>
      <c r="H78" s="3">
        <f t="shared" si="39"/>
        <v>866803.51429024548</v>
      </c>
      <c r="I78" s="3">
        <f t="shared" si="39"/>
        <v>833322.70559995912</v>
      </c>
      <c r="J78" s="3">
        <f t="shared" si="39"/>
        <v>799728.31350942655</v>
      </c>
      <c r="K78" s="3">
        <f t="shared" si="39"/>
        <v>766014.87878154218</v>
      </c>
      <c r="L78" s="3">
        <f t="shared" si="39"/>
        <v>732176.84203428193</v>
      </c>
      <c r="M78" s="3">
        <f t="shared" si="39"/>
        <v>698208.54153744201</v>
      </c>
      <c r="N78" s="3">
        <f t="shared" si="39"/>
        <v>664104.21096306387</v>
      </c>
      <c r="O78" s="3">
        <f t="shared" si="39"/>
        <v>629857.97708857653</v>
      </c>
      <c r="P78" s="3">
        <f t="shared" si="39"/>
        <v>595463.85745163693</v>
      </c>
      <c r="Q78" s="3">
        <f>Q$33+Q$59</f>
        <v>5483037.3213083763</v>
      </c>
      <c r="R78" s="3"/>
    </row>
    <row r="79" spans="2:18">
      <c r="B79" s="2" t="s">
        <v>84</v>
      </c>
      <c r="C79" s="19">
        <f t="shared" si="38"/>
        <v>-6902000</v>
      </c>
      <c r="D79" s="3">
        <f t="shared" si="39"/>
        <v>249096.71432639472</v>
      </c>
      <c r="E79" s="3">
        <f t="shared" si="39"/>
        <v>1066185.5461783435</v>
      </c>
      <c r="F79" s="3">
        <f t="shared" si="39"/>
        <v>1032504.2922682418</v>
      </c>
      <c r="G79" s="3">
        <f t="shared" si="39"/>
        <v>900176.1008303893</v>
      </c>
      <c r="H79" s="3">
        <f t="shared" si="39"/>
        <v>866803.51429024548</v>
      </c>
      <c r="I79" s="3">
        <f t="shared" si="39"/>
        <v>833322.70559995912</v>
      </c>
      <c r="J79" s="3">
        <f t="shared" si="39"/>
        <v>799728.31350942655</v>
      </c>
      <c r="K79" s="3">
        <f t="shared" si="39"/>
        <v>766014.87878154218</v>
      </c>
      <c r="L79" s="3">
        <f t="shared" si="39"/>
        <v>732176.84203428193</v>
      </c>
      <c r="M79" s="3">
        <f t="shared" si="39"/>
        <v>698208.54153744201</v>
      </c>
      <c r="N79" s="3">
        <f t="shared" si="39"/>
        <v>664104.21096306387</v>
      </c>
      <c r="O79" s="3">
        <f t="shared" si="39"/>
        <v>629857.97708857653</v>
      </c>
      <c r="P79" s="3">
        <f t="shared" si="39"/>
        <v>595463.85745163693</v>
      </c>
      <c r="Q79" s="3">
        <f t="shared" si="39"/>
        <v>560915.75795564987</v>
      </c>
      <c r="R79" s="3">
        <f>R$33+R$59</f>
        <v>6585740.9456069507</v>
      </c>
    </row>
    <row r="82" spans="2:13">
      <c r="B82" s="21" t="s">
        <v>85</v>
      </c>
    </row>
    <row r="83" spans="2:13">
      <c r="B83" s="22" t="s">
        <v>86</v>
      </c>
      <c r="C83" s="22"/>
      <c r="D83" s="22"/>
      <c r="E83" s="22"/>
      <c r="F83" s="23" t="s">
        <v>87</v>
      </c>
      <c r="G83" s="23"/>
      <c r="H83" s="23"/>
      <c r="I83" s="23"/>
      <c r="J83" s="23"/>
      <c r="K83" s="23"/>
      <c r="L83" s="23"/>
      <c r="M83" s="23"/>
    </row>
    <row r="84" spans="2:13" ht="73.5" customHeight="1">
      <c r="B84" s="22" t="s">
        <v>88</v>
      </c>
      <c r="C84" s="22"/>
      <c r="D84" s="22"/>
      <c r="E84" s="22"/>
      <c r="F84" s="23" t="s">
        <v>89</v>
      </c>
      <c r="G84" s="23"/>
      <c r="H84" s="23"/>
      <c r="I84" s="23"/>
      <c r="J84" s="23"/>
      <c r="K84" s="23"/>
      <c r="L84" s="23"/>
      <c r="M84" s="23"/>
    </row>
    <row r="85" spans="2:13">
      <c r="B85" s="22" t="s">
        <v>90</v>
      </c>
      <c r="C85" s="22"/>
      <c r="D85" s="22"/>
      <c r="E85" s="22"/>
      <c r="F85" s="23" t="s">
        <v>91</v>
      </c>
      <c r="G85" s="23"/>
      <c r="H85" s="23"/>
      <c r="I85" s="23"/>
      <c r="J85" s="23"/>
      <c r="K85" s="23"/>
      <c r="L85" s="23"/>
      <c r="M85" s="23"/>
    </row>
    <row r="86" spans="2:13" ht="36" customHeight="1">
      <c r="B86" s="22" t="s">
        <v>92</v>
      </c>
      <c r="C86" s="22"/>
      <c r="D86" s="22"/>
      <c r="E86" s="22"/>
      <c r="F86" s="23" t="s">
        <v>93</v>
      </c>
      <c r="G86" s="23"/>
      <c r="H86" s="23"/>
      <c r="I86" s="23"/>
      <c r="J86" s="23"/>
      <c r="K86" s="23"/>
      <c r="L86" s="23"/>
      <c r="M86" s="23"/>
    </row>
    <row r="87" spans="2:13">
      <c r="B87" s="22" t="s">
        <v>94</v>
      </c>
      <c r="C87" s="22"/>
      <c r="D87" s="22"/>
      <c r="E87" s="22"/>
      <c r="F87" s="23" t="s">
        <v>95</v>
      </c>
      <c r="G87" s="23"/>
      <c r="H87" s="23"/>
      <c r="I87" s="23"/>
      <c r="J87" s="23"/>
      <c r="K87" s="23"/>
      <c r="L87" s="23"/>
      <c r="M87" s="23"/>
    </row>
    <row r="88" spans="2:13">
      <c r="B88" s="22" t="s">
        <v>96</v>
      </c>
      <c r="C88" s="22"/>
      <c r="D88" s="22"/>
      <c r="E88" s="22"/>
      <c r="F88" s="23" t="s">
        <v>97</v>
      </c>
      <c r="G88" s="23"/>
      <c r="H88" s="23"/>
      <c r="I88" s="23"/>
      <c r="J88" s="23"/>
      <c r="K88" s="23"/>
      <c r="L88" s="23"/>
      <c r="M88" s="23"/>
    </row>
    <row r="89" spans="2:13">
      <c r="B89" s="22" t="s">
        <v>98</v>
      </c>
      <c r="C89" s="22"/>
      <c r="D89" s="22"/>
      <c r="E89" s="22"/>
      <c r="F89" s="23" t="s">
        <v>99</v>
      </c>
      <c r="G89" s="23"/>
      <c r="H89" s="23"/>
      <c r="I89" s="23"/>
      <c r="J89" s="23"/>
      <c r="K89" s="23"/>
      <c r="L89" s="23"/>
      <c r="M89" s="23"/>
    </row>
    <row r="91" spans="2:13">
      <c r="B91" s="21" t="s">
        <v>100</v>
      </c>
    </row>
    <row r="92" spans="2:13">
      <c r="B92" s="22" t="s">
        <v>101</v>
      </c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</row>
    <row r="93" spans="2:13">
      <c r="B93" s="22" t="s">
        <v>102</v>
      </c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</row>
    <row r="94" spans="2:13">
      <c r="B94" s="22" t="s">
        <v>103</v>
      </c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</row>
    <row r="95" spans="2:13">
      <c r="B95" s="22" t="s">
        <v>104</v>
      </c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</row>
    <row r="99" spans="2:5">
      <c r="B99" s="21" t="s">
        <v>105</v>
      </c>
    </row>
    <row r="100" spans="2:5">
      <c r="B100" s="2" t="s">
        <v>106</v>
      </c>
    </row>
    <row r="101" spans="2:5">
      <c r="B101" s="2" t="s">
        <v>107</v>
      </c>
    </row>
    <row r="102" spans="2:5">
      <c r="B102" s="2" t="s">
        <v>108</v>
      </c>
      <c r="D102" s="2"/>
      <c r="E102" s="3"/>
    </row>
    <row r="103" spans="2:5">
      <c r="B103" s="2" t="s">
        <v>109</v>
      </c>
      <c r="D103" s="2"/>
    </row>
    <row r="104" spans="2:5">
      <c r="B104" s="2" t="s">
        <v>110</v>
      </c>
      <c r="D104" s="2"/>
    </row>
    <row r="105" spans="2:5">
      <c r="B105" s="2" t="s">
        <v>111</v>
      </c>
      <c r="D105" s="2"/>
    </row>
    <row r="106" spans="2:5">
      <c r="B106" s="2" t="s">
        <v>112</v>
      </c>
      <c r="D106" s="2"/>
    </row>
    <row r="107" spans="2:5">
      <c r="B107" s="2" t="s">
        <v>113</v>
      </c>
      <c r="D107" s="2"/>
    </row>
    <row r="108" spans="2:5">
      <c r="B108" s="2" t="s">
        <v>114</v>
      </c>
      <c r="C108" s="24"/>
      <c r="D108" s="2"/>
    </row>
    <row r="109" spans="2:5">
      <c r="B109" s="2" t="s">
        <v>115</v>
      </c>
      <c r="D109" s="2"/>
    </row>
    <row r="110" spans="2:5">
      <c r="B110" s="2" t="s">
        <v>116</v>
      </c>
      <c r="D110" s="2"/>
      <c r="E110" s="3"/>
    </row>
    <row r="111" spans="2:5">
      <c r="B111" s="2" t="s">
        <v>117</v>
      </c>
      <c r="D111" s="2"/>
      <c r="E111" s="3"/>
    </row>
    <row r="112" spans="2:5">
      <c r="B112" s="2" t="s">
        <v>118</v>
      </c>
      <c r="D112" s="2"/>
      <c r="E112" s="3"/>
    </row>
    <row r="113" spans="2:11">
      <c r="B113" s="2" t="s">
        <v>119</v>
      </c>
      <c r="D113" s="2"/>
      <c r="E113" s="3"/>
    </row>
    <row r="114" spans="2:11">
      <c r="B114" s="2" t="s">
        <v>120</v>
      </c>
      <c r="D114" s="2"/>
      <c r="E114" s="3"/>
    </row>
    <row r="115" spans="2:11">
      <c r="B115" s="2" t="s">
        <v>121</v>
      </c>
      <c r="D115" s="2"/>
      <c r="E115" s="3"/>
    </row>
    <row r="116" spans="2:11">
      <c r="B116" s="2" t="s">
        <v>122</v>
      </c>
    </row>
    <row r="117" spans="2:11">
      <c r="B117" s="2" t="s">
        <v>123</v>
      </c>
    </row>
    <row r="119" spans="2:11">
      <c r="B119" s="21" t="s">
        <v>124</v>
      </c>
    </row>
    <row r="120" spans="2:11">
      <c r="B120" s="2" t="s">
        <v>125</v>
      </c>
    </row>
    <row r="121" spans="2:11">
      <c r="B121" s="2" t="s">
        <v>126</v>
      </c>
    </row>
    <row r="123" spans="2:11">
      <c r="B123" s="25"/>
      <c r="C123" s="22" t="s">
        <v>127</v>
      </c>
      <c r="D123" s="26"/>
      <c r="E123" s="27" t="s">
        <v>128</v>
      </c>
      <c r="F123" s="28" t="s">
        <v>129</v>
      </c>
      <c r="G123" s="29" t="s">
        <v>130</v>
      </c>
      <c r="H123" s="28" t="s">
        <v>129</v>
      </c>
      <c r="I123" s="29" t="s">
        <v>130</v>
      </c>
      <c r="J123" s="30" t="s">
        <v>129</v>
      </c>
      <c r="K123" s="25" t="s">
        <v>130</v>
      </c>
    </row>
    <row r="124" spans="2:11">
      <c r="B124" s="25">
        <v>1</v>
      </c>
      <c r="C124" s="22" t="s">
        <v>131</v>
      </c>
      <c r="D124" s="26"/>
      <c r="E124" s="31">
        <v>22</v>
      </c>
      <c r="F124" s="32">
        <v>23</v>
      </c>
      <c r="G124" s="33">
        <v>0</v>
      </c>
      <c r="H124" s="32">
        <v>21</v>
      </c>
      <c r="I124" s="33">
        <v>0</v>
      </c>
      <c r="J124" s="34">
        <v>23</v>
      </c>
      <c r="K124" s="35">
        <v>0</v>
      </c>
    </row>
    <row r="125" spans="2:11">
      <c r="B125" s="25">
        <f>B124+1</f>
        <v>2</v>
      </c>
      <c r="C125" s="22" t="s">
        <v>132</v>
      </c>
      <c r="D125" s="26"/>
      <c r="E125" s="31" t="s">
        <v>133</v>
      </c>
      <c r="F125" s="32" t="s">
        <v>133</v>
      </c>
      <c r="G125" s="33">
        <v>0</v>
      </c>
      <c r="H125" s="32" t="s">
        <v>134</v>
      </c>
      <c r="I125" s="33">
        <v>1000</v>
      </c>
      <c r="J125" s="34" t="s">
        <v>134</v>
      </c>
      <c r="K125" s="35">
        <v>1000</v>
      </c>
    </row>
    <row r="126" spans="2:11">
      <c r="B126" s="25">
        <f t="shared" ref="B126:B135" si="40">B125+1</f>
        <v>3</v>
      </c>
      <c r="C126" s="26" t="s">
        <v>135</v>
      </c>
      <c r="D126" s="36"/>
      <c r="E126" s="31" t="s">
        <v>136</v>
      </c>
      <c r="F126" s="32" t="s">
        <v>137</v>
      </c>
      <c r="G126" s="33">
        <v>0</v>
      </c>
      <c r="H126" s="32" t="s">
        <v>138</v>
      </c>
      <c r="I126" s="33">
        <v>2000</v>
      </c>
      <c r="J126" s="34" t="s">
        <v>139</v>
      </c>
      <c r="K126" s="35">
        <v>-1000</v>
      </c>
    </row>
    <row r="127" spans="2:11">
      <c r="B127" s="25">
        <f t="shared" si="40"/>
        <v>4</v>
      </c>
      <c r="C127" s="26" t="s">
        <v>140</v>
      </c>
      <c r="D127" s="36"/>
      <c r="E127" s="31" t="s">
        <v>141</v>
      </c>
      <c r="F127" s="32" t="s">
        <v>141</v>
      </c>
      <c r="G127" s="33">
        <v>0</v>
      </c>
      <c r="H127" s="32" t="s">
        <v>141</v>
      </c>
      <c r="I127" s="33">
        <v>0</v>
      </c>
      <c r="J127" s="34" t="s">
        <v>141</v>
      </c>
      <c r="K127" s="35">
        <v>0</v>
      </c>
    </row>
    <row r="128" spans="2:11">
      <c r="B128" s="25">
        <f t="shared" si="40"/>
        <v>5</v>
      </c>
      <c r="C128" s="26" t="s">
        <v>142</v>
      </c>
      <c r="D128" s="36"/>
      <c r="E128" s="31" t="s">
        <v>143</v>
      </c>
      <c r="F128" s="32" t="s">
        <v>143</v>
      </c>
      <c r="G128" s="33">
        <v>0</v>
      </c>
      <c r="H128" s="32" t="s">
        <v>143</v>
      </c>
      <c r="I128" s="33">
        <v>0</v>
      </c>
      <c r="J128" s="34" t="s">
        <v>144</v>
      </c>
      <c r="K128" s="35">
        <v>1000</v>
      </c>
    </row>
    <row r="129" spans="2:11">
      <c r="B129" s="25">
        <f t="shared" si="40"/>
        <v>6</v>
      </c>
      <c r="C129" s="26" t="s">
        <v>145</v>
      </c>
      <c r="D129" s="36"/>
      <c r="E129" s="31" t="s">
        <v>146</v>
      </c>
      <c r="F129" s="32" t="s">
        <v>146</v>
      </c>
      <c r="G129" s="33">
        <v>0</v>
      </c>
      <c r="H129" s="32" t="s">
        <v>146</v>
      </c>
      <c r="I129" s="33">
        <v>0</v>
      </c>
      <c r="J129" s="34" t="s">
        <v>146</v>
      </c>
      <c r="K129" s="35">
        <v>0</v>
      </c>
    </row>
    <row r="130" spans="2:11">
      <c r="B130" s="25">
        <f t="shared" si="40"/>
        <v>7</v>
      </c>
      <c r="C130" s="26" t="s">
        <v>147</v>
      </c>
      <c r="D130" s="36"/>
      <c r="E130" s="31" t="s">
        <v>148</v>
      </c>
      <c r="F130" s="32" t="s">
        <v>148</v>
      </c>
      <c r="G130" s="33">
        <v>0</v>
      </c>
      <c r="H130" s="32" t="s">
        <v>149</v>
      </c>
      <c r="I130" s="33">
        <v>1000</v>
      </c>
      <c r="J130" s="34" t="s">
        <v>148</v>
      </c>
      <c r="K130" s="35">
        <v>0</v>
      </c>
    </row>
    <row r="131" spans="2:11">
      <c r="B131" s="25">
        <f t="shared" si="40"/>
        <v>8</v>
      </c>
      <c r="C131" s="26" t="s">
        <v>150</v>
      </c>
      <c r="D131" s="36"/>
      <c r="E131" s="31" t="s">
        <v>146</v>
      </c>
      <c r="F131" s="32" t="s">
        <v>151</v>
      </c>
      <c r="G131" s="33">
        <v>-1000</v>
      </c>
      <c r="H131" s="32" t="s">
        <v>146</v>
      </c>
      <c r="I131" s="33">
        <v>0</v>
      </c>
      <c r="J131" s="34" t="s">
        <v>151</v>
      </c>
      <c r="K131" s="35">
        <v>-1000</v>
      </c>
    </row>
    <row r="132" spans="2:11">
      <c r="B132" s="25">
        <f t="shared" si="40"/>
        <v>9</v>
      </c>
      <c r="C132" s="26" t="s">
        <v>152</v>
      </c>
      <c r="D132" s="36"/>
      <c r="E132" s="31" t="s">
        <v>153</v>
      </c>
      <c r="F132" s="32" t="s">
        <v>154</v>
      </c>
      <c r="G132" s="33">
        <v>-1000</v>
      </c>
      <c r="H132" s="32" t="s">
        <v>155</v>
      </c>
      <c r="I132" s="33">
        <v>1000</v>
      </c>
      <c r="J132" s="34" t="s">
        <v>156</v>
      </c>
      <c r="K132" s="35">
        <v>2000</v>
      </c>
    </row>
    <row r="133" spans="2:11">
      <c r="B133" s="25">
        <f t="shared" si="40"/>
        <v>10</v>
      </c>
      <c r="C133" s="26" t="s">
        <v>157</v>
      </c>
      <c r="D133" s="36"/>
      <c r="E133" s="31" t="s">
        <v>158</v>
      </c>
      <c r="F133" s="32" t="s">
        <v>158</v>
      </c>
      <c r="G133" s="33">
        <v>0</v>
      </c>
      <c r="H133" s="32" t="s">
        <v>159</v>
      </c>
      <c r="I133" s="33">
        <v>-1000</v>
      </c>
      <c r="J133" s="34" t="s">
        <v>160</v>
      </c>
      <c r="K133" s="35">
        <v>1000</v>
      </c>
    </row>
    <row r="134" spans="2:11">
      <c r="B134" s="25">
        <f t="shared" si="40"/>
        <v>11</v>
      </c>
      <c r="C134" s="26" t="s">
        <v>161</v>
      </c>
      <c r="D134" s="36"/>
      <c r="E134" s="31" t="s">
        <v>158</v>
      </c>
      <c r="F134" s="32" t="s">
        <v>158</v>
      </c>
      <c r="G134" s="33">
        <v>0</v>
      </c>
      <c r="H134" s="32" t="s">
        <v>159</v>
      </c>
      <c r="I134" s="33">
        <v>-1000</v>
      </c>
      <c r="J134" s="34" t="s">
        <v>160</v>
      </c>
      <c r="K134" s="35">
        <v>1000</v>
      </c>
    </row>
    <row r="135" spans="2:11" ht="15.5" thickBot="1">
      <c r="B135" s="37">
        <f t="shared" si="40"/>
        <v>12</v>
      </c>
      <c r="C135" s="38" t="s">
        <v>162</v>
      </c>
      <c r="D135" s="39"/>
      <c r="E135" s="40" t="s">
        <v>146</v>
      </c>
      <c r="F135" s="41" t="s">
        <v>163</v>
      </c>
      <c r="G135" s="42">
        <v>1000</v>
      </c>
      <c r="H135" s="41" t="s">
        <v>146</v>
      </c>
      <c r="I135" s="42">
        <v>0</v>
      </c>
      <c r="J135" s="43" t="s">
        <v>164</v>
      </c>
      <c r="K135" s="44">
        <v>2000</v>
      </c>
    </row>
    <row r="136" spans="2:11" ht="15.5" thickTop="1">
      <c r="B136" s="45"/>
      <c r="C136" s="46" t="s">
        <v>165</v>
      </c>
      <c r="D136" s="47"/>
      <c r="E136" s="48"/>
      <c r="F136" s="49">
        <v>60000</v>
      </c>
      <c r="G136" s="50">
        <f>SUM(G125:G135)</f>
        <v>-1000</v>
      </c>
      <c r="H136" s="49">
        <v>55000</v>
      </c>
      <c r="I136" s="50">
        <f>SUM(I125:I135)</f>
        <v>3000</v>
      </c>
      <c r="J136" s="51">
        <v>57000</v>
      </c>
      <c r="K136" s="52">
        <f>SUM(K125:K135)</f>
        <v>6000</v>
      </c>
    </row>
    <row r="137" spans="2:11">
      <c r="B137" s="25"/>
      <c r="C137" s="26" t="s">
        <v>166</v>
      </c>
      <c r="D137" s="36"/>
      <c r="E137" s="31"/>
      <c r="F137" s="53">
        <f>F136+G136</f>
        <v>59000</v>
      </c>
      <c r="G137" s="54"/>
      <c r="H137" s="53">
        <f>H136+I136</f>
        <v>58000</v>
      </c>
      <c r="I137" s="54"/>
      <c r="J137" s="55">
        <f>J136+K136</f>
        <v>63000</v>
      </c>
      <c r="K137" s="56"/>
    </row>
    <row r="138" spans="2:11" ht="15.5" thickBot="1">
      <c r="B138" s="37"/>
      <c r="C138" s="38" t="s">
        <v>167</v>
      </c>
      <c r="D138" s="39"/>
      <c r="E138" s="40"/>
      <c r="F138" s="57">
        <f>F137/F124</f>
        <v>2565.217391304348</v>
      </c>
      <c r="G138" s="58"/>
      <c r="H138" s="57">
        <f>H137/H124</f>
        <v>2761.9047619047619</v>
      </c>
      <c r="I138" s="58"/>
      <c r="J138" s="59">
        <f>J137/J124</f>
        <v>2739.1304347826085</v>
      </c>
      <c r="K138" s="60"/>
    </row>
    <row r="139" spans="2:11" ht="15.5" thickTop="1">
      <c r="B139" s="45"/>
      <c r="C139" s="46" t="s">
        <v>168</v>
      </c>
      <c r="D139" s="47"/>
      <c r="E139" s="61">
        <f>AVERAGE(F138:K138)</f>
        <v>2688.750862663906</v>
      </c>
      <c r="F139" s="62"/>
      <c r="G139" s="63"/>
      <c r="H139" s="62"/>
      <c r="I139" s="63"/>
      <c r="J139" s="64"/>
      <c r="K139" s="45"/>
    </row>
    <row r="140" spans="2:11">
      <c r="B140" s="25"/>
      <c r="C140" s="26" t="s">
        <v>169</v>
      </c>
      <c r="D140" s="36"/>
      <c r="E140" s="65">
        <f>E124*E139</f>
        <v>59152.518978605935</v>
      </c>
      <c r="F140" s="28"/>
      <c r="G140" s="29"/>
      <c r="H140" s="28"/>
      <c r="I140" s="29"/>
      <c r="J140" s="30"/>
      <c r="K140" s="25"/>
    </row>
    <row r="143" spans="2:11">
      <c r="B143" s="21" t="s">
        <v>170</v>
      </c>
    </row>
    <row r="144" spans="2:11">
      <c r="B144" s="2" t="s">
        <v>171</v>
      </c>
    </row>
    <row r="146" spans="2:4">
      <c r="B146" s="21" t="s">
        <v>172</v>
      </c>
    </row>
    <row r="147" spans="2:4">
      <c r="B147" s="2" t="s">
        <v>173</v>
      </c>
    </row>
    <row r="149" spans="2:4">
      <c r="B149" s="21" t="s">
        <v>174</v>
      </c>
    </row>
    <row r="150" spans="2:4">
      <c r="B150" s="2" t="s">
        <v>175</v>
      </c>
      <c r="D150" s="3" t="s">
        <v>176</v>
      </c>
    </row>
    <row r="151" spans="2:4">
      <c r="B151" s="2" t="s">
        <v>177</v>
      </c>
      <c r="D151" s="3" t="s">
        <v>178</v>
      </c>
    </row>
    <row r="152" spans="2:4">
      <c r="B152" s="2" t="s">
        <v>179</v>
      </c>
      <c r="D152" s="3" t="s">
        <v>180</v>
      </c>
    </row>
    <row r="154" spans="2:4">
      <c r="B154" s="2" t="s">
        <v>181</v>
      </c>
    </row>
    <row r="155" spans="2:4">
      <c r="B155" s="2" t="s">
        <v>182</v>
      </c>
    </row>
    <row r="156" spans="2:4">
      <c r="B156" s="2" t="s">
        <v>183</v>
      </c>
    </row>
    <row r="157" spans="2:4">
      <c r="B157" s="2" t="s">
        <v>184</v>
      </c>
    </row>
    <row r="158" spans="2:4">
      <c r="B158" s="2" t="s">
        <v>185</v>
      </c>
    </row>
    <row r="159" spans="2:4">
      <c r="B159" s="2" t="s">
        <v>186</v>
      </c>
    </row>
    <row r="161" spans="2:4">
      <c r="B161" s="1" t="s">
        <v>187</v>
      </c>
    </row>
    <row r="162" spans="2:4">
      <c r="B162" s="2" t="s">
        <v>188</v>
      </c>
    </row>
    <row r="163" spans="2:4">
      <c r="B163" s="2" t="s">
        <v>189</v>
      </c>
    </row>
    <row r="164" spans="2:4">
      <c r="B164" s="2" t="s">
        <v>190</v>
      </c>
    </row>
    <row r="165" spans="2:4">
      <c r="B165" s="2" t="s">
        <v>191</v>
      </c>
    </row>
    <row r="166" spans="2:4">
      <c r="B166" s="2" t="s">
        <v>192</v>
      </c>
    </row>
    <row r="167" spans="2:4">
      <c r="B167" s="2" t="s">
        <v>193</v>
      </c>
    </row>
    <row r="168" spans="2:4">
      <c r="B168" s="2" t="s">
        <v>194</v>
      </c>
    </row>
    <row r="169" spans="2:4">
      <c r="B169" s="2" t="s">
        <v>195</v>
      </c>
    </row>
    <row r="170" spans="2:4">
      <c r="B170" s="2" t="s">
        <v>196</v>
      </c>
    </row>
    <row r="172" spans="2:4">
      <c r="B172" s="2" t="s">
        <v>197</v>
      </c>
    </row>
    <row r="173" spans="2:4">
      <c r="B173" s="22" t="s">
        <v>198</v>
      </c>
      <c r="C173" s="22"/>
      <c r="D173" s="66" t="s">
        <v>199</v>
      </c>
    </row>
    <row r="174" spans="2:4">
      <c r="B174" s="22" t="s">
        <v>200</v>
      </c>
      <c r="C174" s="22"/>
      <c r="D174" s="66" t="s">
        <v>201</v>
      </c>
    </row>
    <row r="175" spans="2:4">
      <c r="B175" s="22" t="s">
        <v>202</v>
      </c>
      <c r="C175" s="22"/>
      <c r="D175" s="66" t="s">
        <v>203</v>
      </c>
    </row>
    <row r="176" spans="2:4">
      <c r="B176" s="22" t="s">
        <v>204</v>
      </c>
      <c r="C176" s="22"/>
      <c r="D176" s="66" t="s">
        <v>205</v>
      </c>
    </row>
    <row r="179" spans="2:2">
      <c r="B179" s="21" t="s">
        <v>206</v>
      </c>
    </row>
    <row r="180" spans="2:2">
      <c r="B180" s="2" t="s">
        <v>207</v>
      </c>
    </row>
    <row r="181" spans="2:2">
      <c r="B181" s="2" t="s">
        <v>208</v>
      </c>
    </row>
  </sheetData>
  <mergeCells count="44">
    <mergeCell ref="B175:C175"/>
    <mergeCell ref="B176:C176"/>
    <mergeCell ref="C137:D137"/>
    <mergeCell ref="C138:D138"/>
    <mergeCell ref="C139:D139"/>
    <mergeCell ref="C140:D140"/>
    <mergeCell ref="B173:C173"/>
    <mergeCell ref="B174:C174"/>
    <mergeCell ref="C131:D131"/>
    <mergeCell ref="C132:D132"/>
    <mergeCell ref="C133:D133"/>
    <mergeCell ref="C134:D134"/>
    <mergeCell ref="C135:D135"/>
    <mergeCell ref="C136:D136"/>
    <mergeCell ref="C125:D125"/>
    <mergeCell ref="C126:D126"/>
    <mergeCell ref="C127:D127"/>
    <mergeCell ref="C128:D128"/>
    <mergeCell ref="C129:D129"/>
    <mergeCell ref="C130:D130"/>
    <mergeCell ref="B94:E94"/>
    <mergeCell ref="F94:M94"/>
    <mergeCell ref="B95:E95"/>
    <mergeCell ref="F95:M95"/>
    <mergeCell ref="C123:D123"/>
    <mergeCell ref="C124:D124"/>
    <mergeCell ref="B89:E89"/>
    <mergeCell ref="F89:M89"/>
    <mergeCell ref="B92:E92"/>
    <mergeCell ref="F92:M92"/>
    <mergeCell ref="B93:E93"/>
    <mergeCell ref="F93:M93"/>
    <mergeCell ref="B86:E86"/>
    <mergeCell ref="F86:M86"/>
    <mergeCell ref="B87:E87"/>
    <mergeCell ref="F87:M87"/>
    <mergeCell ref="B88:E88"/>
    <mergeCell ref="F88:M88"/>
    <mergeCell ref="B83:E83"/>
    <mergeCell ref="F83:M83"/>
    <mergeCell ref="B84:E84"/>
    <mergeCell ref="F84:M84"/>
    <mergeCell ref="B85:E85"/>
    <mergeCell ref="F85:M85"/>
  </mergeCells>
  <phoneticPr fontId="3"/>
  <pageMargins left="0.25" right="0.25" top="0.75" bottom="0.75" header="0.3" footer="0.3"/>
  <pageSetup paperSize="9" scale="66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CF表(時系列)</vt:lpstr>
      <vt:lpstr>'CF表(時系列)'!Print_Area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TAKUYA SOEDA</dc:creator>
  <cp:lastModifiedBy>TAKUYA SOEDA</cp:lastModifiedBy>
  <dcterms:created xsi:type="dcterms:W3CDTF">2024-02-11T01:39:40Z</dcterms:created>
  <dcterms:modified xsi:type="dcterms:W3CDTF">2024-02-11T01:40:10Z</dcterms:modified>
</cp:coreProperties>
</file>