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19425" windowHeight="10305"/>
  </bookViews>
  <sheets>
    <sheet name="Sheet1" sheetId="1" r:id="rId1"/>
  </sheets>
  <definedNames>
    <definedName name="_xlnm.Print_Area" localSheetId="0">Sheet1!$E$8:$P$47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1" i="1" l="1"/>
  <c r="J41" i="1" s="1"/>
  <c r="G35" i="1"/>
  <c r="I35" i="1" s="1"/>
  <c r="G34" i="1"/>
  <c r="J34" i="1" s="1"/>
  <c r="G21" i="1"/>
  <c r="I21" i="1" s="1"/>
  <c r="G22" i="1"/>
  <c r="J22" i="1" s="1"/>
  <c r="G23" i="1"/>
  <c r="J23" i="1" s="1"/>
  <c r="G24" i="1"/>
  <c r="N24" i="1" s="1"/>
  <c r="G25" i="1"/>
  <c r="I25" i="1" s="1"/>
  <c r="G26" i="1"/>
  <c r="N26" i="1" s="1"/>
  <c r="I27" i="1"/>
  <c r="K27" i="1" s="1"/>
  <c r="I28" i="1"/>
  <c r="K28" i="1" s="1"/>
  <c r="I29" i="1"/>
  <c r="K29" i="1" s="1"/>
  <c r="I30" i="1"/>
  <c r="K30" i="1" s="1"/>
  <c r="N30" i="1" s="1"/>
  <c r="I31" i="1"/>
  <c r="I32" i="1"/>
  <c r="I33" i="1"/>
  <c r="J33" i="1" s="1"/>
  <c r="I36" i="1"/>
  <c r="G36" i="1" s="1"/>
  <c r="J36" i="1" s="1"/>
  <c r="I37" i="1"/>
  <c r="G37" i="1" s="1"/>
  <c r="J37" i="1" s="1"/>
  <c r="I38" i="1"/>
  <c r="G38" i="1" s="1"/>
  <c r="J38" i="1" s="1"/>
  <c r="I39" i="1"/>
  <c r="J39" i="1" s="1"/>
  <c r="I40" i="1"/>
  <c r="G40" i="1" s="1"/>
  <c r="N40" i="1" s="1"/>
  <c r="G20" i="1"/>
  <c r="K37" i="1" s="1"/>
  <c r="G19" i="1"/>
  <c r="N19" i="1" s="1"/>
  <c r="V32" i="1"/>
  <c r="V31" i="1"/>
  <c r="V30" i="1"/>
  <c r="V29" i="1"/>
  <c r="V28" i="1"/>
  <c r="V27" i="1"/>
  <c r="J25" i="1"/>
  <c r="J24" i="1" l="1"/>
  <c r="G30" i="1"/>
  <c r="J30" i="1" s="1"/>
  <c r="I24" i="1"/>
  <c r="I23" i="1"/>
  <c r="I22" i="1"/>
  <c r="N22" i="1"/>
  <c r="H41" i="1"/>
  <c r="G41" i="1"/>
  <c r="N25" i="1"/>
  <c r="N23" i="1"/>
  <c r="N36" i="1"/>
  <c r="I19" i="1"/>
  <c r="J19" i="1"/>
  <c r="N35" i="1"/>
  <c r="N34" i="1"/>
  <c r="I34" i="1"/>
  <c r="J21" i="1"/>
  <c r="I26" i="1"/>
  <c r="J26" i="1"/>
  <c r="N21" i="1"/>
  <c r="N27" i="1"/>
  <c r="J27" i="1"/>
  <c r="G27" i="1"/>
  <c r="H27" i="1" s="1"/>
  <c r="N28" i="1"/>
  <c r="G28" i="1"/>
  <c r="J28" i="1" s="1"/>
  <c r="G29" i="1"/>
  <c r="N29" i="1" s="1"/>
  <c r="G33" i="1"/>
  <c r="K33" i="1"/>
  <c r="N33" i="1"/>
  <c r="H33" i="1"/>
  <c r="H39" i="1"/>
  <c r="G39" i="1"/>
  <c r="N39" i="1" s="1"/>
  <c r="J40" i="1"/>
  <c r="H40" i="1"/>
  <c r="I20" i="1"/>
  <c r="J20" i="1"/>
  <c r="N20" i="1"/>
  <c r="K40" i="1"/>
  <c r="K38" i="1"/>
  <c r="K36" i="1"/>
  <c r="N38" i="1"/>
  <c r="N37" i="1"/>
  <c r="H38" i="1"/>
  <c r="H37" i="1"/>
  <c r="H36" i="1"/>
  <c r="H34" i="1"/>
  <c r="H26" i="1"/>
  <c r="H25" i="1"/>
  <c r="H24" i="1"/>
  <c r="H23" i="1"/>
  <c r="H22" i="1"/>
  <c r="H21" i="1"/>
  <c r="H20" i="1"/>
  <c r="H19" i="1"/>
  <c r="H30" i="1" l="1"/>
  <c r="K41" i="1"/>
  <c r="N41" i="1"/>
  <c r="H28" i="1"/>
  <c r="K39" i="1"/>
  <c r="K34" i="1"/>
  <c r="K26" i="1"/>
  <c r="K25" i="1"/>
  <c r="K24" i="1"/>
  <c r="K22" i="1"/>
  <c r="K23" i="1"/>
  <c r="K21" i="1"/>
  <c r="K20" i="1"/>
  <c r="K19" i="1"/>
  <c r="R15" i="1"/>
  <c r="J29" i="1" l="1"/>
  <c r="H29" i="1"/>
  <c r="J35" i="1" l="1"/>
  <c r="H35" i="1"/>
  <c r="K35" i="1"/>
  <c r="G31" i="1"/>
  <c r="K31" i="1" s="1"/>
  <c r="N31" i="1" l="1"/>
  <c r="H31" i="1"/>
  <c r="J31" i="1"/>
  <c r="G32" i="1"/>
  <c r="K32" i="1" s="1"/>
  <c r="N32" i="1" l="1"/>
  <c r="J32" i="1"/>
  <c r="H32" i="1"/>
</calcChain>
</file>

<file path=xl/sharedStrings.xml><?xml version="1.0" encoding="utf-8"?>
<sst xmlns="http://schemas.openxmlformats.org/spreadsheetml/2006/main" count="75" uniqueCount="54">
  <si>
    <t>L/H/C</t>
  </si>
  <si>
    <t>Result</t>
  </si>
  <si>
    <t>Parameter</t>
  </si>
  <si>
    <t>Remarks:</t>
  </si>
  <si>
    <t>Result Date:</t>
  </si>
  <si>
    <t>Result Time:</t>
  </si>
  <si>
    <t>Lab Director name &amp; sig.:</t>
  </si>
  <si>
    <t>Patient Date of Birth          :</t>
  </si>
  <si>
    <t>Patient Name                      :</t>
  </si>
  <si>
    <t>Patient Gender                    :</t>
  </si>
  <si>
    <t>Sample type                         :</t>
  </si>
  <si>
    <t xml:space="preserve">Measurement procedure  : </t>
  </si>
  <si>
    <t>:</t>
  </si>
  <si>
    <t xml:space="preserve">Requester Name    </t>
  </si>
  <si>
    <t>Requester phone no.</t>
  </si>
  <si>
    <t xml:space="preserve">Sample serial No. </t>
  </si>
  <si>
    <t xml:space="preserve">Sample Date  </t>
  </si>
  <si>
    <t>mg/dL</t>
  </si>
  <si>
    <t>µkat/L</t>
  </si>
  <si>
    <t>g/dL</t>
  </si>
  <si>
    <t xml:space="preserve">mg/dL </t>
  </si>
  <si>
    <t>Conventional Unit</t>
  </si>
  <si>
    <t xml:space="preserve"> SI Unit</t>
  </si>
  <si>
    <t>Serum</t>
  </si>
  <si>
    <t>mEq/L</t>
  </si>
  <si>
    <t xml:space="preserve">Normal Range
</t>
  </si>
  <si>
    <t>Automated Analyzer</t>
  </si>
  <si>
    <t>mmol/L</t>
  </si>
  <si>
    <t>AST</t>
  </si>
  <si>
    <t>ALT</t>
  </si>
  <si>
    <t>ALK</t>
  </si>
  <si>
    <t>LDH</t>
  </si>
  <si>
    <t>GGT</t>
  </si>
  <si>
    <t>K</t>
  </si>
  <si>
    <t>Cl</t>
  </si>
  <si>
    <t>T.chol</t>
  </si>
  <si>
    <t>Tri</t>
  </si>
  <si>
    <t>HDL</t>
  </si>
  <si>
    <t>LDL</t>
  </si>
  <si>
    <t>creatinine</t>
  </si>
  <si>
    <t>Urea</t>
  </si>
  <si>
    <t>Uric acid</t>
  </si>
  <si>
    <t>T.Protien</t>
  </si>
  <si>
    <t>Albumin</t>
  </si>
  <si>
    <t>Calcium</t>
  </si>
  <si>
    <t>Phosphours</t>
  </si>
  <si>
    <t>Magnesium</t>
  </si>
  <si>
    <t>Bilirubin Total</t>
  </si>
  <si>
    <t>Bilirubin Direct</t>
  </si>
  <si>
    <t>Na</t>
  </si>
  <si>
    <t>Glucose</t>
  </si>
  <si>
    <t>Lab Supervisor name &amp; sig.:</t>
  </si>
  <si>
    <t>REVISED Chemistry Report</t>
  </si>
  <si>
    <t>Original Report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</si>
</sst>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8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Times New Roman"/>
      <family val="1"/>
    </font>
    <font>
      <b/>
      <sz val="14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1"/>
      <color rgb="FFFF0000"/>
      <name val="Arial"/>
      <family val="2"/>
      <scheme val="minor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FF0000"/>
      </left>
      <right style="medium">
        <color auto="1"/>
      </right>
      <top style="medium">
        <color rgb="FFFF0000"/>
      </top>
      <bottom style="dashed">
        <color rgb="FFFF0000"/>
      </bottom>
      <diagonal/>
    </border>
    <border>
      <left style="medium">
        <color rgb="FFFF0000"/>
      </left>
      <right style="medium">
        <color auto="1"/>
      </right>
      <top style="dashed">
        <color rgb="FFFF0000"/>
      </top>
      <bottom style="dashed">
        <color rgb="FFFF0000"/>
      </bottom>
      <diagonal/>
    </border>
    <border>
      <left style="medium">
        <color rgb="FFFF0000"/>
      </left>
      <right style="medium">
        <color auto="1"/>
      </right>
      <top/>
      <bottom style="medium">
        <color rgb="FFFF0000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4" fillId="0" borderId="0" xfId="0" applyFont="1" applyAlignment="1">
      <alignment horizont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3" fillId="2" borderId="3" xfId="0" applyFont="1" applyFill="1" applyBorder="1" applyAlignment="1" applyProtection="1">
      <alignment horizontal="center" vertical="center" wrapText="1" readingOrder="2"/>
      <protection hidden="1"/>
    </xf>
    <xf numFmtId="0" fontId="0" fillId="0" borderId="9" xfId="0" applyFont="1" applyBorder="1" applyAlignment="1" applyProtection="1">
      <alignment horizontal="center" vertical="center"/>
      <protection hidden="1"/>
    </xf>
    <xf numFmtId="0" fontId="0" fillId="0" borderId="7" xfId="0" applyFont="1" applyBorder="1" applyAlignment="1" applyProtection="1">
      <alignment horizontal="center" vertical="center"/>
      <protection hidden="1"/>
    </xf>
    <xf numFmtId="0" fontId="0" fillId="0" borderId="8" xfId="0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wrapText="1"/>
      <protection locked="0"/>
    </xf>
    <xf numFmtId="0" fontId="0" fillId="0" borderId="10" xfId="0" applyBorder="1" applyAlignment="1" applyProtection="1">
      <alignment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0" xfId="0" applyAlignment="1" applyProtection="1">
      <alignment wrapText="1"/>
    </xf>
    <xf numFmtId="0" fontId="3" fillId="2" borderId="5" xfId="0" applyFont="1" applyFill="1" applyBorder="1" applyAlignment="1" applyProtection="1">
      <alignment horizontal="center" vertical="center" wrapText="1" readingOrder="2"/>
      <protection hidden="1"/>
    </xf>
    <xf numFmtId="0" fontId="0" fillId="0" borderId="14" xfId="0" applyFont="1" applyBorder="1" applyAlignment="1" applyProtection="1">
      <alignment horizontal="center" vertical="center"/>
      <protection hidden="1"/>
    </xf>
    <xf numFmtId="0" fontId="0" fillId="0" borderId="0" xfId="0" applyBorder="1" applyAlignment="1">
      <alignment wrapText="1"/>
    </xf>
    <xf numFmtId="0" fontId="3" fillId="0" borderId="14" xfId="0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Fill="1" applyBorder="1" applyAlignment="1" applyProtection="1">
      <alignment vertical="center" wrapText="1" readingOrder="2"/>
      <protection hidden="1"/>
    </xf>
    <xf numFmtId="14" fontId="0" fillId="0" borderId="0" xfId="0" applyNumberFormat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vertical="center" wrapText="1"/>
      <protection locked="0"/>
    </xf>
    <xf numFmtId="164" fontId="0" fillId="0" borderId="0" xfId="0" applyNumberFormat="1" applyAlignment="1">
      <alignment wrapText="1"/>
    </xf>
    <xf numFmtId="0" fontId="0" fillId="0" borderId="17" xfId="0" applyBorder="1" applyAlignment="1" applyProtection="1">
      <alignment horizontal="left" vertical="center" wrapText="1"/>
      <protection hidden="1"/>
    </xf>
    <xf numFmtId="0" fontId="0" fillId="0" borderId="14" xfId="0" applyFont="1" applyBorder="1" applyAlignment="1" applyProtection="1">
      <alignment horizontal="center" vertical="center" wrapText="1"/>
      <protection hidden="1"/>
    </xf>
    <xf numFmtId="164" fontId="0" fillId="0" borderId="14" xfId="0" applyNumberFormat="1" applyFont="1" applyBorder="1" applyAlignment="1" applyProtection="1">
      <alignment horizontal="center" vertical="center"/>
      <protection hidden="1"/>
    </xf>
    <xf numFmtId="164" fontId="6" fillId="0" borderId="0" xfId="0" applyNumberFormat="1" applyFont="1"/>
    <xf numFmtId="0" fontId="7" fillId="0" borderId="0" xfId="0" applyFont="1"/>
    <xf numFmtId="164" fontId="7" fillId="0" borderId="0" xfId="0" applyNumberFormat="1" applyFont="1"/>
    <xf numFmtId="165" fontId="7" fillId="0" borderId="0" xfId="0" applyNumberFormat="1" applyFont="1"/>
    <xf numFmtId="2" fontId="0" fillId="0" borderId="20" xfId="0" applyNumberFormat="1" applyFont="1" applyFill="1" applyBorder="1" applyAlignment="1" applyProtection="1">
      <alignment horizontal="center" vertical="center"/>
      <protection hidden="1"/>
    </xf>
    <xf numFmtId="0" fontId="0" fillId="0" borderId="1" xfId="0" applyFont="1" applyFill="1" applyBorder="1" applyAlignment="1" applyProtection="1">
      <alignment horizontal="center" vertical="center"/>
      <protection hidden="1"/>
    </xf>
    <xf numFmtId="0" fontId="0" fillId="0" borderId="22" xfId="0" applyFont="1" applyFill="1" applyBorder="1" applyAlignment="1" applyProtection="1">
      <alignment horizontal="center" vertical="center"/>
      <protection hidden="1"/>
    </xf>
    <xf numFmtId="0" fontId="0" fillId="0" borderId="25" xfId="0" applyFont="1" applyFill="1" applyBorder="1" applyAlignment="1" applyProtection="1">
      <alignment horizontal="center" vertical="center"/>
      <protection hidden="1"/>
    </xf>
    <xf numFmtId="2" fontId="0" fillId="0" borderId="14" xfId="0" applyNumberFormat="1" applyFont="1" applyBorder="1" applyAlignment="1" applyProtection="1">
      <alignment horizontal="center" vertical="center"/>
      <protection hidden="1"/>
    </xf>
    <xf numFmtId="0" fontId="0" fillId="0" borderId="0" xfId="0" applyAlignment="1">
      <alignment vertical="center" wrapText="1"/>
    </xf>
    <xf numFmtId="2" fontId="0" fillId="0" borderId="0" xfId="0" applyNumberFormat="1" applyBorder="1" applyAlignment="1">
      <alignment wrapText="1"/>
    </xf>
    <xf numFmtId="0" fontId="0" fillId="0" borderId="11" xfId="0" applyFont="1" applyFill="1" applyBorder="1" applyAlignment="1" applyProtection="1">
      <alignment horizontal="center" vertical="center"/>
      <protection hidden="1"/>
    </xf>
    <xf numFmtId="2" fontId="0" fillId="0" borderId="19" xfId="0" applyNumberFormat="1" applyFont="1" applyFill="1" applyBorder="1" applyAlignment="1" applyProtection="1">
      <alignment horizontal="center" vertical="center"/>
      <protection hidden="1"/>
    </xf>
    <xf numFmtId="0" fontId="0" fillId="0" borderId="21" xfId="0" applyFont="1" applyFill="1" applyBorder="1" applyAlignment="1" applyProtection="1">
      <alignment horizontal="center" vertical="center"/>
      <protection hidden="1"/>
    </xf>
    <xf numFmtId="2" fontId="0" fillId="0" borderId="20" xfId="0" applyNumberFormat="1" applyFont="1" applyFill="1" applyBorder="1" applyAlignment="1" applyProtection="1">
      <alignment horizontal="center" vertical="center" wrapText="1"/>
      <protection hidden="1"/>
    </xf>
    <xf numFmtId="2" fontId="0" fillId="0" borderId="23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4" xfId="0" applyFont="1" applyFill="1" applyBorder="1" applyAlignment="1" applyProtection="1">
      <alignment horizontal="center" vertical="center"/>
      <protection hidden="1"/>
    </xf>
    <xf numFmtId="0" fontId="0" fillId="0" borderId="0" xfId="0" applyFont="1" applyBorder="1" applyAlignment="1" applyProtection="1">
      <alignment horizontal="center" vertical="center"/>
      <protection hidden="1"/>
    </xf>
    <xf numFmtId="0" fontId="0" fillId="0" borderId="28" xfId="0" applyBorder="1" applyAlignment="1" applyProtection="1">
      <alignment horizontal="center" vertical="center" wrapText="1"/>
      <protection locked="0"/>
    </xf>
    <xf numFmtId="0" fontId="0" fillId="0" borderId="26" xfId="0" applyBorder="1" applyAlignment="1" applyProtection="1">
      <alignment horizontal="center" vertical="center" wrapText="1"/>
      <protection locked="0"/>
    </xf>
    <xf numFmtId="0" fontId="0" fillId="0" borderId="27" xfId="0" applyBorder="1" applyAlignment="1" applyProtection="1">
      <alignment horizontal="center" vertical="center" wrapText="1"/>
      <protection locked="0"/>
    </xf>
    <xf numFmtId="0" fontId="1" fillId="0" borderId="2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20" xfId="0" applyFont="1" applyBorder="1" applyAlignment="1" applyProtection="1">
      <alignment horizontal="center" vertical="center" wrapText="1"/>
      <protection hidden="1"/>
    </xf>
    <xf numFmtId="0" fontId="0" fillId="0" borderId="1" xfId="0" applyFont="1" applyBorder="1" applyAlignment="1" applyProtection="1">
      <alignment horizontal="center" vertical="center" wrapText="1"/>
      <protection hidden="1"/>
    </xf>
    <xf numFmtId="0" fontId="0" fillId="0" borderId="22" xfId="0" applyFont="1" applyBorder="1" applyAlignment="1" applyProtection="1">
      <alignment horizontal="center" vertical="center" wrapText="1"/>
      <protection hidden="1"/>
    </xf>
    <xf numFmtId="0" fontId="3" fillId="2" borderId="3" xfId="0" applyFont="1" applyFill="1" applyBorder="1" applyAlignment="1" applyProtection="1">
      <alignment horizontal="center" vertical="center" wrapText="1" readingOrder="2"/>
      <protection hidden="1"/>
    </xf>
    <xf numFmtId="0" fontId="3" fillId="2" borderId="4" xfId="0" applyFont="1" applyFill="1" applyBorder="1" applyAlignment="1" applyProtection="1">
      <alignment horizontal="center" vertical="center" wrapText="1" readingOrder="2"/>
      <protection hidden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3" fillId="2" borderId="5" xfId="0" applyFont="1" applyFill="1" applyBorder="1" applyAlignment="1" applyProtection="1">
      <alignment horizontal="center" vertical="center" wrapText="1" readingOrder="2"/>
      <protection hidden="1"/>
    </xf>
    <xf numFmtId="0" fontId="0" fillId="0" borderId="19" xfId="0" applyFont="1" applyBorder="1" applyAlignment="1" applyProtection="1">
      <alignment horizontal="center" vertical="center" wrapText="1"/>
      <protection hidden="1"/>
    </xf>
    <xf numFmtId="0" fontId="0" fillId="0" borderId="11" xfId="0" applyFont="1" applyBorder="1" applyAlignment="1" applyProtection="1">
      <alignment horizontal="center" vertical="center" wrapText="1"/>
      <protection hidden="1"/>
    </xf>
    <xf numFmtId="0" fontId="0" fillId="0" borderId="21" xfId="0" applyFont="1" applyBorder="1" applyAlignment="1" applyProtection="1">
      <alignment horizontal="center" vertical="center" wrapText="1"/>
      <protection hidden="1"/>
    </xf>
    <xf numFmtId="0" fontId="1" fillId="0" borderId="12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4" fillId="0" borderId="0" xfId="0" applyFont="1" applyAlignment="1">
      <alignment horizontal="center" wrapText="1"/>
    </xf>
    <xf numFmtId="0" fontId="0" fillId="0" borderId="0" xfId="0" applyBorder="1" applyAlignment="1" applyProtection="1">
      <alignment horizontal="left" vertical="center" wrapText="1"/>
      <protection locked="0"/>
    </xf>
    <xf numFmtId="0" fontId="0" fillId="0" borderId="15" xfId="0" applyBorder="1" applyAlignment="1" applyProtection="1">
      <alignment horizontal="left" vertical="center" wrapText="1"/>
      <protection locked="0"/>
    </xf>
    <xf numFmtId="0" fontId="0" fillId="0" borderId="6" xfId="0" applyBorder="1" applyAlignment="1" applyProtection="1">
      <alignment horizontal="left" vertical="center" wrapText="1"/>
      <protection locked="0"/>
    </xf>
    <xf numFmtId="0" fontId="0" fillId="0" borderId="13" xfId="0" applyBorder="1" applyAlignment="1" applyProtection="1">
      <alignment horizontal="left" vertical="center" wrapText="1"/>
      <protection locked="0"/>
    </xf>
    <xf numFmtId="14" fontId="0" fillId="0" borderId="0" xfId="0" applyNumberFormat="1" applyBorder="1" applyAlignment="1" applyProtection="1">
      <alignment horizontal="left" vertical="center" wrapText="1"/>
      <protection locked="0"/>
    </xf>
    <xf numFmtId="0" fontId="0" fillId="0" borderId="17" xfId="0" applyBorder="1" applyAlignment="1" applyProtection="1">
      <alignment horizontal="left" vertical="center" wrapText="1"/>
      <protection locked="0"/>
    </xf>
    <xf numFmtId="0" fontId="0" fillId="0" borderId="18" xfId="0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 readingOrder="1"/>
      <protection hidden="1"/>
    </xf>
    <xf numFmtId="0" fontId="3" fillId="2" borderId="5" xfId="0" applyFont="1" applyFill="1" applyBorder="1" applyAlignment="1" applyProtection="1">
      <alignment horizontal="center" vertical="center" wrapText="1" readingOrder="1"/>
      <protection hidden="1"/>
    </xf>
    <xf numFmtId="0" fontId="3" fillId="2" borderId="4" xfId="0" applyFont="1" applyFill="1" applyBorder="1" applyAlignment="1" applyProtection="1">
      <alignment horizontal="center" vertical="center" wrapText="1" readingOrder="1"/>
      <protection hidden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 applyProtection="1">
      <alignment horizontal="left" vertical="top" wrapText="1"/>
      <protection locked="0"/>
    </xf>
    <xf numFmtId="0" fontId="0" fillId="0" borderId="5" xfId="0" applyBorder="1" applyAlignment="1" applyProtection="1">
      <alignment horizontal="left" vertical="top" wrapText="1"/>
      <protection locked="0"/>
    </xf>
    <xf numFmtId="0" fontId="0" fillId="0" borderId="4" xfId="0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center" wrapText="1"/>
      <protection hidden="1"/>
    </xf>
    <xf numFmtId="0" fontId="0" fillId="0" borderId="17" xfId="0" applyBorder="1" applyAlignment="1" applyProtection="1">
      <alignment horizontal="left" vertical="center" wrapText="1"/>
      <protection hidden="1"/>
    </xf>
    <xf numFmtId="0" fontId="5" fillId="0" borderId="23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0" fillId="0" borderId="23" xfId="0" applyFont="1" applyBorder="1" applyAlignment="1" applyProtection="1">
      <alignment horizontal="center" vertical="center" wrapText="1"/>
      <protection hidden="1"/>
    </xf>
    <xf numFmtId="0" fontId="0" fillId="0" borderId="24" xfId="0" applyFont="1" applyBorder="1" applyAlignment="1" applyProtection="1">
      <alignment horizontal="center" vertical="center" wrapText="1"/>
      <protection hidden="1"/>
    </xf>
    <xf numFmtId="0" fontId="0" fillId="0" borderId="25" xfId="0" applyFont="1" applyBorder="1" applyAlignment="1" applyProtection="1">
      <alignment horizontal="center" vertical="center" wrapText="1"/>
      <protection hidden="1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20" fontId="0" fillId="0" borderId="3" xfId="0" applyNumberFormat="1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4" xfId="0" applyBorder="1" applyAlignment="1" applyProtection="1">
      <alignment horizontal="center" wrapText="1"/>
      <protection locked="0"/>
    </xf>
  </cellXfs>
  <cellStyles count="1">
    <cellStyle name="Normal" xfId="0" builtinId="0"/>
  </cellStyles>
  <dxfs count="68">
    <dxf>
      <font>
        <b/>
        <i val="0"/>
        <color rgb="FF00B050"/>
      </font>
    </dxf>
    <dxf>
      <font>
        <b/>
        <i val="0"/>
        <color rgb="FFFF3399"/>
      </font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92D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257175</xdr:colOff>
          <xdr:row>7</xdr:row>
          <xdr:rowOff>28575</xdr:rowOff>
        </xdr:from>
        <xdr:to>
          <xdr:col>6</xdr:col>
          <xdr:colOff>552450</xdr:colOff>
          <xdr:row>10</xdr:row>
          <xdr:rowOff>28575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577214</xdr:colOff>
      <xdr:row>10</xdr:row>
      <xdr:rowOff>47625</xdr:rowOff>
    </xdr:from>
    <xdr:to>
      <xdr:col>16</xdr:col>
      <xdr:colOff>13781</xdr:colOff>
      <xdr:row>10</xdr:row>
      <xdr:rowOff>47625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2398478" y="1973559"/>
          <a:ext cx="8138160" cy="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D8:X47"/>
  <sheetViews>
    <sheetView showGridLines="0" tabSelected="1" zoomScale="90" zoomScaleNormal="90" workbookViewId="0">
      <selection activeCell="AA16" sqref="AA16"/>
    </sheetView>
  </sheetViews>
  <sheetFormatPr defaultColWidth="8.75" defaultRowHeight="14.25" x14ac:dyDescent="0.2"/>
  <cols>
    <col min="1" max="4" width="8.75" style="1"/>
    <col min="5" max="5" width="12.75" style="1" customWidth="1"/>
    <col min="6" max="6" width="12.125" style="1" customWidth="1"/>
    <col min="7" max="7" width="11.25" style="1" customWidth="1"/>
    <col min="8" max="8" width="11.375" style="1" customWidth="1"/>
    <col min="9" max="9" width="10.5" style="1" customWidth="1"/>
    <col min="10" max="10" width="10.125" style="1" customWidth="1"/>
    <col min="11" max="11" width="18.5" style="1" customWidth="1"/>
    <col min="12" max="12" width="3.25" style="1" customWidth="1"/>
    <col min="13" max="13" width="4.375" style="1" customWidth="1"/>
    <col min="14" max="14" width="8.5" style="1" customWidth="1"/>
    <col min="15" max="15" width="1.75" style="1" customWidth="1"/>
    <col min="16" max="16" width="10.875" style="1" customWidth="1"/>
    <col min="17" max="17" width="10.25" style="1" hidden="1" customWidth="1"/>
    <col min="18" max="18" width="16.5" style="1" hidden="1" customWidth="1"/>
    <col min="19" max="19" width="0" style="1" hidden="1" customWidth="1"/>
    <col min="20" max="21" width="11.375" style="1" hidden="1" customWidth="1"/>
    <col min="22" max="22" width="11.375" style="25" hidden="1" customWidth="1"/>
    <col min="23" max="23" width="9.5" style="1" hidden="1" customWidth="1"/>
    <col min="24" max="24" width="8.75" style="1" hidden="1" customWidth="1"/>
    <col min="25" max="26" width="0" style="1" hidden="1" customWidth="1"/>
    <col min="27" max="16384" width="8.75" style="1"/>
  </cols>
  <sheetData>
    <row r="8" spans="5:18" ht="19.5" customHeight="1" x14ac:dyDescent="0.2"/>
    <row r="9" spans="5:18" ht="18" x14ac:dyDescent="0.25">
      <c r="K9" s="71" t="s">
        <v>52</v>
      </c>
      <c r="L9" s="71"/>
      <c r="M9" s="71"/>
      <c r="N9" s="71"/>
      <c r="O9" s="4"/>
      <c r="P9" s="2"/>
      <c r="Q9" s="2"/>
    </row>
    <row r="11" spans="5:18" ht="15" thickBot="1" x14ac:dyDescent="0.25"/>
    <row r="12" spans="5:18" ht="29.1" customHeight="1" x14ac:dyDescent="0.2">
      <c r="E12" s="65" t="s">
        <v>8</v>
      </c>
      <c r="F12" s="66"/>
      <c r="G12" s="74"/>
      <c r="H12" s="74"/>
      <c r="I12" s="74"/>
      <c r="J12" s="74"/>
      <c r="K12" s="66" t="s">
        <v>13</v>
      </c>
      <c r="L12" s="66"/>
      <c r="M12" s="5" t="s">
        <v>12</v>
      </c>
      <c r="N12" s="74"/>
      <c r="O12" s="74"/>
      <c r="P12" s="75"/>
    </row>
    <row r="13" spans="5:18" ht="29.1" customHeight="1" x14ac:dyDescent="0.2">
      <c r="E13" s="67" t="s">
        <v>7</v>
      </c>
      <c r="F13" s="68"/>
      <c r="G13" s="76"/>
      <c r="H13" s="76"/>
      <c r="I13" s="76"/>
      <c r="J13" s="23"/>
      <c r="K13" s="68" t="s">
        <v>14</v>
      </c>
      <c r="L13" s="68"/>
      <c r="M13" s="6" t="s">
        <v>12</v>
      </c>
      <c r="N13" s="72"/>
      <c r="O13" s="72"/>
      <c r="P13" s="73"/>
    </row>
    <row r="14" spans="5:18" ht="29.1" customHeight="1" x14ac:dyDescent="0.2">
      <c r="E14" s="67" t="s">
        <v>9</v>
      </c>
      <c r="F14" s="68"/>
      <c r="G14" s="72"/>
      <c r="H14" s="72"/>
      <c r="I14" s="72"/>
      <c r="J14" s="24"/>
      <c r="K14" s="68" t="s">
        <v>15</v>
      </c>
      <c r="L14" s="68"/>
      <c r="M14" s="6" t="s">
        <v>12</v>
      </c>
      <c r="N14" s="72"/>
      <c r="O14" s="72"/>
      <c r="P14" s="73"/>
    </row>
    <row r="15" spans="5:18" ht="29.1" customHeight="1" x14ac:dyDescent="0.2">
      <c r="E15" s="67" t="s">
        <v>10</v>
      </c>
      <c r="F15" s="68"/>
      <c r="G15" s="87" t="s">
        <v>23</v>
      </c>
      <c r="H15" s="87"/>
      <c r="I15" s="87"/>
      <c r="J15" s="24"/>
      <c r="K15" s="68" t="s">
        <v>16</v>
      </c>
      <c r="L15" s="68"/>
      <c r="M15" s="6" t="s">
        <v>12</v>
      </c>
      <c r="N15" s="76"/>
      <c r="O15" s="72"/>
      <c r="P15" s="73"/>
      <c r="R15" s="3">
        <f>(N15-G13)/365</f>
        <v>0</v>
      </c>
    </row>
    <row r="16" spans="5:18" ht="29.1" customHeight="1" thickBot="1" x14ac:dyDescent="0.25">
      <c r="E16" s="69" t="s">
        <v>11</v>
      </c>
      <c r="F16" s="70"/>
      <c r="G16" s="88" t="s">
        <v>26</v>
      </c>
      <c r="H16" s="88"/>
      <c r="I16" s="88"/>
      <c r="J16" s="26"/>
      <c r="K16" s="70" t="s">
        <v>53</v>
      </c>
      <c r="L16" s="70"/>
      <c r="M16" s="7" t="s">
        <v>12</v>
      </c>
      <c r="N16" s="77"/>
      <c r="O16" s="77"/>
      <c r="P16" s="78"/>
    </row>
    <row r="17" spans="4:23" ht="22.5" customHeight="1" thickBot="1" x14ac:dyDescent="0.25"/>
    <row r="18" spans="4:23" ht="25.5" customHeight="1" thickBot="1" x14ac:dyDescent="0.25">
      <c r="E18" s="57" t="s">
        <v>2</v>
      </c>
      <c r="F18" s="58"/>
      <c r="G18" s="9" t="s">
        <v>1</v>
      </c>
      <c r="H18" s="18" t="s">
        <v>22</v>
      </c>
      <c r="I18" s="57" t="s">
        <v>21</v>
      </c>
      <c r="J18" s="58"/>
      <c r="K18" s="57" t="s">
        <v>0</v>
      </c>
      <c r="L18" s="61"/>
      <c r="M18" s="58"/>
      <c r="N18" s="79" t="s">
        <v>25</v>
      </c>
      <c r="O18" s="80"/>
      <c r="P18" s="81"/>
      <c r="Q18" s="21"/>
      <c r="R18" s="22"/>
    </row>
    <row r="19" spans="4:23" ht="27.95" customHeight="1" x14ac:dyDescent="0.2">
      <c r="D19" s="48"/>
      <c r="E19" s="59" t="s">
        <v>28</v>
      </c>
      <c r="F19" s="60"/>
      <c r="G19" s="33" t="str">
        <f>IF(D19="","",D19)</f>
        <v/>
      </c>
      <c r="H19" s="40" t="str">
        <f>IF(G19="","","U/L")</f>
        <v/>
      </c>
      <c r="I19" s="41" t="str">
        <f>IF(G19="","",(G19*V19))</f>
        <v/>
      </c>
      <c r="J19" s="42" t="str">
        <f>IF(G19="","",W19)</f>
        <v/>
      </c>
      <c r="K19" s="62" t="str">
        <f>IF(G19="","",IF(AND($G$14="male",G19&gt;40),"High",IF(AND($G$14="Female",G19&gt;32),"High","Normal")))</f>
        <v/>
      </c>
      <c r="L19" s="63"/>
      <c r="M19" s="64"/>
      <c r="N19" s="62" t="str">
        <f>IF(G19="","",IF($G$14="Male","         Up to 40 U/L         Up to 0.67 μkat/L","         Up to 32U/L         Up to .53 μkat/L"))</f>
        <v/>
      </c>
      <c r="O19" s="63"/>
      <c r="P19" s="64"/>
      <c r="Q19" s="28"/>
      <c r="R19" s="20"/>
      <c r="V19" s="29">
        <v>1.67E-2</v>
      </c>
      <c r="W19" s="10" t="s">
        <v>18</v>
      </c>
    </row>
    <row r="20" spans="4:23" ht="27.95" customHeight="1" x14ac:dyDescent="0.2">
      <c r="D20" s="49"/>
      <c r="E20" s="50" t="s">
        <v>29</v>
      </c>
      <c r="F20" s="51"/>
      <c r="G20" s="33" t="str">
        <f>IF(D20="","",D20)</f>
        <v/>
      </c>
      <c r="H20" s="34" t="str">
        <f>IF(G20="","","U/L")</f>
        <v/>
      </c>
      <c r="I20" s="33" t="str">
        <f>IF(G20="","",(G20*V20))</f>
        <v/>
      </c>
      <c r="J20" s="35" t="str">
        <f>IF(G20="","",W20)</f>
        <v/>
      </c>
      <c r="K20" s="54" t="str">
        <f>IF(G20="","",IF(AND($G$14="male",G20&gt;41),"High",IF(AND($G$14="Female",G20&gt;33),"High","Normal")))</f>
        <v/>
      </c>
      <c r="L20" s="55"/>
      <c r="M20" s="56"/>
      <c r="N20" s="54" t="str">
        <f>IF(G20="","",IF($G$14="Male","         Up to 41 U/L         Up to 0.68","         Up to 33 U/L         Up to 0.55"))</f>
        <v/>
      </c>
      <c r="O20" s="55"/>
      <c r="P20" s="56"/>
      <c r="Q20" s="19"/>
      <c r="R20" s="20"/>
      <c r="S20" s="3"/>
      <c r="V20" s="31">
        <v>1.67E-2</v>
      </c>
      <c r="W20" s="11" t="s">
        <v>18</v>
      </c>
    </row>
    <row r="21" spans="4:23" ht="27.95" customHeight="1" x14ac:dyDescent="0.2">
      <c r="D21" s="49"/>
      <c r="E21" s="50" t="s">
        <v>30</v>
      </c>
      <c r="F21" s="51"/>
      <c r="G21" s="33" t="str">
        <f t="shared" ref="G21:G26" si="0">IF(D21="","",D21)</f>
        <v/>
      </c>
      <c r="H21" s="34" t="str">
        <f>IF(G21="","","U/L")</f>
        <v/>
      </c>
      <c r="I21" s="33" t="str">
        <f t="shared" ref="I21:I26" si="1">IF(G21="","",(G21*V21))</f>
        <v/>
      </c>
      <c r="J21" s="35" t="str">
        <f t="shared" ref="J21:J38" si="2">IF(G21="","",W21)</f>
        <v/>
      </c>
      <c r="K21" s="54" t="str">
        <f>IF(G21="","",IF(AND($G$14="male",G21&lt;40),"Low",IF(AND($G$14="male",G21&gt;129),"High",IF(AND($G$14="female",G21&lt;35),"Low",IF(AND($G$14="female",G21&gt;104),"High","Normal")))))</f>
        <v/>
      </c>
      <c r="L21" s="55"/>
      <c r="M21" s="56"/>
      <c r="N21" s="54" t="str">
        <f>IF(G21="","",IF($G$14="Male","    40   –   129  U/L          0.67 - 2.15 µkat/L","   35   –   104  U/L        0.58 - 1.74 µkat/L"))</f>
        <v/>
      </c>
      <c r="O21" s="55"/>
      <c r="P21" s="56"/>
      <c r="Q21" s="19"/>
      <c r="R21" s="20"/>
      <c r="S21" s="3"/>
      <c r="V21" s="29">
        <v>1.67E-2</v>
      </c>
      <c r="W21" s="11" t="s">
        <v>18</v>
      </c>
    </row>
    <row r="22" spans="4:23" ht="27.95" customHeight="1" x14ac:dyDescent="0.2">
      <c r="D22" s="49"/>
      <c r="E22" s="50" t="s">
        <v>31</v>
      </c>
      <c r="F22" s="51"/>
      <c r="G22" s="33" t="str">
        <f t="shared" si="0"/>
        <v/>
      </c>
      <c r="H22" s="34" t="str">
        <f>IF(G22="","","U/L")</f>
        <v/>
      </c>
      <c r="I22" s="33" t="str">
        <f t="shared" si="1"/>
        <v/>
      </c>
      <c r="J22" s="35" t="str">
        <f t="shared" si="2"/>
        <v/>
      </c>
      <c r="K22" s="54" t="str">
        <f>IF(G22="","",IF(AND($G$14="male",G22&lt;135),"Low",IF(AND($G$14="male",G22&gt;225),"High",IF(AND($G$14="female",G22&lt;135),"Low",IF(AND($G$14="female",G22&gt;214),"High","Normal")))))</f>
        <v/>
      </c>
      <c r="L22" s="55"/>
      <c r="M22" s="56"/>
      <c r="N22" s="54" t="str">
        <f>IF(G22="","",IF($G$14="Male","    135   –   225  U/L     2.25 - 3.76 µkat/L","    135   –   214  U/L     2.25 - 3.57 µkat/L"))</f>
        <v/>
      </c>
      <c r="O22" s="55"/>
      <c r="P22" s="56"/>
      <c r="Q22" s="19"/>
      <c r="R22" s="20"/>
      <c r="V22" s="29">
        <v>1.67E-2</v>
      </c>
      <c r="W22" s="11" t="s">
        <v>18</v>
      </c>
    </row>
    <row r="23" spans="4:23" ht="27.95" customHeight="1" x14ac:dyDescent="0.2">
      <c r="D23" s="49"/>
      <c r="E23" s="50" t="s">
        <v>32</v>
      </c>
      <c r="F23" s="51"/>
      <c r="G23" s="33" t="str">
        <f t="shared" si="0"/>
        <v/>
      </c>
      <c r="H23" s="34" t="str">
        <f>IF(G23="","","U/L")</f>
        <v/>
      </c>
      <c r="I23" s="33" t="str">
        <f t="shared" si="1"/>
        <v/>
      </c>
      <c r="J23" s="35" t="str">
        <f t="shared" si="2"/>
        <v/>
      </c>
      <c r="K23" s="54" t="str">
        <f>IF(G23="","",IF(AND($G$14="male",G23&lt;8),"Low",IF(AND($G$14="male",G23&gt;61),"High",IF(AND($G$14="female",G23&lt;5),"Low",IF(AND($G$14="female",G23&gt;36),"High","Normal")))))</f>
        <v/>
      </c>
      <c r="L23" s="55"/>
      <c r="M23" s="56"/>
      <c r="N23" s="54" t="str">
        <f>IF(G23="","",IF($G$14="Male","       8   –   61  U/L          0.13 - 1.02 µkat/L","      5   –   36  U/L        0.08 - 0.60 µkat/L"))</f>
        <v/>
      </c>
      <c r="O23" s="55"/>
      <c r="P23" s="56"/>
      <c r="Q23" s="19"/>
      <c r="R23" s="20"/>
      <c r="V23" s="29">
        <v>1.67E-2</v>
      </c>
      <c r="W23" s="11" t="s">
        <v>18</v>
      </c>
    </row>
    <row r="24" spans="4:23" ht="27.95" customHeight="1" x14ac:dyDescent="0.2">
      <c r="D24" s="49"/>
      <c r="E24" s="50" t="s">
        <v>49</v>
      </c>
      <c r="F24" s="51"/>
      <c r="G24" s="33" t="str">
        <f t="shared" si="0"/>
        <v/>
      </c>
      <c r="H24" s="34" t="str">
        <f>IF(G24="","","mmol/L")</f>
        <v/>
      </c>
      <c r="I24" s="33" t="str">
        <f t="shared" si="1"/>
        <v/>
      </c>
      <c r="J24" s="35" t="str">
        <f t="shared" si="2"/>
        <v/>
      </c>
      <c r="K24" s="54" t="str">
        <f>IF(G24="","",IF(AND($G$14="male",G24&lt;136),"Low",IF(AND($G$14="male",G24&gt;145),"High",IF(AND($G$14="female",G24&lt;136),"Low",IF(AND($G$14="female",G24&gt;145),"High","Normal")))))</f>
        <v/>
      </c>
      <c r="L24" s="55"/>
      <c r="M24" s="56"/>
      <c r="N24" s="54" t="str">
        <f>IF(G24="","",IF($G$14="Male","    136   –   145  mmol/L   136   –   145 mEq/L","    136   –   145  mmol/L   136   –   145 mEq/L"))</f>
        <v/>
      </c>
      <c r="O24" s="55"/>
      <c r="P24" s="56"/>
      <c r="Q24" s="19"/>
      <c r="R24" s="20"/>
      <c r="V24" s="29">
        <v>1</v>
      </c>
      <c r="W24" s="11" t="s">
        <v>24</v>
      </c>
    </row>
    <row r="25" spans="4:23" ht="27.95" customHeight="1" x14ac:dyDescent="0.2">
      <c r="D25" s="49"/>
      <c r="E25" s="50" t="s">
        <v>33</v>
      </c>
      <c r="F25" s="51"/>
      <c r="G25" s="33" t="str">
        <f t="shared" si="0"/>
        <v/>
      </c>
      <c r="H25" s="34" t="str">
        <f>IF(G25="","","mmol/L")</f>
        <v/>
      </c>
      <c r="I25" s="33" t="str">
        <f t="shared" si="1"/>
        <v/>
      </c>
      <c r="J25" s="35" t="str">
        <f t="shared" si="2"/>
        <v/>
      </c>
      <c r="K25" s="54" t="str">
        <f>IF(G25="","",IF(AND($G$14="male",G25&lt;3.5),"Low",IF(AND($G$14="male",G25&gt;5.1),"High",IF(AND($G$14="female",G25&lt;3.5),"Low",IF(AND($G$14="female",G25&gt;5.1),"High","Normal")))))</f>
        <v/>
      </c>
      <c r="L25" s="55"/>
      <c r="M25" s="56"/>
      <c r="N25" s="54" t="str">
        <f>IF(G25="","",IF($G$14="Male","     3.5   –   5.1  mmol/L     3.5   –   5.1mEq/L","    3.5   –   5.1  mmol/L     3.5   –   5.1 mEq/L"))</f>
        <v/>
      </c>
      <c r="O25" s="55"/>
      <c r="P25" s="56"/>
      <c r="Q25" s="19"/>
      <c r="R25" s="20"/>
      <c r="V25" s="29">
        <v>1</v>
      </c>
      <c r="W25" s="11" t="s">
        <v>24</v>
      </c>
    </row>
    <row r="26" spans="4:23" ht="27.95" customHeight="1" x14ac:dyDescent="0.2">
      <c r="D26" s="49"/>
      <c r="E26" s="50" t="s">
        <v>34</v>
      </c>
      <c r="F26" s="51"/>
      <c r="G26" s="33" t="str">
        <f t="shared" si="0"/>
        <v/>
      </c>
      <c r="H26" s="34" t="str">
        <f>IF(G26="",""," mmol/L")</f>
        <v/>
      </c>
      <c r="I26" s="33" t="str">
        <f t="shared" si="1"/>
        <v/>
      </c>
      <c r="J26" s="35" t="str">
        <f t="shared" si="2"/>
        <v/>
      </c>
      <c r="K26" s="54" t="str">
        <f>IF(G26="","",IF(AND($G$14="male",G26&lt;98),"Low",IF(AND($G$14="male",G26&gt;107),"High",IF(AND($G$14="female",G26&lt;98),"Low",IF(AND($G$14="female",G26&gt;107),"High","Normal")))))</f>
        <v/>
      </c>
      <c r="L26" s="55"/>
      <c r="M26" s="56"/>
      <c r="N26" s="54" t="str">
        <f>IF(G26="","",IF($G$14="Male","    98   –   107  mmol/L     98   –   107 mEq/L","     98   –   107  mmol/L      98   –   107 mEq/L"))</f>
        <v/>
      </c>
      <c r="O26" s="55"/>
      <c r="P26" s="56"/>
      <c r="Q26" s="19"/>
      <c r="R26" s="20"/>
      <c r="V26" s="29">
        <v>1</v>
      </c>
      <c r="W26" s="11" t="s">
        <v>24</v>
      </c>
    </row>
    <row r="27" spans="4:23" ht="27.95" customHeight="1" x14ac:dyDescent="0.2">
      <c r="D27" s="49"/>
      <c r="E27" s="50" t="s">
        <v>35</v>
      </c>
      <c r="F27" s="51"/>
      <c r="G27" s="43" t="str">
        <f>IF(I27="","",I27/V27)</f>
        <v/>
      </c>
      <c r="H27" s="34" t="str">
        <f>IF(G27="","","mmol/L")</f>
        <v/>
      </c>
      <c r="I27" s="33" t="str">
        <f>IF(D27="","",D27)</f>
        <v/>
      </c>
      <c r="J27" s="35" t="str">
        <f>IF(I27="","","mg/dL")</f>
        <v/>
      </c>
      <c r="K27" s="54" t="str">
        <f>IF(I27="","",IF(AND($G$14="male",I27&gt;200),"High",IF(AND($G$14="Female",I27&gt;200),"High","Normal")))</f>
        <v/>
      </c>
      <c r="L27" s="55"/>
      <c r="M27" s="56"/>
      <c r="N27" s="54" t="str">
        <f>IF(I27="","",IF($G$14="Male","        &lt; 5.18 mmol/L       &lt; 200 mg/dL ","         &lt; 5.18 mmol/L       &lt; 200 mg/dL    "))</f>
        <v/>
      </c>
      <c r="O27" s="55"/>
      <c r="P27" s="56"/>
      <c r="Q27" s="19"/>
      <c r="R27" s="20"/>
      <c r="V27" s="29">
        <f>1/0.0259</f>
        <v>38.610038610038607</v>
      </c>
      <c r="W27" s="11" t="s">
        <v>17</v>
      </c>
    </row>
    <row r="28" spans="4:23" ht="27.95" customHeight="1" x14ac:dyDescent="0.2">
      <c r="D28" s="49"/>
      <c r="E28" s="50" t="s">
        <v>36</v>
      </c>
      <c r="F28" s="51"/>
      <c r="G28" s="43" t="str">
        <f t="shared" ref="G28:G32" si="3">IF(I28="","",I28/V28)</f>
        <v/>
      </c>
      <c r="H28" s="34" t="str">
        <f>IF(G28="","","mmol/L")</f>
        <v/>
      </c>
      <c r="I28" s="33" t="str">
        <f t="shared" ref="I28:I32" si="4">IF(D28="","",D28)</f>
        <v/>
      </c>
      <c r="J28" s="35" t="str">
        <f t="shared" si="2"/>
        <v/>
      </c>
      <c r="K28" s="54" t="str">
        <f>IF(I28="","",IF(AND($G$14="male",I28&gt;150),"High",IF(AND($G$14="Female",I28&gt;150),"High","Normal")))</f>
        <v/>
      </c>
      <c r="L28" s="55"/>
      <c r="M28" s="56"/>
      <c r="N28" s="54" t="str">
        <f>IF(I28="","",IF($G$14="Male","         &lt; 1.70 mmol/L         &lt; 150 mg/dL","      &lt; 1.70 mmol/L         &lt; 150 mg/dL"))</f>
        <v/>
      </c>
      <c r="O28" s="55"/>
      <c r="P28" s="56"/>
      <c r="Q28" s="19"/>
      <c r="R28" s="20"/>
      <c r="V28" s="29">
        <f>1/0.0113</f>
        <v>88.495575221238937</v>
      </c>
      <c r="W28" s="11" t="s">
        <v>17</v>
      </c>
    </row>
    <row r="29" spans="4:23" ht="27.95" customHeight="1" x14ac:dyDescent="0.2">
      <c r="D29" s="49"/>
      <c r="E29" s="50" t="s">
        <v>37</v>
      </c>
      <c r="F29" s="51"/>
      <c r="G29" s="43" t="str">
        <f t="shared" si="3"/>
        <v/>
      </c>
      <c r="H29" s="34" t="str">
        <f>IF(G29="","","mmol/L")</f>
        <v/>
      </c>
      <c r="I29" s="33" t="str">
        <f t="shared" si="4"/>
        <v/>
      </c>
      <c r="J29" s="35" t="str">
        <f t="shared" si="2"/>
        <v/>
      </c>
      <c r="K29" s="54" t="str">
        <f>IF(I29="","",IF(AND(I29&gt;55,$G$14="male"),"No Risk",IF(AND(I29&gt;=35,I29&lt;=55,$G$14="male"),"Moderate Risk",IF(AND($G$14="male",I29&lt;35),"High Risk",IF(AND(I29&gt;65,$G$14="female"),"No Risk",IF(AND(I29&gt;=45,I29&lt;=65,$G$14="female"),"Moderate Risk",IF(AND($G$14="female",I29&lt;45),"High Risk","false")))))))</f>
        <v/>
      </c>
      <c r="L29" s="55"/>
      <c r="M29" s="56"/>
      <c r="N29" s="54" t="str">
        <f>IF(G29="","",IF(AND(K29="No Risk",G14="male"),"        &gt;1.42 mmol/L          &gt; 55 mg/dL",IF(AND(G14="male",K29="Moderate Risk"),"   0.90 - 1.42 mmol/L   35 - 55 mg/dL",IF(AND(K29="High Risk",G14="male"),"        &lt; 0.90 mmol/L           &lt;35 mg/dL",IF(AND(K29="No Risk",G14="female"),"        &gt;1.68  mmol/L         &gt; 65 mg/dL",IF(AND(G14="female",K29="Moderate Risk"),"1.17 - 1.68 mmol/L   45 - 65 mg/dL",IF(AND(K29="High Risk",G14="female"),"        &lt;1.17 mmol/L      &lt;45 mg/dL")))))))</f>
        <v/>
      </c>
      <c r="O29" s="55"/>
      <c r="P29" s="56"/>
      <c r="Q29" s="37"/>
      <c r="R29" s="20"/>
      <c r="S29" s="3"/>
      <c r="V29" s="32">
        <f>1/0.0259</f>
        <v>38.610038610038607</v>
      </c>
      <c r="W29" s="11" t="s">
        <v>17</v>
      </c>
    </row>
    <row r="30" spans="4:23" ht="27.95" customHeight="1" x14ac:dyDescent="0.2">
      <c r="D30" s="49"/>
      <c r="E30" s="50" t="s">
        <v>38</v>
      </c>
      <c r="F30" s="51"/>
      <c r="G30" s="43" t="str">
        <f t="shared" si="3"/>
        <v/>
      </c>
      <c r="H30" s="34" t="str">
        <f>IF(G30="","","mmol/L")</f>
        <v/>
      </c>
      <c r="I30" s="33" t="str">
        <f t="shared" si="4"/>
        <v/>
      </c>
      <c r="J30" s="35" t="str">
        <f t="shared" si="2"/>
        <v/>
      </c>
      <c r="K30" s="54" t="str">
        <f>IF(I30="","",IF(I30&lt;100,"Optimal",IF(AND(I30&gt;=100,I30&lt;=129),"Near Optimal",IF(AND(I30&gt;=130,I30&lt;=159),"Borderline High",IF(AND(I30&gt;=160,I30&lt;=189),"High","Very High")))))</f>
        <v/>
      </c>
      <c r="L30" s="55"/>
      <c r="M30" s="56"/>
      <c r="N30" s="54" t="str">
        <f>IF(I30="","",IF(K30="Optimal","      &lt; 2.59 mmol/L        &lt; 100 mg/dL",IF(K30="Near Optimal","2.59 - 3.34 mmol/L     100 - 129 mg/dL",IF(K30="Borderline High","3.37 - 4.12 mmol/L       130 - 159 mg/dL",IF(K30="High","4.14 - 4.90 mmol/L       160 - 189 mg/dL",IF(K30="Very High","    &gt;= 4.92 mmol/L          &gt;= 190 mg/dL",FALSE))))))</f>
        <v/>
      </c>
      <c r="O30" s="55"/>
      <c r="P30" s="56"/>
      <c r="Q30" s="27"/>
      <c r="R30" s="20"/>
      <c r="V30" s="32">
        <f>1/0.0259</f>
        <v>38.610038610038607</v>
      </c>
      <c r="W30" s="11" t="s">
        <v>17</v>
      </c>
    </row>
    <row r="31" spans="4:23" ht="27.95" customHeight="1" x14ac:dyDescent="0.2">
      <c r="D31" s="49"/>
      <c r="E31" s="50" t="s">
        <v>39</v>
      </c>
      <c r="F31" s="51"/>
      <c r="G31" s="43" t="str">
        <f t="shared" si="3"/>
        <v/>
      </c>
      <c r="H31" s="34" t="str">
        <f>IF(G31="","","μmol/L")</f>
        <v/>
      </c>
      <c r="I31" s="33" t="str">
        <f t="shared" si="4"/>
        <v/>
      </c>
      <c r="J31" s="35" t="str">
        <f t="shared" si="2"/>
        <v/>
      </c>
      <c r="K31" s="54" t="str">
        <f>IF(G31="","",IF(AND($G$14="male",I31&lt;0.7),"Low",IF(AND($G$14="male",I31&gt;1.2),"High",IF(AND($G$14="female",I31&lt;0.5),"Low",IF(AND($G$14="female",I31&gt;0.9),"High","Normal")))))</f>
        <v/>
      </c>
      <c r="L31" s="55"/>
      <c r="M31" s="56"/>
      <c r="N31" s="54" t="str">
        <f>IF(G31="","",IF($G$14="Male","61.88 - 106.08 μmol/L     0.7 – 1.2  mg/dL","44.20 - 79.56 μmol/L      0.7 – 1.2  mg/dL"))</f>
        <v/>
      </c>
      <c r="O31" s="55"/>
      <c r="P31" s="56"/>
      <c r="Q31" s="28"/>
      <c r="R31" s="20"/>
      <c r="V31" s="31">
        <f>1/88.4</f>
        <v>1.1312217194570135E-2</v>
      </c>
      <c r="W31" s="11" t="s">
        <v>17</v>
      </c>
    </row>
    <row r="32" spans="4:23" ht="27.95" customHeight="1" x14ac:dyDescent="0.2">
      <c r="D32" s="49"/>
      <c r="E32" s="50" t="s">
        <v>40</v>
      </c>
      <c r="F32" s="51"/>
      <c r="G32" s="43" t="str">
        <f t="shared" si="3"/>
        <v/>
      </c>
      <c r="H32" s="34" t="str">
        <f>IF(G32="","","mmol/L")</f>
        <v/>
      </c>
      <c r="I32" s="33" t="str">
        <f t="shared" si="4"/>
        <v/>
      </c>
      <c r="J32" s="35" t="str">
        <f t="shared" si="2"/>
        <v/>
      </c>
      <c r="K32" s="54" t="str">
        <f>IF(G32="","",IF(AND($G$14="male",I32&lt;16.6),"Low",IF(AND($G$14="male",I32&gt;48.5),"High",IF(AND($G$14="female",I32&lt;16.6),"Low",IF(AND($G$14="female",I32&gt;48.5),"High","Normal")))))</f>
        <v/>
      </c>
      <c r="L32" s="55"/>
      <c r="M32" s="56"/>
      <c r="N32" s="54" t="str">
        <f>IF(G32="","",IF($G$14="Male","   5.93 - 17.315 mmol/L   16.60 – 48.5  mg/dL","   5.93 - 17.315 mmol/L   16.60 – 48.5  mg/dL"))</f>
        <v/>
      </c>
      <c r="O32" s="55"/>
      <c r="P32" s="56"/>
      <c r="Q32" s="19"/>
      <c r="R32" s="20"/>
      <c r="V32" s="29">
        <f>1/0.357</f>
        <v>2.801120448179272</v>
      </c>
      <c r="W32" s="11" t="s">
        <v>17</v>
      </c>
    </row>
    <row r="33" spans="4:23" ht="27.95" customHeight="1" x14ac:dyDescent="0.2">
      <c r="D33" s="49"/>
      <c r="E33" s="50" t="s">
        <v>41</v>
      </c>
      <c r="F33" s="51"/>
      <c r="G33" s="43" t="str">
        <f>IF(I33="","",I33*V33)</f>
        <v/>
      </c>
      <c r="H33" s="34" t="str">
        <f>IF(I33="","",W33)</f>
        <v/>
      </c>
      <c r="I33" s="33" t="str">
        <f t="shared" ref="I33" si="5">IF(D33="","",D33)</f>
        <v/>
      </c>
      <c r="J33" s="35" t="str">
        <f>IF(I33="","","mg/dL")</f>
        <v/>
      </c>
      <c r="K33" s="54" t="str">
        <f>IF(I33="","",IF(AND($G$14="male",I33&lt;3.4),"Low",IF(AND($G$14="male",I33&gt;7),"High",IF(AND($G$14="female",I33&lt;2.4),"Low",IF(AND($G$14="female",I33&gt;5.7),"High","Normal")))))</f>
        <v/>
      </c>
      <c r="L33" s="55"/>
      <c r="M33" s="56"/>
      <c r="N33" s="54" t="str">
        <f>IF(I33="","",IF($G$14="Male","      0.20 - 0.42 mmol/L       3.4   –   7.0  mg/dL","      0.14 - 0.34 mmol/L          2.4   –   5.7  mg/dL"))</f>
        <v/>
      </c>
      <c r="O33" s="55"/>
      <c r="P33" s="56"/>
      <c r="Q33" s="37"/>
      <c r="R33" s="20"/>
      <c r="S33" s="3"/>
      <c r="V33" s="30">
        <v>5.9499999999999997E-2</v>
      </c>
      <c r="W33" s="11" t="s">
        <v>27</v>
      </c>
    </row>
    <row r="34" spans="4:23" ht="27.95" customHeight="1" x14ac:dyDescent="0.2">
      <c r="D34" s="49"/>
      <c r="E34" s="50" t="s">
        <v>42</v>
      </c>
      <c r="F34" s="51"/>
      <c r="G34" s="33" t="str">
        <f t="shared" ref="G34:G35" si="6">IF(D34="","",D34)</f>
        <v/>
      </c>
      <c r="H34" s="34" t="str">
        <f>IF(G34="",""," g/L")</f>
        <v/>
      </c>
      <c r="I34" s="33" t="str">
        <f>IF(G34="","",G34*V34)</f>
        <v/>
      </c>
      <c r="J34" s="35" t="str">
        <f t="shared" si="2"/>
        <v/>
      </c>
      <c r="K34" s="54" t="str">
        <f>IF(G34="","",IF(AND($G$14="male",G34&lt;66),"Low",IF(AND($G$14="male",G34&gt;87),"High",IF(AND($G$14="female",G34&lt;66),"Low",IF(AND($G$14="female",G34&gt;87),"High","Normal")))))</f>
        <v/>
      </c>
      <c r="L34" s="55"/>
      <c r="M34" s="56"/>
      <c r="N34" s="54" t="str">
        <f>IF(G34="","","          66  –  87 g/L        6.60   –   8.70  g/dL")</f>
        <v/>
      </c>
      <c r="O34" s="55"/>
      <c r="P34" s="56"/>
      <c r="Q34" s="19"/>
      <c r="R34" s="20"/>
      <c r="V34" s="29">
        <v>0.1</v>
      </c>
      <c r="W34" s="11" t="s">
        <v>19</v>
      </c>
    </row>
    <row r="35" spans="4:23" ht="27.95" customHeight="1" x14ac:dyDescent="0.2">
      <c r="D35" s="49"/>
      <c r="E35" s="50" t="s">
        <v>43</v>
      </c>
      <c r="F35" s="51"/>
      <c r="G35" s="33" t="str">
        <f t="shared" si="6"/>
        <v/>
      </c>
      <c r="H35" s="34" t="str">
        <f>IF(G35="",""," g/L")</f>
        <v/>
      </c>
      <c r="I35" s="33" t="str">
        <f>IF(G35="","",G35*V35)</f>
        <v/>
      </c>
      <c r="J35" s="35" t="str">
        <f t="shared" si="2"/>
        <v/>
      </c>
      <c r="K35" s="54" t="str">
        <f>IF(G35="","",IF(AND($G$14="male",G35&lt;35),"Low",IF(AND($G$14="male",G35&gt;52),"High",IF(AND($G$14="female",G35&lt;35),"Low",IF(AND($G$14="female",G35&gt;52),"High","Normal")))))</f>
        <v/>
      </c>
      <c r="L35" s="55"/>
      <c r="M35" s="56"/>
      <c r="N35" s="54" t="str">
        <f>IF(G35="","","          35  –  52 g/L        3.50   –   5.20  g/dL")</f>
        <v/>
      </c>
      <c r="O35" s="55"/>
      <c r="P35" s="56"/>
      <c r="Q35" s="19"/>
      <c r="R35" s="20"/>
      <c r="V35" s="29">
        <v>0.1</v>
      </c>
      <c r="W35" s="11" t="s">
        <v>19</v>
      </c>
    </row>
    <row r="36" spans="4:23" ht="27.95" customHeight="1" x14ac:dyDescent="0.2">
      <c r="D36" s="49"/>
      <c r="E36" s="50" t="s">
        <v>44</v>
      </c>
      <c r="F36" s="51"/>
      <c r="G36" s="43" t="str">
        <f t="shared" ref="G36:G41" si="7">IF(I36="","",(I36*V36))</f>
        <v/>
      </c>
      <c r="H36" s="34" t="str">
        <f>IF(G36="","","mmol/L")</f>
        <v/>
      </c>
      <c r="I36" s="33" t="str">
        <f t="shared" ref="I36:I38" si="8">IF(D36="","",D36)</f>
        <v/>
      </c>
      <c r="J36" s="35" t="str">
        <f t="shared" si="2"/>
        <v/>
      </c>
      <c r="K36" s="54" t="str">
        <f>IF(G36="","",IF(AND($G$14="male",I36&lt;6.8),"Low",IF(AND($G$14="male",I36&gt;10),"High",IF(AND($G$14="female",I36&lt;6.8),"Low",IF(AND($G$14="female",I36&gt;10),"High","Normal")))))</f>
        <v/>
      </c>
      <c r="L36" s="55"/>
      <c r="M36" s="56"/>
      <c r="N36" s="54" t="str">
        <f>IF(I36="","","     2.15 - 2.50 mmol/L       8.6   –   10.0  mg/dL")</f>
        <v/>
      </c>
      <c r="O36" s="55"/>
      <c r="P36" s="56"/>
      <c r="Q36" s="19"/>
      <c r="R36" s="20"/>
      <c r="V36" s="29">
        <v>0.25</v>
      </c>
      <c r="W36" s="11" t="s">
        <v>20</v>
      </c>
    </row>
    <row r="37" spans="4:23" ht="27.95" customHeight="1" x14ac:dyDescent="0.2">
      <c r="D37" s="49"/>
      <c r="E37" s="50" t="s">
        <v>45</v>
      </c>
      <c r="F37" s="51"/>
      <c r="G37" s="43" t="str">
        <f t="shared" si="7"/>
        <v/>
      </c>
      <c r="H37" s="34" t="str">
        <f>IF(G37="","","mmol/L")</f>
        <v/>
      </c>
      <c r="I37" s="33" t="str">
        <f t="shared" si="8"/>
        <v/>
      </c>
      <c r="J37" s="35" t="str">
        <f t="shared" si="2"/>
        <v/>
      </c>
      <c r="K37" s="54" t="str">
        <f>IF(G20="","",IF(AND($G$14="male",I37&lt;2.5),"Low",IF(AND($G$14="male",I37&gt;4.5),"High",IF(AND($G$14="female",I37&lt;2.5),"Low",IF(AND($G$14="female",I37&gt;4.5),"High","Normal")))))</f>
        <v/>
      </c>
      <c r="L37" s="55"/>
      <c r="M37" s="56"/>
      <c r="N37" s="54" t="str">
        <f>IF(G37="","","   0.81 - 1.45 mmol/L        2.5   –   4.5  mg/dL")</f>
        <v/>
      </c>
      <c r="O37" s="55"/>
      <c r="P37" s="56"/>
      <c r="Q37" s="37"/>
      <c r="R37" s="20"/>
      <c r="S37" s="38"/>
      <c r="V37" s="30">
        <v>0.32300000000000001</v>
      </c>
      <c r="W37" s="11" t="s">
        <v>17</v>
      </c>
    </row>
    <row r="38" spans="4:23" ht="27.95" customHeight="1" x14ac:dyDescent="0.2">
      <c r="D38" s="49"/>
      <c r="E38" s="50" t="s">
        <v>46</v>
      </c>
      <c r="F38" s="51"/>
      <c r="G38" s="43" t="str">
        <f t="shared" si="7"/>
        <v/>
      </c>
      <c r="H38" s="34" t="str">
        <f>IF(G38="","","mmol/L")</f>
        <v/>
      </c>
      <c r="I38" s="33" t="str">
        <f t="shared" si="8"/>
        <v/>
      </c>
      <c r="J38" s="35" t="str">
        <f t="shared" si="2"/>
        <v/>
      </c>
      <c r="K38" s="54" t="str">
        <f>IF(G38="","",IF(AND($G$14="male",I38&lt;1.6),"Low",IF(AND($G$14="male",I38&gt;2.6),"High",IF(AND($G$14="female",I38&lt;1.6),"Low",IF(AND($G$14="female",I38&gt;2.6),"High","Normal")))))</f>
        <v/>
      </c>
      <c r="L38" s="55"/>
      <c r="M38" s="56"/>
      <c r="N38" s="54" t="str">
        <f>IF(G38="","","      0.66 - 1.07 mmol/L       1.60   –   2.60  mg/dL")</f>
        <v/>
      </c>
      <c r="O38" s="55"/>
      <c r="P38" s="56"/>
      <c r="Q38" s="37"/>
      <c r="R38" s="39"/>
      <c r="S38" s="3"/>
      <c r="V38" s="30">
        <v>0.41139999999999999</v>
      </c>
      <c r="W38" s="11" t="s">
        <v>17</v>
      </c>
    </row>
    <row r="39" spans="4:23" ht="27.95" customHeight="1" x14ac:dyDescent="0.2">
      <c r="D39" s="49"/>
      <c r="E39" s="50" t="s">
        <v>47</v>
      </c>
      <c r="F39" s="51"/>
      <c r="G39" s="43" t="str">
        <f t="shared" si="7"/>
        <v/>
      </c>
      <c r="H39" s="34" t="str">
        <f>IF(I39="","","μmol/L")</f>
        <v/>
      </c>
      <c r="I39" s="33" t="str">
        <f>IF(D39="","",D39)</f>
        <v/>
      </c>
      <c r="J39" s="35" t="str">
        <f>IF(I39="","",W39)</f>
        <v/>
      </c>
      <c r="K39" s="54" t="str">
        <f>IF(G39="","",IF(AND($G$14="male",I39&gt;1.2),"High",IF(AND($G$14="Female",I39&gt;1.2),"High","Normal")))</f>
        <v/>
      </c>
      <c r="L39" s="55"/>
      <c r="M39" s="56"/>
      <c r="N39" s="54" t="str">
        <f>IF(G39="","","       Up to 20.52 μmol/L        Up to 1.2 mg/dL")</f>
        <v/>
      </c>
      <c r="O39" s="55"/>
      <c r="P39" s="56"/>
      <c r="Q39" s="37"/>
      <c r="R39" s="20"/>
      <c r="V39" s="30">
        <v>17.103999999999999</v>
      </c>
      <c r="W39" s="11" t="s">
        <v>17</v>
      </c>
    </row>
    <row r="40" spans="4:23" ht="27.95" customHeight="1" thickBot="1" x14ac:dyDescent="0.25">
      <c r="D40" s="49"/>
      <c r="E40" s="52" t="s">
        <v>48</v>
      </c>
      <c r="F40" s="53"/>
      <c r="G40" s="43" t="str">
        <f t="shared" si="7"/>
        <v/>
      </c>
      <c r="H40" s="34" t="str">
        <f>IF(I40="","","μmol/L")</f>
        <v/>
      </c>
      <c r="I40" s="33" t="str">
        <f>IF(D40="","",D40)</f>
        <v/>
      </c>
      <c r="J40" s="35" t="str">
        <f>IF(I40="","",W39)</f>
        <v/>
      </c>
      <c r="K40" s="54" t="str">
        <f>IF(G40="","",IF(AND($G$14="male",I40&gt;0.2),"High",IF(AND($G$14="Female",I40&gt;0.2),"High","Normal")))</f>
        <v/>
      </c>
      <c r="L40" s="55"/>
      <c r="M40" s="56"/>
      <c r="N40" s="54" t="str">
        <f>IF(G40="","","         ≤3.42 μmol/L          ≤ 0.2 mg/dL")</f>
        <v/>
      </c>
      <c r="O40" s="55"/>
      <c r="P40" s="56"/>
      <c r="Q40" s="19"/>
      <c r="R40" s="20"/>
      <c r="V40" s="30">
        <v>17.103999999999999</v>
      </c>
      <c r="W40" s="12" t="s">
        <v>17</v>
      </c>
    </row>
    <row r="41" spans="4:23" ht="27.95" customHeight="1" thickBot="1" x14ac:dyDescent="0.25">
      <c r="D41" s="47"/>
      <c r="E41" s="89" t="s">
        <v>50</v>
      </c>
      <c r="F41" s="90"/>
      <c r="G41" s="44" t="str">
        <f t="shared" si="7"/>
        <v/>
      </c>
      <c r="H41" s="45" t="str">
        <f>IF(I41="","","mmol/L")</f>
        <v/>
      </c>
      <c r="I41" s="44" t="str">
        <f>IF(D41="","",D41)</f>
        <v/>
      </c>
      <c r="J41" s="36" t="str">
        <f>IF(I41="","",W40)</f>
        <v/>
      </c>
      <c r="K41" s="91" t="str">
        <f>IF(G41="","",IF(I41&lt;74,"Low",IF(I41&gt;109,"High","Normal")))</f>
        <v/>
      </c>
      <c r="L41" s="92"/>
      <c r="M41" s="93"/>
      <c r="N41" s="91" t="str">
        <f>IF(G41="","","         4.11- 6.05 mmol/L          74 - 109 mg/dL")</f>
        <v/>
      </c>
      <c r="O41" s="92"/>
      <c r="P41" s="93"/>
      <c r="Q41" s="46"/>
      <c r="R41" s="20"/>
      <c r="V41" s="30">
        <v>5.5500000000000001E-2</v>
      </c>
      <c r="W41" s="12" t="s">
        <v>17</v>
      </c>
    </row>
    <row r="42" spans="4:23" ht="21" customHeight="1" x14ac:dyDescent="0.2">
      <c r="E42" s="8"/>
      <c r="F42" s="17" t="s">
        <v>3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3"/>
    </row>
    <row r="43" spans="4:23" ht="21" customHeight="1" x14ac:dyDescent="0.2"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5"/>
    </row>
    <row r="44" spans="4:23" ht="21" customHeight="1" x14ac:dyDescent="0.2"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5"/>
    </row>
    <row r="45" spans="4:23" ht="21" customHeight="1" thickBot="1" x14ac:dyDescent="0.25"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</row>
    <row r="46" spans="4:23" ht="39.6" customHeight="1" thickBot="1" x14ac:dyDescent="0.25">
      <c r="E46" s="82" t="s">
        <v>4</v>
      </c>
      <c r="F46" s="83"/>
      <c r="G46" s="94"/>
      <c r="H46" s="95"/>
      <c r="I46" s="95"/>
      <c r="J46" s="96"/>
      <c r="K46" s="84" t="s">
        <v>51</v>
      </c>
      <c r="L46" s="85"/>
      <c r="M46" s="85"/>
      <c r="N46" s="85"/>
      <c r="O46" s="85"/>
      <c r="P46" s="86"/>
      <c r="T46" s="8"/>
    </row>
    <row r="47" spans="4:23" ht="39.6" customHeight="1" thickBot="1" x14ac:dyDescent="0.25">
      <c r="E47" s="82" t="s">
        <v>5</v>
      </c>
      <c r="F47" s="83"/>
      <c r="G47" s="97"/>
      <c r="H47" s="98"/>
      <c r="I47" s="98"/>
      <c r="J47" s="99"/>
      <c r="K47" s="84" t="s">
        <v>6</v>
      </c>
      <c r="L47" s="85"/>
      <c r="M47" s="85"/>
      <c r="N47" s="85"/>
      <c r="O47" s="85"/>
      <c r="P47" s="86"/>
    </row>
  </sheetData>
  <mergeCells count="100">
    <mergeCell ref="E41:F41"/>
    <mergeCell ref="K41:M41"/>
    <mergeCell ref="N41:P41"/>
    <mergeCell ref="G46:J46"/>
    <mergeCell ref="G47:J47"/>
    <mergeCell ref="K47:P47"/>
    <mergeCell ref="G12:J12"/>
    <mergeCell ref="G13:I13"/>
    <mergeCell ref="G14:I14"/>
    <mergeCell ref="G15:I15"/>
    <mergeCell ref="G16:I16"/>
    <mergeCell ref="N40:P40"/>
    <mergeCell ref="N34:P34"/>
    <mergeCell ref="N35:P35"/>
    <mergeCell ref="N36:P36"/>
    <mergeCell ref="N37:P37"/>
    <mergeCell ref="N38:P38"/>
    <mergeCell ref="N39:P39"/>
    <mergeCell ref="K37:M37"/>
    <mergeCell ref="K36:M36"/>
    <mergeCell ref="N30:P30"/>
    <mergeCell ref="N31:P31"/>
    <mergeCell ref="N32:P32"/>
    <mergeCell ref="N33:P33"/>
    <mergeCell ref="K32:M32"/>
    <mergeCell ref="K31:M31"/>
    <mergeCell ref="K30:M30"/>
    <mergeCell ref="N25:P25"/>
    <mergeCell ref="N26:P26"/>
    <mergeCell ref="N27:P27"/>
    <mergeCell ref="N28:P28"/>
    <mergeCell ref="N29:P29"/>
    <mergeCell ref="N18:P18"/>
    <mergeCell ref="E46:F46"/>
    <mergeCell ref="E47:F47"/>
    <mergeCell ref="K46:P46"/>
    <mergeCell ref="K35:M35"/>
    <mergeCell ref="K34:M34"/>
    <mergeCell ref="K33:M33"/>
    <mergeCell ref="N19:P19"/>
    <mergeCell ref="N20:P20"/>
    <mergeCell ref="N21:P21"/>
    <mergeCell ref="N22:P22"/>
    <mergeCell ref="N23:P23"/>
    <mergeCell ref="N24:P24"/>
    <mergeCell ref="K40:M40"/>
    <mergeCell ref="K39:M39"/>
    <mergeCell ref="K38:M38"/>
    <mergeCell ref="K9:N9"/>
    <mergeCell ref="K13:L13"/>
    <mergeCell ref="K14:L14"/>
    <mergeCell ref="K15:L15"/>
    <mergeCell ref="K16:L16"/>
    <mergeCell ref="K12:L12"/>
    <mergeCell ref="N13:P13"/>
    <mergeCell ref="N12:P12"/>
    <mergeCell ref="N14:P14"/>
    <mergeCell ref="N15:P15"/>
    <mergeCell ref="N16:P16"/>
    <mergeCell ref="E12:F12"/>
    <mergeCell ref="E13:F13"/>
    <mergeCell ref="E14:F14"/>
    <mergeCell ref="E15:F15"/>
    <mergeCell ref="E16:F16"/>
    <mergeCell ref="K29:M29"/>
    <mergeCell ref="K28:M28"/>
    <mergeCell ref="K21:M21"/>
    <mergeCell ref="K20:M20"/>
    <mergeCell ref="E18:F18"/>
    <mergeCell ref="E19:F19"/>
    <mergeCell ref="E20:F20"/>
    <mergeCell ref="E21:F21"/>
    <mergeCell ref="K18:M18"/>
    <mergeCell ref="K19:M19"/>
    <mergeCell ref="I18:J18"/>
    <mergeCell ref="E24:F24"/>
    <mergeCell ref="E25:F25"/>
    <mergeCell ref="E26:F26"/>
    <mergeCell ref="E27:F27"/>
    <mergeCell ref="K22:M22"/>
    <mergeCell ref="E22:F22"/>
    <mergeCell ref="K27:M27"/>
    <mergeCell ref="K26:M26"/>
    <mergeCell ref="K25:M25"/>
    <mergeCell ref="K24:M24"/>
    <mergeCell ref="K23:M23"/>
    <mergeCell ref="E23:F23"/>
    <mergeCell ref="E38:F38"/>
    <mergeCell ref="E39:F39"/>
    <mergeCell ref="E40:F40"/>
    <mergeCell ref="E33:F33"/>
    <mergeCell ref="E34:F34"/>
    <mergeCell ref="E35:F35"/>
    <mergeCell ref="E36:F36"/>
    <mergeCell ref="E37:F37"/>
    <mergeCell ref="E28:F28"/>
    <mergeCell ref="E29:F29"/>
    <mergeCell ref="E30:F30"/>
    <mergeCell ref="E31:F31"/>
    <mergeCell ref="E32:F32"/>
  </mergeCells>
  <conditionalFormatting sqref="K19:M19">
    <cfRule type="expression" dxfId="67" priority="107">
      <formula>$K$19="Low"</formula>
    </cfRule>
    <cfRule type="expression" dxfId="66" priority="108">
      <formula>$K$19="Normal"</formula>
    </cfRule>
    <cfRule type="expression" dxfId="65" priority="109">
      <formula>$K$19="High"</formula>
    </cfRule>
  </conditionalFormatting>
  <conditionalFormatting sqref="K20:M20">
    <cfRule type="expression" dxfId="64" priority="104">
      <formula>K20="Low"</formula>
    </cfRule>
    <cfRule type="expression" dxfId="63" priority="105">
      <formula>K20="High"</formula>
    </cfRule>
    <cfRule type="expression" dxfId="62" priority="106">
      <formula>K20="Normal"</formula>
    </cfRule>
  </conditionalFormatting>
  <conditionalFormatting sqref="K21:M21">
    <cfRule type="expression" dxfId="61" priority="98">
      <formula>K21="Low"</formula>
    </cfRule>
    <cfRule type="expression" dxfId="60" priority="99">
      <formula>K21="High"</formula>
    </cfRule>
    <cfRule type="expression" dxfId="59" priority="100">
      <formula>K21="Normal"</formula>
    </cfRule>
  </conditionalFormatting>
  <conditionalFormatting sqref="K22:M22">
    <cfRule type="expression" dxfId="58" priority="95">
      <formula>K22="Low"</formula>
    </cfRule>
    <cfRule type="expression" dxfId="57" priority="96">
      <formula>K22="High"</formula>
    </cfRule>
    <cfRule type="expression" dxfId="56" priority="97">
      <formula>K22="Normal"</formula>
    </cfRule>
  </conditionalFormatting>
  <conditionalFormatting sqref="K23:M23">
    <cfRule type="expression" dxfId="55" priority="92">
      <formula>K23="Low"</formula>
    </cfRule>
    <cfRule type="expression" dxfId="54" priority="93">
      <formula>K23="High"</formula>
    </cfRule>
    <cfRule type="expression" dxfId="53" priority="94">
      <formula>K23="Normal"</formula>
    </cfRule>
  </conditionalFormatting>
  <conditionalFormatting sqref="K24:M24">
    <cfRule type="expression" dxfId="52" priority="89">
      <formula>K24="Low"</formula>
    </cfRule>
    <cfRule type="expression" dxfId="51" priority="90">
      <formula>K24="High"</formula>
    </cfRule>
    <cfRule type="expression" dxfId="50" priority="91">
      <formula>K24="Normal"</formula>
    </cfRule>
  </conditionalFormatting>
  <conditionalFormatting sqref="K25:M25">
    <cfRule type="expression" dxfId="49" priority="86">
      <formula>K25="Low"</formula>
    </cfRule>
    <cfRule type="expression" dxfId="48" priority="87">
      <formula>K25="High"</formula>
    </cfRule>
    <cfRule type="expression" dxfId="47" priority="88">
      <formula>K25="Normal"</formula>
    </cfRule>
  </conditionalFormatting>
  <conditionalFormatting sqref="K26:M26">
    <cfRule type="expression" dxfId="46" priority="83">
      <formula>K26="Low"</formula>
    </cfRule>
    <cfRule type="expression" dxfId="45" priority="84">
      <formula>K26="High"</formula>
    </cfRule>
    <cfRule type="expression" dxfId="44" priority="85">
      <formula>K26="Normal"</formula>
    </cfRule>
  </conditionalFormatting>
  <conditionalFormatting sqref="K27:M27">
    <cfRule type="expression" dxfId="43" priority="80">
      <formula>K27="Low"</formula>
    </cfRule>
    <cfRule type="expression" dxfId="42" priority="81">
      <formula>K27="High"</formula>
    </cfRule>
    <cfRule type="expression" dxfId="41" priority="82">
      <formula>K27="Normal"</formula>
    </cfRule>
  </conditionalFormatting>
  <conditionalFormatting sqref="K28:M28">
    <cfRule type="expression" dxfId="40" priority="77">
      <formula>K28="Low"</formula>
    </cfRule>
    <cfRule type="expression" dxfId="39" priority="78">
      <formula>K28="High"</formula>
    </cfRule>
    <cfRule type="expression" dxfId="38" priority="79">
      <formula>K28="Normal"</formula>
    </cfRule>
  </conditionalFormatting>
  <conditionalFormatting sqref="K31:M31">
    <cfRule type="expression" dxfId="37" priority="74">
      <formula>K31="Low"</formula>
    </cfRule>
    <cfRule type="expression" dxfId="36" priority="75">
      <formula>K31="High"</formula>
    </cfRule>
    <cfRule type="expression" dxfId="35" priority="76">
      <formula>K31="Normal"</formula>
    </cfRule>
  </conditionalFormatting>
  <conditionalFormatting sqref="K32:M32">
    <cfRule type="expression" dxfId="34" priority="71">
      <formula>K32="Low"</formula>
    </cfRule>
    <cfRule type="expression" dxfId="33" priority="72">
      <formula>K32="High"</formula>
    </cfRule>
    <cfRule type="expression" dxfId="32" priority="73">
      <formula>K32="Normal"</formula>
    </cfRule>
  </conditionalFormatting>
  <conditionalFormatting sqref="K33:M33">
    <cfRule type="expression" dxfId="31" priority="68">
      <formula>K33="Low"</formula>
    </cfRule>
    <cfRule type="expression" dxfId="30" priority="69">
      <formula>K33="High"</formula>
    </cfRule>
    <cfRule type="expression" dxfId="29" priority="70">
      <formula>K33="Normal"</formula>
    </cfRule>
  </conditionalFormatting>
  <conditionalFormatting sqref="K34:M34">
    <cfRule type="expression" dxfId="28" priority="65">
      <formula>K34="Low"</formula>
    </cfRule>
    <cfRule type="expression" dxfId="27" priority="66">
      <formula>K34="High"</formula>
    </cfRule>
    <cfRule type="expression" dxfId="26" priority="67">
      <formula>K34="Normal"</formula>
    </cfRule>
  </conditionalFormatting>
  <conditionalFormatting sqref="K35:M35">
    <cfRule type="expression" dxfId="25" priority="62">
      <formula>K35="Low"</formula>
    </cfRule>
    <cfRule type="expression" dxfId="24" priority="63">
      <formula>K35="High"</formula>
    </cfRule>
    <cfRule type="expression" dxfId="23" priority="64">
      <formula>K35="Normal"</formula>
    </cfRule>
  </conditionalFormatting>
  <conditionalFormatting sqref="K36:M36">
    <cfRule type="expression" dxfId="22" priority="59">
      <formula>K36="Low"</formula>
    </cfRule>
    <cfRule type="expression" dxfId="21" priority="60">
      <formula>K36="High"</formula>
    </cfRule>
    <cfRule type="expression" dxfId="20" priority="61">
      <formula>K36="Normal"</formula>
    </cfRule>
  </conditionalFormatting>
  <conditionalFormatting sqref="K37:M37">
    <cfRule type="expression" dxfId="19" priority="56">
      <formula>K37="Low"</formula>
    </cfRule>
    <cfRule type="expression" dxfId="18" priority="57">
      <formula>K37="High"</formula>
    </cfRule>
    <cfRule type="expression" dxfId="17" priority="58">
      <formula>K37="Normal"</formula>
    </cfRule>
  </conditionalFormatting>
  <conditionalFormatting sqref="K38:M38">
    <cfRule type="expression" dxfId="16" priority="53">
      <formula>K38="Low"</formula>
    </cfRule>
    <cfRule type="expression" dxfId="15" priority="54">
      <formula>K38="High"</formula>
    </cfRule>
    <cfRule type="expression" dxfId="14" priority="55">
      <formula>K38="Normal"</formula>
    </cfRule>
  </conditionalFormatting>
  <conditionalFormatting sqref="K39:M39">
    <cfRule type="expression" dxfId="13" priority="50">
      <formula>K39="Low"</formula>
    </cfRule>
    <cfRule type="expression" dxfId="12" priority="51">
      <formula>K39="High"</formula>
    </cfRule>
    <cfRule type="expression" dxfId="11" priority="52">
      <formula>K39="Normal"</formula>
    </cfRule>
  </conditionalFormatting>
  <conditionalFormatting sqref="K40:M41">
    <cfRule type="expression" dxfId="10" priority="47">
      <formula>K40="Low"</formula>
    </cfRule>
    <cfRule type="expression" dxfId="9" priority="48">
      <formula>K40="High"</formula>
    </cfRule>
    <cfRule type="expression" dxfId="8" priority="49">
      <formula>K40="Normal"</formula>
    </cfRule>
  </conditionalFormatting>
  <conditionalFormatting sqref="K29:M29">
    <cfRule type="expression" dxfId="7" priority="44">
      <formula>K29="Moderate Risk"</formula>
    </cfRule>
    <cfRule type="expression" dxfId="6" priority="45">
      <formula>K29="High Risk"</formula>
    </cfRule>
    <cfRule type="expression" dxfId="5" priority="46">
      <formula>K29="No Risk"</formula>
    </cfRule>
  </conditionalFormatting>
  <conditionalFormatting sqref="K30:M30">
    <cfRule type="expression" dxfId="4" priority="39">
      <formula>$K$30="near optimal"</formula>
    </cfRule>
    <cfRule type="expression" dxfId="3" priority="40">
      <formula>$K$30="Borderline High"</formula>
    </cfRule>
    <cfRule type="expression" dxfId="2" priority="41">
      <formula>K30="High"</formula>
    </cfRule>
    <cfRule type="expression" dxfId="1" priority="42">
      <formula>K30="Very High"</formula>
    </cfRule>
    <cfRule type="expression" dxfId="0" priority="43">
      <formula>K30="Optimal"</formula>
    </cfRule>
  </conditionalFormatting>
  <pageMargins left="0.7" right="0.7" top="0.75" bottom="0.75" header="0.3" footer="0.3"/>
  <pageSetup paperSize="9" scale="67" orientation="portrait" r:id="rId1"/>
  <headerFooter>
    <oddFooter>&amp;L&amp;P of &amp;N&amp;RF/SQC30/03, V2</oddFooter>
  </headerFooter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utoPict="0" r:id="rId5">
            <anchor moveWithCells="1" sizeWithCells="1">
              <from>
                <xdr:col>4</xdr:col>
                <xdr:colOff>257175</xdr:colOff>
                <xdr:row>7</xdr:row>
                <xdr:rowOff>28575</xdr:rowOff>
              </from>
              <to>
                <xdr:col>6</xdr:col>
                <xdr:colOff>552450</xdr:colOff>
                <xdr:row>10</xdr:row>
                <xdr:rowOff>28575</xdr:rowOff>
              </to>
            </anchor>
          </objectPr>
        </oleObject>
      </mc:Choice>
      <mc:Fallback>
        <oleObject progId="PBrush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Khrais</dc:creator>
  <cp:lastModifiedBy>Administrator</cp:lastModifiedBy>
  <cp:lastPrinted>2023-09-19T07:41:49Z</cp:lastPrinted>
  <dcterms:created xsi:type="dcterms:W3CDTF">2023-06-06T20:37:01Z</dcterms:created>
  <dcterms:modified xsi:type="dcterms:W3CDTF">2023-09-25T04:56:09Z</dcterms:modified>
  <cp:contentStatus/>
</cp:coreProperties>
</file>