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talbot\Documents\MIGS 2017\"/>
    </mc:Choice>
  </mc:AlternateContent>
  <bookViews>
    <workbookView xWindow="0" yWindow="0" windowWidth="28800" windowHeight="12300" tabRatio="500"/>
  </bookViews>
  <sheets>
    <sheet name="Study A raw data" sheetId="1" r:id="rId1"/>
    <sheet name="CI plots" sheetId="2" r:id="rId2"/>
    <sheet name="Test Normality" sheetId="3" r:id="rId3"/>
    <sheet name="Test Homoscedasticity variance" sheetId="4" r:id="rId4"/>
    <sheet name="Kruskal + Post Hoc - Vertical" sheetId="7" r:id="rId5"/>
    <sheet name="Kruskal - horizontal" sheetId="5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4" i="2" l="1"/>
  <c r="Q76" i="2"/>
  <c r="Q77" i="2" a="1"/>
  <c r="Q77" i="2"/>
  <c r="Q78" i="2" a="1"/>
  <c r="Q78" i="2"/>
  <c r="Q80" i="2"/>
  <c r="R77" i="2" a="1"/>
  <c r="R77" i="2"/>
  <c r="R78" i="2" a="1"/>
  <c r="R78" i="2"/>
  <c r="R79" i="2"/>
  <c r="S77" i="2" a="1"/>
  <c r="S77" i="2"/>
  <c r="S78" i="2" a="1"/>
  <c r="S78" i="2"/>
  <c r="S79" i="2"/>
  <c r="T77" i="2" a="1"/>
  <c r="T77" i="2"/>
  <c r="T78" i="2" a="1"/>
  <c r="T78" i="2"/>
  <c r="T79" i="2"/>
  <c r="U77" i="2" a="1"/>
  <c r="U77" i="2"/>
  <c r="U78" i="2" a="1"/>
  <c r="U78" i="2"/>
  <c r="U79" i="2"/>
  <c r="Q79" i="2"/>
  <c r="Q89" i="2"/>
  <c r="R80" i="2"/>
  <c r="R86" i="2"/>
  <c r="S80" i="2"/>
  <c r="S86" i="2"/>
  <c r="T80" i="2"/>
  <c r="T86" i="2"/>
  <c r="U80" i="2"/>
  <c r="U86" i="2"/>
  <c r="Q86" i="2"/>
  <c r="Q62" i="2"/>
  <c r="Q64" i="2"/>
  <c r="Q50" i="2"/>
  <c r="Q52" i="2"/>
  <c r="Q53" i="2" a="1"/>
  <c r="Q53" i="2"/>
  <c r="Q54" i="2" a="1"/>
  <c r="Q54" i="2"/>
  <c r="Q56" i="2"/>
  <c r="Q84" i="2"/>
  <c r="R73" i="2" a="1"/>
  <c r="R73" i="2"/>
  <c r="S73" i="2" a="1"/>
  <c r="S73" i="2"/>
  <c r="T73" i="2" a="1"/>
  <c r="T73" i="2"/>
  <c r="U73" i="2" a="1"/>
  <c r="U73" i="2"/>
  <c r="Q73" i="2" a="1"/>
  <c r="Q73" i="2"/>
  <c r="R72" i="2" a="1"/>
  <c r="R72" i="2"/>
  <c r="S72" i="2" a="1"/>
  <c r="S72" i="2"/>
  <c r="T72" i="2" a="1"/>
  <c r="T72" i="2"/>
  <c r="U72" i="2" a="1"/>
  <c r="U72" i="2"/>
  <c r="Q72" i="2" a="1"/>
  <c r="Q72" i="2"/>
  <c r="Q31" i="7"/>
  <c r="R31" i="7"/>
  <c r="S31" i="7"/>
  <c r="T31" i="7"/>
  <c r="U31" i="7"/>
  <c r="R206" i="7"/>
  <c r="S206" i="7"/>
  <c r="T206" i="7"/>
  <c r="U206" i="7"/>
  <c r="R207" i="7"/>
  <c r="S207" i="7"/>
  <c r="T207" i="7"/>
  <c r="U207" i="7"/>
  <c r="R208" i="7"/>
  <c r="S208" i="7"/>
  <c r="T208" i="7"/>
  <c r="U208" i="7"/>
  <c r="R209" i="7"/>
  <c r="S209" i="7"/>
  <c r="T209" i="7"/>
  <c r="U209" i="7"/>
  <c r="R210" i="7"/>
  <c r="S210" i="7"/>
  <c r="T210" i="7"/>
  <c r="U210" i="7"/>
  <c r="R211" i="7"/>
  <c r="S211" i="7"/>
  <c r="T211" i="7"/>
  <c r="U211" i="7"/>
  <c r="R212" i="7"/>
  <c r="S212" i="7"/>
  <c r="T212" i="7"/>
  <c r="U212" i="7"/>
  <c r="R213" i="7"/>
  <c r="S213" i="7"/>
  <c r="T213" i="7"/>
  <c r="U213" i="7"/>
  <c r="R214" i="7"/>
  <c r="S214" i="7"/>
  <c r="T214" i="7"/>
  <c r="U214" i="7"/>
  <c r="R215" i="7"/>
  <c r="S215" i="7"/>
  <c r="T215" i="7"/>
  <c r="U215" i="7"/>
  <c r="R216" i="7"/>
  <c r="S216" i="7"/>
  <c r="T216" i="7"/>
  <c r="U216" i="7"/>
  <c r="R217" i="7"/>
  <c r="S217" i="7"/>
  <c r="T217" i="7"/>
  <c r="U217" i="7"/>
  <c r="R218" i="7"/>
  <c r="S218" i="7"/>
  <c r="T218" i="7"/>
  <c r="U218" i="7"/>
  <c r="R219" i="7"/>
  <c r="S219" i="7"/>
  <c r="T219" i="7"/>
  <c r="U219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06" i="7"/>
  <c r="R193" i="7"/>
  <c r="S193" i="7"/>
  <c r="T193" i="7"/>
  <c r="U193" i="7"/>
  <c r="R194" i="7"/>
  <c r="S194" i="7"/>
  <c r="T194" i="7"/>
  <c r="U194" i="7"/>
  <c r="R195" i="7"/>
  <c r="S195" i="7"/>
  <c r="T195" i="7"/>
  <c r="U195" i="7"/>
  <c r="R196" i="7"/>
  <c r="S196" i="7"/>
  <c r="T196" i="7"/>
  <c r="U196" i="7"/>
  <c r="R197" i="7"/>
  <c r="S197" i="7"/>
  <c r="T197" i="7"/>
  <c r="U197" i="7"/>
  <c r="R198" i="7"/>
  <c r="S198" i="7"/>
  <c r="T198" i="7"/>
  <c r="U198" i="7"/>
  <c r="R199" i="7"/>
  <c r="S199" i="7"/>
  <c r="T199" i="7"/>
  <c r="U199" i="7"/>
  <c r="R200" i="7"/>
  <c r="S200" i="7"/>
  <c r="T200" i="7"/>
  <c r="U200" i="7"/>
  <c r="R201" i="7"/>
  <c r="S201" i="7"/>
  <c r="T201" i="7"/>
  <c r="U201" i="7"/>
  <c r="R202" i="7"/>
  <c r="S202" i="7"/>
  <c r="T202" i="7"/>
  <c r="U202" i="7"/>
  <c r="R203" i="7"/>
  <c r="S203" i="7"/>
  <c r="T203" i="7"/>
  <c r="U203" i="7"/>
  <c r="R204" i="7"/>
  <c r="S204" i="7"/>
  <c r="T204" i="7"/>
  <c r="U204" i="7"/>
  <c r="Q194" i="7"/>
  <c r="Q195" i="7"/>
  <c r="Q196" i="7"/>
  <c r="Q197" i="7"/>
  <c r="Q198" i="7"/>
  <c r="Q199" i="7"/>
  <c r="Q200" i="7"/>
  <c r="Q201" i="7"/>
  <c r="Q202" i="7"/>
  <c r="Q203" i="7"/>
  <c r="Q204" i="7"/>
  <c r="Q193" i="7"/>
  <c r="Q14" i="7"/>
  <c r="R14" i="7"/>
  <c r="S14" i="7"/>
  <c r="T14" i="7"/>
  <c r="U14" i="7"/>
  <c r="R162" i="7"/>
  <c r="S162" i="7"/>
  <c r="T162" i="7"/>
  <c r="U162" i="7"/>
  <c r="R163" i="7"/>
  <c r="S163" i="7"/>
  <c r="T163" i="7"/>
  <c r="U163" i="7"/>
  <c r="R164" i="7"/>
  <c r="S164" i="7"/>
  <c r="T164" i="7"/>
  <c r="U164" i="7"/>
  <c r="R165" i="7"/>
  <c r="S165" i="7"/>
  <c r="T165" i="7"/>
  <c r="U165" i="7"/>
  <c r="R166" i="7"/>
  <c r="S166" i="7"/>
  <c r="T166" i="7"/>
  <c r="U166" i="7"/>
  <c r="R167" i="7"/>
  <c r="S167" i="7"/>
  <c r="T167" i="7"/>
  <c r="U167" i="7"/>
  <c r="R168" i="7"/>
  <c r="S168" i="7"/>
  <c r="T168" i="7"/>
  <c r="U168" i="7"/>
  <c r="R169" i="7"/>
  <c r="S169" i="7"/>
  <c r="T169" i="7"/>
  <c r="U169" i="7"/>
  <c r="R170" i="7"/>
  <c r="S170" i="7"/>
  <c r="T170" i="7"/>
  <c r="U170" i="7"/>
  <c r="R171" i="7"/>
  <c r="S171" i="7"/>
  <c r="T171" i="7"/>
  <c r="U171" i="7"/>
  <c r="R172" i="7"/>
  <c r="S172" i="7"/>
  <c r="T172" i="7"/>
  <c r="U172" i="7"/>
  <c r="R173" i="7"/>
  <c r="S173" i="7"/>
  <c r="T173" i="7"/>
  <c r="U173" i="7"/>
  <c r="R174" i="7"/>
  <c r="S174" i="7"/>
  <c r="T174" i="7"/>
  <c r="U174" i="7"/>
  <c r="R175" i="7"/>
  <c r="S175" i="7"/>
  <c r="T175" i="7"/>
  <c r="U175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62" i="7"/>
  <c r="R150" i="7"/>
  <c r="S150" i="7"/>
  <c r="T150" i="7"/>
  <c r="U150" i="7"/>
  <c r="R151" i="7"/>
  <c r="S151" i="7"/>
  <c r="T151" i="7"/>
  <c r="U151" i="7"/>
  <c r="R152" i="7"/>
  <c r="S152" i="7"/>
  <c r="T152" i="7"/>
  <c r="U152" i="7"/>
  <c r="R153" i="7"/>
  <c r="S153" i="7"/>
  <c r="T153" i="7"/>
  <c r="U153" i="7"/>
  <c r="R154" i="7"/>
  <c r="S154" i="7"/>
  <c r="T154" i="7"/>
  <c r="U154" i="7"/>
  <c r="R155" i="7"/>
  <c r="S155" i="7"/>
  <c r="T155" i="7"/>
  <c r="U155" i="7"/>
  <c r="R156" i="7"/>
  <c r="S156" i="7"/>
  <c r="T156" i="7"/>
  <c r="U156" i="7"/>
  <c r="R157" i="7"/>
  <c r="S157" i="7"/>
  <c r="T157" i="7"/>
  <c r="U157" i="7"/>
  <c r="R158" i="7"/>
  <c r="S158" i="7"/>
  <c r="T158" i="7"/>
  <c r="U158" i="7"/>
  <c r="R159" i="7"/>
  <c r="S159" i="7"/>
  <c r="T159" i="7"/>
  <c r="U159" i="7"/>
  <c r="R160" i="7"/>
  <c r="S160" i="7"/>
  <c r="T160" i="7"/>
  <c r="U160" i="7"/>
  <c r="Q151" i="7"/>
  <c r="Q152" i="7"/>
  <c r="Q153" i="7"/>
  <c r="Q154" i="7"/>
  <c r="Q155" i="7"/>
  <c r="Q156" i="7"/>
  <c r="Q157" i="7"/>
  <c r="Q158" i="7"/>
  <c r="Q159" i="7"/>
  <c r="Q160" i="7"/>
  <c r="Q150" i="7"/>
  <c r="R122" i="7"/>
  <c r="S122" i="7"/>
  <c r="T122" i="7"/>
  <c r="U122" i="7"/>
  <c r="R123" i="7"/>
  <c r="S123" i="7"/>
  <c r="T123" i="7"/>
  <c r="U123" i="7"/>
  <c r="R124" i="7"/>
  <c r="S124" i="7"/>
  <c r="T124" i="7"/>
  <c r="U124" i="7"/>
  <c r="R125" i="7"/>
  <c r="S125" i="7"/>
  <c r="T125" i="7"/>
  <c r="U125" i="7"/>
  <c r="R126" i="7"/>
  <c r="S126" i="7"/>
  <c r="T126" i="7"/>
  <c r="U126" i="7"/>
  <c r="R127" i="7"/>
  <c r="S127" i="7"/>
  <c r="T127" i="7"/>
  <c r="U127" i="7"/>
  <c r="R128" i="7"/>
  <c r="S128" i="7"/>
  <c r="T128" i="7"/>
  <c r="U128" i="7"/>
  <c r="R129" i="7"/>
  <c r="S129" i="7"/>
  <c r="T129" i="7"/>
  <c r="U129" i="7"/>
  <c r="R130" i="7"/>
  <c r="S130" i="7"/>
  <c r="T130" i="7"/>
  <c r="U130" i="7"/>
  <c r="R131" i="7"/>
  <c r="S131" i="7"/>
  <c r="T131" i="7"/>
  <c r="U131" i="7"/>
  <c r="R132" i="7"/>
  <c r="S132" i="7"/>
  <c r="T132" i="7"/>
  <c r="U132" i="7"/>
  <c r="R133" i="7"/>
  <c r="S133" i="7"/>
  <c r="T133" i="7"/>
  <c r="U133" i="7"/>
  <c r="Q123" i="7"/>
  <c r="Q124" i="7"/>
  <c r="Q125" i="7"/>
  <c r="Q126" i="7"/>
  <c r="Q127" i="7"/>
  <c r="Q128" i="7"/>
  <c r="Q129" i="7"/>
  <c r="Q130" i="7"/>
  <c r="Q131" i="7"/>
  <c r="Q132" i="7"/>
  <c r="Q133" i="7"/>
  <c r="Q122" i="7"/>
  <c r="R110" i="7"/>
  <c r="S110" i="7"/>
  <c r="T110" i="7"/>
  <c r="U110" i="7"/>
  <c r="R111" i="7"/>
  <c r="S111" i="7"/>
  <c r="T111" i="7"/>
  <c r="U111" i="7"/>
  <c r="R112" i="7"/>
  <c r="S112" i="7"/>
  <c r="T112" i="7"/>
  <c r="U112" i="7"/>
  <c r="R113" i="7"/>
  <c r="S113" i="7"/>
  <c r="T113" i="7"/>
  <c r="U113" i="7"/>
  <c r="R114" i="7"/>
  <c r="S114" i="7"/>
  <c r="T114" i="7"/>
  <c r="U114" i="7"/>
  <c r="R115" i="7"/>
  <c r="S115" i="7"/>
  <c r="T115" i="7"/>
  <c r="U115" i="7"/>
  <c r="R116" i="7"/>
  <c r="S116" i="7"/>
  <c r="T116" i="7"/>
  <c r="U116" i="7"/>
  <c r="R117" i="7"/>
  <c r="S117" i="7"/>
  <c r="T117" i="7"/>
  <c r="U117" i="7"/>
  <c r="R118" i="7"/>
  <c r="S118" i="7"/>
  <c r="T118" i="7"/>
  <c r="U118" i="7"/>
  <c r="R119" i="7"/>
  <c r="S119" i="7"/>
  <c r="T119" i="7"/>
  <c r="U119" i="7"/>
  <c r="R120" i="7"/>
  <c r="S120" i="7"/>
  <c r="T120" i="7"/>
  <c r="U120" i="7"/>
  <c r="Q111" i="7"/>
  <c r="Q112" i="7"/>
  <c r="Q113" i="7"/>
  <c r="Q114" i="7"/>
  <c r="Q115" i="7"/>
  <c r="Q116" i="7"/>
  <c r="Q117" i="7"/>
  <c r="Q118" i="7"/>
  <c r="Q119" i="7"/>
  <c r="Q120" i="7"/>
  <c r="Q110" i="7"/>
  <c r="S232" i="7"/>
  <c r="R232" i="7"/>
  <c r="R222" i="7"/>
  <c r="S222" i="7"/>
  <c r="R227" i="7"/>
  <c r="R223" i="7"/>
  <c r="R224" i="7"/>
  <c r="S223" i="7"/>
  <c r="S224" i="7"/>
  <c r="R225" i="7"/>
  <c r="R228" i="7"/>
  <c r="R229" i="7"/>
  <c r="R231" i="7"/>
  <c r="R230" i="7"/>
  <c r="S188" i="7"/>
  <c r="R188" i="7"/>
  <c r="R178" i="7"/>
  <c r="S178" i="7"/>
  <c r="R183" i="7"/>
  <c r="R179" i="7"/>
  <c r="R180" i="7"/>
  <c r="S179" i="7"/>
  <c r="S180" i="7"/>
  <c r="R181" i="7"/>
  <c r="R184" i="7"/>
  <c r="R185" i="7"/>
  <c r="R187" i="7"/>
  <c r="R186" i="7"/>
  <c r="S146" i="7"/>
  <c r="R146" i="7"/>
  <c r="R136" i="7"/>
  <c r="S136" i="7"/>
  <c r="R141" i="7"/>
  <c r="R137" i="7"/>
  <c r="R138" i="7"/>
  <c r="S137" i="7"/>
  <c r="S138" i="7"/>
  <c r="R139" i="7"/>
  <c r="R142" i="7"/>
  <c r="R143" i="7"/>
  <c r="R145" i="7"/>
  <c r="R144" i="7"/>
  <c r="J106" i="7"/>
  <c r="J31" i="7"/>
  <c r="K31" i="7"/>
  <c r="L31" i="7"/>
  <c r="M31" i="7"/>
  <c r="N31" i="7"/>
  <c r="J206" i="7"/>
  <c r="K206" i="7"/>
  <c r="L206" i="7"/>
  <c r="M206" i="7"/>
  <c r="J207" i="7"/>
  <c r="K207" i="7"/>
  <c r="L207" i="7"/>
  <c r="M207" i="7"/>
  <c r="J208" i="7"/>
  <c r="K208" i="7"/>
  <c r="L208" i="7"/>
  <c r="M208" i="7"/>
  <c r="J209" i="7"/>
  <c r="K209" i="7"/>
  <c r="L209" i="7"/>
  <c r="M209" i="7"/>
  <c r="J210" i="7"/>
  <c r="K210" i="7"/>
  <c r="L210" i="7"/>
  <c r="M210" i="7"/>
  <c r="J211" i="7"/>
  <c r="K211" i="7"/>
  <c r="L211" i="7"/>
  <c r="M211" i="7"/>
  <c r="J212" i="7"/>
  <c r="K212" i="7"/>
  <c r="L212" i="7"/>
  <c r="M212" i="7"/>
  <c r="J213" i="7"/>
  <c r="K213" i="7"/>
  <c r="L213" i="7"/>
  <c r="M213" i="7"/>
  <c r="J214" i="7"/>
  <c r="K214" i="7"/>
  <c r="L214" i="7"/>
  <c r="M214" i="7"/>
  <c r="J215" i="7"/>
  <c r="K215" i="7"/>
  <c r="L215" i="7"/>
  <c r="M215" i="7"/>
  <c r="J216" i="7"/>
  <c r="K216" i="7"/>
  <c r="L216" i="7"/>
  <c r="M216" i="7"/>
  <c r="J217" i="7"/>
  <c r="K217" i="7"/>
  <c r="L217" i="7"/>
  <c r="M217" i="7"/>
  <c r="J218" i="7"/>
  <c r="K218" i="7"/>
  <c r="L218" i="7"/>
  <c r="M218" i="7"/>
  <c r="J219" i="7"/>
  <c r="K219" i="7"/>
  <c r="L219" i="7"/>
  <c r="M219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06" i="7"/>
  <c r="J193" i="7"/>
  <c r="K193" i="7"/>
  <c r="L193" i="7"/>
  <c r="M193" i="7"/>
  <c r="J194" i="7"/>
  <c r="K194" i="7"/>
  <c r="L194" i="7"/>
  <c r="M194" i="7"/>
  <c r="J195" i="7"/>
  <c r="K195" i="7"/>
  <c r="L195" i="7"/>
  <c r="M195" i="7"/>
  <c r="J196" i="7"/>
  <c r="K196" i="7"/>
  <c r="L196" i="7"/>
  <c r="M196" i="7"/>
  <c r="J197" i="7"/>
  <c r="K197" i="7"/>
  <c r="L197" i="7"/>
  <c r="M197" i="7"/>
  <c r="J198" i="7"/>
  <c r="K198" i="7"/>
  <c r="L198" i="7"/>
  <c r="M198" i="7"/>
  <c r="J199" i="7"/>
  <c r="K199" i="7"/>
  <c r="L199" i="7"/>
  <c r="M199" i="7"/>
  <c r="J200" i="7"/>
  <c r="K200" i="7"/>
  <c r="L200" i="7"/>
  <c r="M200" i="7"/>
  <c r="J201" i="7"/>
  <c r="K201" i="7"/>
  <c r="L201" i="7"/>
  <c r="M201" i="7"/>
  <c r="J202" i="7"/>
  <c r="K202" i="7"/>
  <c r="L202" i="7"/>
  <c r="M202" i="7"/>
  <c r="J203" i="7"/>
  <c r="K203" i="7"/>
  <c r="L203" i="7"/>
  <c r="M203" i="7"/>
  <c r="J204" i="7"/>
  <c r="K204" i="7"/>
  <c r="L204" i="7"/>
  <c r="M204" i="7"/>
  <c r="I194" i="7"/>
  <c r="I195" i="7"/>
  <c r="I196" i="7"/>
  <c r="I197" i="7"/>
  <c r="I198" i="7"/>
  <c r="I199" i="7"/>
  <c r="I200" i="7"/>
  <c r="I201" i="7"/>
  <c r="I202" i="7"/>
  <c r="I203" i="7"/>
  <c r="I204" i="7"/>
  <c r="I193" i="7"/>
  <c r="J14" i="7"/>
  <c r="K14" i="7"/>
  <c r="L14" i="7"/>
  <c r="M14" i="7"/>
  <c r="N14" i="7"/>
  <c r="J162" i="7"/>
  <c r="K162" i="7"/>
  <c r="L162" i="7"/>
  <c r="M162" i="7"/>
  <c r="J163" i="7"/>
  <c r="K163" i="7"/>
  <c r="L163" i="7"/>
  <c r="M163" i="7"/>
  <c r="J164" i="7"/>
  <c r="K164" i="7"/>
  <c r="L164" i="7"/>
  <c r="M164" i="7"/>
  <c r="J165" i="7"/>
  <c r="K165" i="7"/>
  <c r="L165" i="7"/>
  <c r="M165" i="7"/>
  <c r="J166" i="7"/>
  <c r="K166" i="7"/>
  <c r="L166" i="7"/>
  <c r="M166" i="7"/>
  <c r="J167" i="7"/>
  <c r="K167" i="7"/>
  <c r="L167" i="7"/>
  <c r="M167" i="7"/>
  <c r="J168" i="7"/>
  <c r="K168" i="7"/>
  <c r="L168" i="7"/>
  <c r="M168" i="7"/>
  <c r="J169" i="7"/>
  <c r="K169" i="7"/>
  <c r="L169" i="7"/>
  <c r="M169" i="7"/>
  <c r="J170" i="7"/>
  <c r="K170" i="7"/>
  <c r="L170" i="7"/>
  <c r="M170" i="7"/>
  <c r="J171" i="7"/>
  <c r="K171" i="7"/>
  <c r="L171" i="7"/>
  <c r="M171" i="7"/>
  <c r="J172" i="7"/>
  <c r="K172" i="7"/>
  <c r="L172" i="7"/>
  <c r="M172" i="7"/>
  <c r="J173" i="7"/>
  <c r="K173" i="7"/>
  <c r="L173" i="7"/>
  <c r="M173" i="7"/>
  <c r="J174" i="7"/>
  <c r="K174" i="7"/>
  <c r="L174" i="7"/>
  <c r="M174" i="7"/>
  <c r="J175" i="7"/>
  <c r="K175" i="7"/>
  <c r="L175" i="7"/>
  <c r="M175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62" i="7"/>
  <c r="J150" i="7"/>
  <c r="K150" i="7"/>
  <c r="L150" i="7"/>
  <c r="M150" i="7"/>
  <c r="J151" i="7"/>
  <c r="K151" i="7"/>
  <c r="L151" i="7"/>
  <c r="M151" i="7"/>
  <c r="J152" i="7"/>
  <c r="K152" i="7"/>
  <c r="L152" i="7"/>
  <c r="M152" i="7"/>
  <c r="J153" i="7"/>
  <c r="K153" i="7"/>
  <c r="L153" i="7"/>
  <c r="M153" i="7"/>
  <c r="J154" i="7"/>
  <c r="K154" i="7"/>
  <c r="L154" i="7"/>
  <c r="M154" i="7"/>
  <c r="J155" i="7"/>
  <c r="K155" i="7"/>
  <c r="L155" i="7"/>
  <c r="M155" i="7"/>
  <c r="J156" i="7"/>
  <c r="K156" i="7"/>
  <c r="L156" i="7"/>
  <c r="M156" i="7"/>
  <c r="J157" i="7"/>
  <c r="K157" i="7"/>
  <c r="L157" i="7"/>
  <c r="M157" i="7"/>
  <c r="J158" i="7"/>
  <c r="K158" i="7"/>
  <c r="L158" i="7"/>
  <c r="M158" i="7"/>
  <c r="J159" i="7"/>
  <c r="K159" i="7"/>
  <c r="L159" i="7"/>
  <c r="M159" i="7"/>
  <c r="J160" i="7"/>
  <c r="K160" i="7"/>
  <c r="L160" i="7"/>
  <c r="M160" i="7"/>
  <c r="I151" i="7"/>
  <c r="I152" i="7"/>
  <c r="I153" i="7"/>
  <c r="I154" i="7"/>
  <c r="I155" i="7"/>
  <c r="I156" i="7"/>
  <c r="I157" i="7"/>
  <c r="I158" i="7"/>
  <c r="I159" i="7"/>
  <c r="I160" i="7"/>
  <c r="I150" i="7"/>
  <c r="J122" i="7"/>
  <c r="K122" i="7"/>
  <c r="L122" i="7"/>
  <c r="M122" i="7"/>
  <c r="J123" i="7"/>
  <c r="K123" i="7"/>
  <c r="L123" i="7"/>
  <c r="M123" i="7"/>
  <c r="J124" i="7"/>
  <c r="K124" i="7"/>
  <c r="L124" i="7"/>
  <c r="M124" i="7"/>
  <c r="J125" i="7"/>
  <c r="K125" i="7"/>
  <c r="L125" i="7"/>
  <c r="M125" i="7"/>
  <c r="J126" i="7"/>
  <c r="K126" i="7"/>
  <c r="L126" i="7"/>
  <c r="M126" i="7"/>
  <c r="J127" i="7"/>
  <c r="K127" i="7"/>
  <c r="L127" i="7"/>
  <c r="M127" i="7"/>
  <c r="J128" i="7"/>
  <c r="K128" i="7"/>
  <c r="L128" i="7"/>
  <c r="M128" i="7"/>
  <c r="J129" i="7"/>
  <c r="K129" i="7"/>
  <c r="L129" i="7"/>
  <c r="M129" i="7"/>
  <c r="J130" i="7"/>
  <c r="K130" i="7"/>
  <c r="L130" i="7"/>
  <c r="M130" i="7"/>
  <c r="J131" i="7"/>
  <c r="K131" i="7"/>
  <c r="L131" i="7"/>
  <c r="M131" i="7"/>
  <c r="J132" i="7"/>
  <c r="K132" i="7"/>
  <c r="L132" i="7"/>
  <c r="M132" i="7"/>
  <c r="J133" i="7"/>
  <c r="K133" i="7"/>
  <c r="L133" i="7"/>
  <c r="M133" i="7"/>
  <c r="I123" i="7"/>
  <c r="I124" i="7"/>
  <c r="I125" i="7"/>
  <c r="I126" i="7"/>
  <c r="I127" i="7"/>
  <c r="I128" i="7"/>
  <c r="I129" i="7"/>
  <c r="I130" i="7"/>
  <c r="I131" i="7"/>
  <c r="I132" i="7"/>
  <c r="I133" i="7"/>
  <c r="I122" i="7"/>
  <c r="J110" i="7"/>
  <c r="K110" i="7"/>
  <c r="L110" i="7"/>
  <c r="M110" i="7"/>
  <c r="J111" i="7"/>
  <c r="K111" i="7"/>
  <c r="L111" i="7"/>
  <c r="M111" i="7"/>
  <c r="J112" i="7"/>
  <c r="K112" i="7"/>
  <c r="L112" i="7"/>
  <c r="M112" i="7"/>
  <c r="J113" i="7"/>
  <c r="K113" i="7"/>
  <c r="L113" i="7"/>
  <c r="M113" i="7"/>
  <c r="J114" i="7"/>
  <c r="K114" i="7"/>
  <c r="L114" i="7"/>
  <c r="M114" i="7"/>
  <c r="J115" i="7"/>
  <c r="K115" i="7"/>
  <c r="L115" i="7"/>
  <c r="M115" i="7"/>
  <c r="J116" i="7"/>
  <c r="K116" i="7"/>
  <c r="L116" i="7"/>
  <c r="M116" i="7"/>
  <c r="J117" i="7"/>
  <c r="K117" i="7"/>
  <c r="L117" i="7"/>
  <c r="M117" i="7"/>
  <c r="J118" i="7"/>
  <c r="K118" i="7"/>
  <c r="L118" i="7"/>
  <c r="M118" i="7"/>
  <c r="J119" i="7"/>
  <c r="K119" i="7"/>
  <c r="L119" i="7"/>
  <c r="M119" i="7"/>
  <c r="J120" i="7"/>
  <c r="K120" i="7"/>
  <c r="L120" i="7"/>
  <c r="M120" i="7"/>
  <c r="I111" i="7"/>
  <c r="I112" i="7"/>
  <c r="I113" i="7"/>
  <c r="I114" i="7"/>
  <c r="I115" i="7"/>
  <c r="I116" i="7"/>
  <c r="I117" i="7"/>
  <c r="I118" i="7"/>
  <c r="I119" i="7"/>
  <c r="I120" i="7"/>
  <c r="I110" i="7"/>
  <c r="K232" i="7"/>
  <c r="J232" i="7"/>
  <c r="J222" i="7"/>
  <c r="K222" i="7"/>
  <c r="J227" i="7"/>
  <c r="J223" i="7"/>
  <c r="J224" i="7"/>
  <c r="K223" i="7"/>
  <c r="K224" i="7"/>
  <c r="J225" i="7"/>
  <c r="J228" i="7"/>
  <c r="J229" i="7"/>
  <c r="J231" i="7"/>
  <c r="J230" i="7"/>
  <c r="K188" i="7"/>
  <c r="J188" i="7"/>
  <c r="J178" i="7"/>
  <c r="K178" i="7"/>
  <c r="J183" i="7"/>
  <c r="J179" i="7"/>
  <c r="J180" i="7"/>
  <c r="K179" i="7"/>
  <c r="K180" i="7"/>
  <c r="J181" i="7"/>
  <c r="J184" i="7"/>
  <c r="J185" i="7"/>
  <c r="J187" i="7"/>
  <c r="J186" i="7"/>
  <c r="K146" i="7"/>
  <c r="J146" i="7"/>
  <c r="J136" i="7"/>
  <c r="K136" i="7"/>
  <c r="J141" i="7"/>
  <c r="J137" i="7"/>
  <c r="J138" i="7"/>
  <c r="K137" i="7"/>
  <c r="K138" i="7"/>
  <c r="J139" i="7"/>
  <c r="J142" i="7"/>
  <c r="J143" i="7"/>
  <c r="J145" i="7"/>
  <c r="J144" i="7"/>
  <c r="C31" i="7"/>
  <c r="D31" i="7"/>
  <c r="E31" i="7"/>
  <c r="F31" i="7"/>
  <c r="G31" i="7"/>
  <c r="C193" i="7"/>
  <c r="D193" i="7"/>
  <c r="E193" i="7"/>
  <c r="F193" i="7"/>
  <c r="G193" i="7"/>
  <c r="C194" i="7"/>
  <c r="D194" i="7"/>
  <c r="E194" i="7"/>
  <c r="F194" i="7"/>
  <c r="G194" i="7"/>
  <c r="C195" i="7"/>
  <c r="D195" i="7"/>
  <c r="E195" i="7"/>
  <c r="F195" i="7"/>
  <c r="G195" i="7"/>
  <c r="C196" i="7"/>
  <c r="D196" i="7"/>
  <c r="E196" i="7"/>
  <c r="F196" i="7"/>
  <c r="G196" i="7"/>
  <c r="C197" i="7"/>
  <c r="D197" i="7"/>
  <c r="E197" i="7"/>
  <c r="F197" i="7"/>
  <c r="G197" i="7"/>
  <c r="C198" i="7"/>
  <c r="D198" i="7"/>
  <c r="E198" i="7"/>
  <c r="F198" i="7"/>
  <c r="G198" i="7"/>
  <c r="C199" i="7"/>
  <c r="D199" i="7"/>
  <c r="E199" i="7"/>
  <c r="F199" i="7"/>
  <c r="G199" i="7"/>
  <c r="C200" i="7"/>
  <c r="D200" i="7"/>
  <c r="E200" i="7"/>
  <c r="F200" i="7"/>
  <c r="G200" i="7"/>
  <c r="C201" i="7"/>
  <c r="D201" i="7"/>
  <c r="E201" i="7"/>
  <c r="F201" i="7"/>
  <c r="G201" i="7"/>
  <c r="C202" i="7"/>
  <c r="D202" i="7"/>
  <c r="E202" i="7"/>
  <c r="F202" i="7"/>
  <c r="G202" i="7"/>
  <c r="C203" i="7"/>
  <c r="D203" i="7"/>
  <c r="E203" i="7"/>
  <c r="F203" i="7"/>
  <c r="G203" i="7"/>
  <c r="C204" i="7"/>
  <c r="D204" i="7"/>
  <c r="E204" i="7"/>
  <c r="F204" i="7"/>
  <c r="G204" i="7"/>
  <c r="D222" i="7"/>
  <c r="C206" i="7"/>
  <c r="D206" i="7"/>
  <c r="E206" i="7"/>
  <c r="F206" i="7"/>
  <c r="G206" i="7"/>
  <c r="C207" i="7"/>
  <c r="D207" i="7"/>
  <c r="E207" i="7"/>
  <c r="F207" i="7"/>
  <c r="G207" i="7"/>
  <c r="C208" i="7"/>
  <c r="D208" i="7"/>
  <c r="E208" i="7"/>
  <c r="F208" i="7"/>
  <c r="G208" i="7"/>
  <c r="C209" i="7"/>
  <c r="D209" i="7"/>
  <c r="E209" i="7"/>
  <c r="F209" i="7"/>
  <c r="G209" i="7"/>
  <c r="C210" i="7"/>
  <c r="D210" i="7"/>
  <c r="E210" i="7"/>
  <c r="F210" i="7"/>
  <c r="G210" i="7"/>
  <c r="C211" i="7"/>
  <c r="D211" i="7"/>
  <c r="E211" i="7"/>
  <c r="F211" i="7"/>
  <c r="G211" i="7"/>
  <c r="C212" i="7"/>
  <c r="D212" i="7"/>
  <c r="E212" i="7"/>
  <c r="F212" i="7"/>
  <c r="G212" i="7"/>
  <c r="C213" i="7"/>
  <c r="D213" i="7"/>
  <c r="E213" i="7"/>
  <c r="F213" i="7"/>
  <c r="G213" i="7"/>
  <c r="C214" i="7"/>
  <c r="D214" i="7"/>
  <c r="E214" i="7"/>
  <c r="F214" i="7"/>
  <c r="G214" i="7"/>
  <c r="C215" i="7"/>
  <c r="D215" i="7"/>
  <c r="E215" i="7"/>
  <c r="F215" i="7"/>
  <c r="G215" i="7"/>
  <c r="C216" i="7"/>
  <c r="D216" i="7"/>
  <c r="E216" i="7"/>
  <c r="F216" i="7"/>
  <c r="G216" i="7"/>
  <c r="C217" i="7"/>
  <c r="D217" i="7"/>
  <c r="E217" i="7"/>
  <c r="F217" i="7"/>
  <c r="G217" i="7"/>
  <c r="C218" i="7"/>
  <c r="D218" i="7"/>
  <c r="E218" i="7"/>
  <c r="F218" i="7"/>
  <c r="G218" i="7"/>
  <c r="C219" i="7"/>
  <c r="D219" i="7"/>
  <c r="E219" i="7"/>
  <c r="F219" i="7"/>
  <c r="G219" i="7"/>
  <c r="E222" i="7"/>
  <c r="D227" i="7"/>
  <c r="D223" i="7"/>
  <c r="D224" i="7"/>
  <c r="E223" i="7"/>
  <c r="E224" i="7"/>
  <c r="D225" i="7"/>
  <c r="D228" i="7"/>
  <c r="D229" i="7"/>
  <c r="D231" i="7"/>
  <c r="C14" i="7"/>
  <c r="D14" i="7"/>
  <c r="E14" i="7"/>
  <c r="F14" i="7"/>
  <c r="G14" i="7"/>
  <c r="C150" i="7"/>
  <c r="D150" i="7"/>
  <c r="E150" i="7"/>
  <c r="F150" i="7"/>
  <c r="G150" i="7"/>
  <c r="C151" i="7"/>
  <c r="D151" i="7"/>
  <c r="E151" i="7"/>
  <c r="F151" i="7"/>
  <c r="G151" i="7"/>
  <c r="C152" i="7"/>
  <c r="D152" i="7"/>
  <c r="E152" i="7"/>
  <c r="F152" i="7"/>
  <c r="G152" i="7"/>
  <c r="C153" i="7"/>
  <c r="D153" i="7"/>
  <c r="E153" i="7"/>
  <c r="F153" i="7"/>
  <c r="G153" i="7"/>
  <c r="C154" i="7"/>
  <c r="D154" i="7"/>
  <c r="E154" i="7"/>
  <c r="F154" i="7"/>
  <c r="G154" i="7"/>
  <c r="C155" i="7"/>
  <c r="D155" i="7"/>
  <c r="E155" i="7"/>
  <c r="F155" i="7"/>
  <c r="G155" i="7"/>
  <c r="C156" i="7"/>
  <c r="D156" i="7"/>
  <c r="E156" i="7"/>
  <c r="F156" i="7"/>
  <c r="G156" i="7"/>
  <c r="C157" i="7"/>
  <c r="D157" i="7"/>
  <c r="E157" i="7"/>
  <c r="F157" i="7"/>
  <c r="G157" i="7"/>
  <c r="C158" i="7"/>
  <c r="D158" i="7"/>
  <c r="E158" i="7"/>
  <c r="F158" i="7"/>
  <c r="G158" i="7"/>
  <c r="C159" i="7"/>
  <c r="D159" i="7"/>
  <c r="E159" i="7"/>
  <c r="F159" i="7"/>
  <c r="G159" i="7"/>
  <c r="C160" i="7"/>
  <c r="D160" i="7"/>
  <c r="E160" i="7"/>
  <c r="F160" i="7"/>
  <c r="G160" i="7"/>
  <c r="D178" i="7"/>
  <c r="C162" i="7"/>
  <c r="D162" i="7"/>
  <c r="E162" i="7"/>
  <c r="F162" i="7"/>
  <c r="G162" i="7"/>
  <c r="C163" i="7"/>
  <c r="D163" i="7"/>
  <c r="E163" i="7"/>
  <c r="F163" i="7"/>
  <c r="G163" i="7"/>
  <c r="C164" i="7"/>
  <c r="D164" i="7"/>
  <c r="E164" i="7"/>
  <c r="F164" i="7"/>
  <c r="G164" i="7"/>
  <c r="C165" i="7"/>
  <c r="D165" i="7"/>
  <c r="E165" i="7"/>
  <c r="F165" i="7"/>
  <c r="G165" i="7"/>
  <c r="C166" i="7"/>
  <c r="D166" i="7"/>
  <c r="E166" i="7"/>
  <c r="F166" i="7"/>
  <c r="G166" i="7"/>
  <c r="C167" i="7"/>
  <c r="D167" i="7"/>
  <c r="E167" i="7"/>
  <c r="F167" i="7"/>
  <c r="G167" i="7"/>
  <c r="C168" i="7"/>
  <c r="D168" i="7"/>
  <c r="E168" i="7"/>
  <c r="F168" i="7"/>
  <c r="G168" i="7"/>
  <c r="C169" i="7"/>
  <c r="D169" i="7"/>
  <c r="E169" i="7"/>
  <c r="F169" i="7"/>
  <c r="G169" i="7"/>
  <c r="C170" i="7"/>
  <c r="D170" i="7"/>
  <c r="E170" i="7"/>
  <c r="F170" i="7"/>
  <c r="G170" i="7"/>
  <c r="C171" i="7"/>
  <c r="D171" i="7"/>
  <c r="E171" i="7"/>
  <c r="F171" i="7"/>
  <c r="G171" i="7"/>
  <c r="C172" i="7"/>
  <c r="D172" i="7"/>
  <c r="E172" i="7"/>
  <c r="F172" i="7"/>
  <c r="G172" i="7"/>
  <c r="C173" i="7"/>
  <c r="D173" i="7"/>
  <c r="E173" i="7"/>
  <c r="F173" i="7"/>
  <c r="G173" i="7"/>
  <c r="C174" i="7"/>
  <c r="D174" i="7"/>
  <c r="E174" i="7"/>
  <c r="F174" i="7"/>
  <c r="G174" i="7"/>
  <c r="C175" i="7"/>
  <c r="D175" i="7"/>
  <c r="E175" i="7"/>
  <c r="F175" i="7"/>
  <c r="G175" i="7"/>
  <c r="E178" i="7"/>
  <c r="D183" i="7"/>
  <c r="D179" i="7"/>
  <c r="D180" i="7"/>
  <c r="E179" i="7"/>
  <c r="E180" i="7"/>
  <c r="D181" i="7"/>
  <c r="D184" i="7"/>
  <c r="D185" i="7"/>
  <c r="D187" i="7"/>
  <c r="C110" i="7"/>
  <c r="D110" i="7"/>
  <c r="E110" i="7"/>
  <c r="F110" i="7"/>
  <c r="G110" i="7"/>
  <c r="C111" i="7"/>
  <c r="D111" i="7"/>
  <c r="E111" i="7"/>
  <c r="F111" i="7"/>
  <c r="G111" i="7"/>
  <c r="C112" i="7"/>
  <c r="D112" i="7"/>
  <c r="E112" i="7"/>
  <c r="F112" i="7"/>
  <c r="G112" i="7"/>
  <c r="C113" i="7"/>
  <c r="D113" i="7"/>
  <c r="E113" i="7"/>
  <c r="F113" i="7"/>
  <c r="G113" i="7"/>
  <c r="C114" i="7"/>
  <c r="D114" i="7"/>
  <c r="E114" i="7"/>
  <c r="F114" i="7"/>
  <c r="G114" i="7"/>
  <c r="C115" i="7"/>
  <c r="D115" i="7"/>
  <c r="E115" i="7"/>
  <c r="F115" i="7"/>
  <c r="G115" i="7"/>
  <c r="C116" i="7"/>
  <c r="D116" i="7"/>
  <c r="E116" i="7"/>
  <c r="F116" i="7"/>
  <c r="G116" i="7"/>
  <c r="C117" i="7"/>
  <c r="D117" i="7"/>
  <c r="E117" i="7"/>
  <c r="F117" i="7"/>
  <c r="G117" i="7"/>
  <c r="C118" i="7"/>
  <c r="D118" i="7"/>
  <c r="E118" i="7"/>
  <c r="F118" i="7"/>
  <c r="G118" i="7"/>
  <c r="C119" i="7"/>
  <c r="D119" i="7"/>
  <c r="E119" i="7"/>
  <c r="F119" i="7"/>
  <c r="G119" i="7"/>
  <c r="C120" i="7"/>
  <c r="D120" i="7"/>
  <c r="E120" i="7"/>
  <c r="F120" i="7"/>
  <c r="G120" i="7"/>
  <c r="D136" i="7"/>
  <c r="C122" i="7"/>
  <c r="D122" i="7"/>
  <c r="E122" i="7"/>
  <c r="F122" i="7"/>
  <c r="G122" i="7"/>
  <c r="C123" i="7"/>
  <c r="D123" i="7"/>
  <c r="E123" i="7"/>
  <c r="F123" i="7"/>
  <c r="G123" i="7"/>
  <c r="C124" i="7"/>
  <c r="D124" i="7"/>
  <c r="E124" i="7"/>
  <c r="F124" i="7"/>
  <c r="G124" i="7"/>
  <c r="C125" i="7"/>
  <c r="D125" i="7"/>
  <c r="E125" i="7"/>
  <c r="F125" i="7"/>
  <c r="G125" i="7"/>
  <c r="C126" i="7"/>
  <c r="D126" i="7"/>
  <c r="E126" i="7"/>
  <c r="F126" i="7"/>
  <c r="G126" i="7"/>
  <c r="C127" i="7"/>
  <c r="D127" i="7"/>
  <c r="E127" i="7"/>
  <c r="F127" i="7"/>
  <c r="G127" i="7"/>
  <c r="C128" i="7"/>
  <c r="D128" i="7"/>
  <c r="E128" i="7"/>
  <c r="F128" i="7"/>
  <c r="G128" i="7"/>
  <c r="C129" i="7"/>
  <c r="D129" i="7"/>
  <c r="E129" i="7"/>
  <c r="F129" i="7"/>
  <c r="G129" i="7"/>
  <c r="C130" i="7"/>
  <c r="D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E136" i="7"/>
  <c r="D141" i="7"/>
  <c r="D137" i="7"/>
  <c r="D138" i="7"/>
  <c r="E137" i="7"/>
  <c r="E138" i="7"/>
  <c r="D139" i="7"/>
  <c r="D142" i="7"/>
  <c r="D143" i="7"/>
  <c r="D145" i="7"/>
  <c r="E188" i="7"/>
  <c r="D188" i="7"/>
  <c r="E232" i="7"/>
  <c r="D232" i="7"/>
  <c r="E146" i="7"/>
  <c r="D146" i="7"/>
  <c r="D230" i="7"/>
  <c r="D186" i="7"/>
  <c r="C54" i="7"/>
  <c r="D54" i="7"/>
  <c r="E54" i="7"/>
  <c r="F54" i="7"/>
  <c r="G54" i="7"/>
  <c r="C55" i="7"/>
  <c r="D55" i="7"/>
  <c r="E55" i="7"/>
  <c r="F55" i="7"/>
  <c r="G55" i="7"/>
  <c r="C56" i="7"/>
  <c r="D56" i="7"/>
  <c r="E56" i="7"/>
  <c r="F56" i="7"/>
  <c r="G56" i="7"/>
  <c r="C57" i="7"/>
  <c r="D57" i="7"/>
  <c r="E57" i="7"/>
  <c r="F57" i="7"/>
  <c r="G57" i="7"/>
  <c r="C58" i="7"/>
  <c r="D58" i="7"/>
  <c r="E58" i="7"/>
  <c r="F58" i="7"/>
  <c r="G58" i="7"/>
  <c r="C59" i="7"/>
  <c r="D59" i="7"/>
  <c r="E59" i="7"/>
  <c r="F59" i="7"/>
  <c r="G59" i="7"/>
  <c r="C60" i="7"/>
  <c r="D60" i="7"/>
  <c r="E60" i="7"/>
  <c r="F60" i="7"/>
  <c r="G60" i="7"/>
  <c r="C61" i="7"/>
  <c r="D61" i="7"/>
  <c r="E61" i="7"/>
  <c r="F61" i="7"/>
  <c r="G61" i="7"/>
  <c r="C62" i="7"/>
  <c r="D62" i="7"/>
  <c r="E62" i="7"/>
  <c r="F62" i="7"/>
  <c r="G62" i="7"/>
  <c r="C63" i="7"/>
  <c r="D63" i="7"/>
  <c r="E63" i="7"/>
  <c r="F63" i="7"/>
  <c r="G63" i="7"/>
  <c r="C64" i="7"/>
  <c r="D64" i="7"/>
  <c r="E64" i="7"/>
  <c r="F64" i="7"/>
  <c r="G64" i="7"/>
  <c r="C66" i="7"/>
  <c r="D66" i="7"/>
  <c r="E66" i="7"/>
  <c r="F66" i="7"/>
  <c r="G66" i="7"/>
  <c r="C67" i="7"/>
  <c r="D67" i="7"/>
  <c r="E67" i="7"/>
  <c r="F67" i="7"/>
  <c r="G67" i="7"/>
  <c r="C68" i="7"/>
  <c r="D68" i="7"/>
  <c r="E68" i="7"/>
  <c r="F68" i="7"/>
  <c r="G68" i="7"/>
  <c r="C69" i="7"/>
  <c r="D69" i="7"/>
  <c r="E69" i="7"/>
  <c r="F69" i="7"/>
  <c r="G69" i="7"/>
  <c r="C70" i="7"/>
  <c r="D70" i="7"/>
  <c r="E70" i="7"/>
  <c r="F70" i="7"/>
  <c r="G70" i="7"/>
  <c r="C71" i="7"/>
  <c r="D71" i="7"/>
  <c r="E71" i="7"/>
  <c r="F71" i="7"/>
  <c r="G71" i="7"/>
  <c r="C72" i="7"/>
  <c r="D72" i="7"/>
  <c r="E72" i="7"/>
  <c r="F72" i="7"/>
  <c r="G72" i="7"/>
  <c r="C73" i="7"/>
  <c r="D73" i="7"/>
  <c r="E73" i="7"/>
  <c r="F73" i="7"/>
  <c r="G73" i="7"/>
  <c r="C74" i="7"/>
  <c r="D74" i="7"/>
  <c r="E74" i="7"/>
  <c r="F74" i="7"/>
  <c r="G74" i="7"/>
  <c r="C75" i="7"/>
  <c r="D75" i="7"/>
  <c r="E75" i="7"/>
  <c r="F75" i="7"/>
  <c r="G75" i="7"/>
  <c r="C76" i="7"/>
  <c r="D76" i="7"/>
  <c r="E76" i="7"/>
  <c r="F76" i="7"/>
  <c r="G76" i="7"/>
  <c r="C77" i="7"/>
  <c r="D77" i="7"/>
  <c r="E77" i="7"/>
  <c r="F77" i="7"/>
  <c r="G77" i="7"/>
  <c r="D144" i="7"/>
  <c r="C106" i="7"/>
  <c r="Q54" i="7"/>
  <c r="R54" i="7"/>
  <c r="S54" i="7"/>
  <c r="T54" i="7"/>
  <c r="U54" i="7"/>
  <c r="Q55" i="7"/>
  <c r="R55" i="7"/>
  <c r="S55" i="7"/>
  <c r="T55" i="7"/>
  <c r="U55" i="7"/>
  <c r="Q56" i="7"/>
  <c r="R56" i="7"/>
  <c r="S56" i="7"/>
  <c r="T56" i="7"/>
  <c r="U56" i="7"/>
  <c r="Q57" i="7"/>
  <c r="R57" i="7"/>
  <c r="S57" i="7"/>
  <c r="T57" i="7"/>
  <c r="U57" i="7"/>
  <c r="Q58" i="7"/>
  <c r="R58" i="7"/>
  <c r="S58" i="7"/>
  <c r="T58" i="7"/>
  <c r="U58" i="7"/>
  <c r="Q59" i="7"/>
  <c r="R59" i="7"/>
  <c r="S59" i="7"/>
  <c r="T59" i="7"/>
  <c r="U59" i="7"/>
  <c r="Q60" i="7"/>
  <c r="R60" i="7"/>
  <c r="S60" i="7"/>
  <c r="T60" i="7"/>
  <c r="U60" i="7"/>
  <c r="Q61" i="7"/>
  <c r="R61" i="7"/>
  <c r="S61" i="7"/>
  <c r="T61" i="7"/>
  <c r="U61" i="7"/>
  <c r="Q62" i="7"/>
  <c r="R62" i="7"/>
  <c r="S62" i="7"/>
  <c r="T62" i="7"/>
  <c r="U62" i="7"/>
  <c r="Q63" i="7"/>
  <c r="R63" i="7"/>
  <c r="S63" i="7"/>
  <c r="T63" i="7"/>
  <c r="U63" i="7"/>
  <c r="Q64" i="7"/>
  <c r="R64" i="7"/>
  <c r="S64" i="7"/>
  <c r="T64" i="7"/>
  <c r="U64" i="7"/>
  <c r="Q95" i="7"/>
  <c r="Q79" i="7"/>
  <c r="R79" i="7"/>
  <c r="S79" i="7"/>
  <c r="T79" i="7"/>
  <c r="U79" i="7"/>
  <c r="Q80" i="7"/>
  <c r="R80" i="7"/>
  <c r="S80" i="7"/>
  <c r="T80" i="7"/>
  <c r="U80" i="7"/>
  <c r="Q81" i="7"/>
  <c r="R81" i="7"/>
  <c r="S81" i="7"/>
  <c r="T81" i="7"/>
  <c r="U81" i="7"/>
  <c r="Q82" i="7"/>
  <c r="R82" i="7"/>
  <c r="S82" i="7"/>
  <c r="T82" i="7"/>
  <c r="U82" i="7"/>
  <c r="Q83" i="7"/>
  <c r="R83" i="7"/>
  <c r="S83" i="7"/>
  <c r="T83" i="7"/>
  <c r="U83" i="7"/>
  <c r="Q84" i="7"/>
  <c r="R84" i="7"/>
  <c r="S84" i="7"/>
  <c r="T84" i="7"/>
  <c r="U84" i="7"/>
  <c r="Q85" i="7"/>
  <c r="R85" i="7"/>
  <c r="S85" i="7"/>
  <c r="T85" i="7"/>
  <c r="U85" i="7"/>
  <c r="Q86" i="7"/>
  <c r="R86" i="7"/>
  <c r="S86" i="7"/>
  <c r="T86" i="7"/>
  <c r="U86" i="7"/>
  <c r="Q87" i="7"/>
  <c r="R87" i="7"/>
  <c r="S87" i="7"/>
  <c r="T87" i="7"/>
  <c r="U87" i="7"/>
  <c r="Q88" i="7"/>
  <c r="R88" i="7"/>
  <c r="S88" i="7"/>
  <c r="T88" i="7"/>
  <c r="U88" i="7"/>
  <c r="Q89" i="7"/>
  <c r="R89" i="7"/>
  <c r="S89" i="7"/>
  <c r="T89" i="7"/>
  <c r="U89" i="7"/>
  <c r="Q90" i="7"/>
  <c r="R90" i="7"/>
  <c r="S90" i="7"/>
  <c r="T90" i="7"/>
  <c r="U90" i="7"/>
  <c r="Q91" i="7"/>
  <c r="R91" i="7"/>
  <c r="S91" i="7"/>
  <c r="T91" i="7"/>
  <c r="U91" i="7"/>
  <c r="Q92" i="7"/>
  <c r="R92" i="7"/>
  <c r="S92" i="7"/>
  <c r="T92" i="7"/>
  <c r="U92" i="7"/>
  <c r="S95" i="7"/>
  <c r="Q66" i="7"/>
  <c r="R66" i="7"/>
  <c r="S66" i="7"/>
  <c r="T66" i="7"/>
  <c r="U66" i="7"/>
  <c r="Q67" i="7"/>
  <c r="R67" i="7"/>
  <c r="S67" i="7"/>
  <c r="T67" i="7"/>
  <c r="U67" i="7"/>
  <c r="Q68" i="7"/>
  <c r="R68" i="7"/>
  <c r="S68" i="7"/>
  <c r="T68" i="7"/>
  <c r="U68" i="7"/>
  <c r="Q69" i="7"/>
  <c r="R69" i="7"/>
  <c r="S69" i="7"/>
  <c r="T69" i="7"/>
  <c r="U69" i="7"/>
  <c r="Q70" i="7"/>
  <c r="R70" i="7"/>
  <c r="S70" i="7"/>
  <c r="T70" i="7"/>
  <c r="U70" i="7"/>
  <c r="Q71" i="7"/>
  <c r="R71" i="7"/>
  <c r="S71" i="7"/>
  <c r="T71" i="7"/>
  <c r="U71" i="7"/>
  <c r="Q72" i="7"/>
  <c r="R72" i="7"/>
  <c r="S72" i="7"/>
  <c r="T72" i="7"/>
  <c r="U72" i="7"/>
  <c r="Q73" i="7"/>
  <c r="R73" i="7"/>
  <c r="S73" i="7"/>
  <c r="T73" i="7"/>
  <c r="U73" i="7"/>
  <c r="Q74" i="7"/>
  <c r="R74" i="7"/>
  <c r="S74" i="7"/>
  <c r="T74" i="7"/>
  <c r="U74" i="7"/>
  <c r="Q75" i="7"/>
  <c r="R75" i="7"/>
  <c r="S75" i="7"/>
  <c r="T75" i="7"/>
  <c r="U75" i="7"/>
  <c r="Q76" i="7"/>
  <c r="R76" i="7"/>
  <c r="S76" i="7"/>
  <c r="T76" i="7"/>
  <c r="U76" i="7"/>
  <c r="Q77" i="7"/>
  <c r="R77" i="7"/>
  <c r="S77" i="7"/>
  <c r="T77" i="7"/>
  <c r="U77" i="7"/>
  <c r="R95" i="7"/>
  <c r="J79" i="7"/>
  <c r="K79" i="7"/>
  <c r="L79" i="7"/>
  <c r="M79" i="7"/>
  <c r="N79" i="7"/>
  <c r="J80" i="7"/>
  <c r="K80" i="7"/>
  <c r="L80" i="7"/>
  <c r="M80" i="7"/>
  <c r="N80" i="7"/>
  <c r="J81" i="7"/>
  <c r="K81" i="7"/>
  <c r="L81" i="7"/>
  <c r="M81" i="7"/>
  <c r="N81" i="7"/>
  <c r="J82" i="7"/>
  <c r="K82" i="7"/>
  <c r="L82" i="7"/>
  <c r="M82" i="7"/>
  <c r="N82" i="7"/>
  <c r="J83" i="7"/>
  <c r="K83" i="7"/>
  <c r="L83" i="7"/>
  <c r="M83" i="7"/>
  <c r="N83" i="7"/>
  <c r="J84" i="7"/>
  <c r="K84" i="7"/>
  <c r="L84" i="7"/>
  <c r="M84" i="7"/>
  <c r="N84" i="7"/>
  <c r="J85" i="7"/>
  <c r="K85" i="7"/>
  <c r="L85" i="7"/>
  <c r="M85" i="7"/>
  <c r="N85" i="7"/>
  <c r="J86" i="7"/>
  <c r="K86" i="7"/>
  <c r="L86" i="7"/>
  <c r="M86" i="7"/>
  <c r="N86" i="7"/>
  <c r="J87" i="7"/>
  <c r="K87" i="7"/>
  <c r="L87" i="7"/>
  <c r="M87" i="7"/>
  <c r="N87" i="7"/>
  <c r="J88" i="7"/>
  <c r="K88" i="7"/>
  <c r="L88" i="7"/>
  <c r="M88" i="7"/>
  <c r="N88" i="7"/>
  <c r="J89" i="7"/>
  <c r="K89" i="7"/>
  <c r="L89" i="7"/>
  <c r="M89" i="7"/>
  <c r="N89" i="7"/>
  <c r="J90" i="7"/>
  <c r="K90" i="7"/>
  <c r="L90" i="7"/>
  <c r="M90" i="7"/>
  <c r="N90" i="7"/>
  <c r="J91" i="7"/>
  <c r="K91" i="7"/>
  <c r="L91" i="7"/>
  <c r="M91" i="7"/>
  <c r="N91" i="7"/>
  <c r="J92" i="7"/>
  <c r="K92" i="7"/>
  <c r="L92" i="7"/>
  <c r="M92" i="7"/>
  <c r="N92" i="7"/>
  <c r="L95" i="7"/>
  <c r="J66" i="7"/>
  <c r="K66" i="7"/>
  <c r="L66" i="7"/>
  <c r="M66" i="7"/>
  <c r="N66" i="7"/>
  <c r="J67" i="7"/>
  <c r="K67" i="7"/>
  <c r="L67" i="7"/>
  <c r="M67" i="7"/>
  <c r="N67" i="7"/>
  <c r="J68" i="7"/>
  <c r="K68" i="7"/>
  <c r="L68" i="7"/>
  <c r="M68" i="7"/>
  <c r="N68" i="7"/>
  <c r="J69" i="7"/>
  <c r="K69" i="7"/>
  <c r="L69" i="7"/>
  <c r="M69" i="7"/>
  <c r="N69" i="7"/>
  <c r="J70" i="7"/>
  <c r="K70" i="7"/>
  <c r="L70" i="7"/>
  <c r="M70" i="7"/>
  <c r="N70" i="7"/>
  <c r="J71" i="7"/>
  <c r="K71" i="7"/>
  <c r="L71" i="7"/>
  <c r="M71" i="7"/>
  <c r="N71" i="7"/>
  <c r="J72" i="7"/>
  <c r="K72" i="7"/>
  <c r="L72" i="7"/>
  <c r="M72" i="7"/>
  <c r="N72" i="7"/>
  <c r="J73" i="7"/>
  <c r="K73" i="7"/>
  <c r="L73" i="7"/>
  <c r="M73" i="7"/>
  <c r="N73" i="7"/>
  <c r="J74" i="7"/>
  <c r="K74" i="7"/>
  <c r="L74" i="7"/>
  <c r="M74" i="7"/>
  <c r="N74" i="7"/>
  <c r="J75" i="7"/>
  <c r="K75" i="7"/>
  <c r="L75" i="7"/>
  <c r="M75" i="7"/>
  <c r="N75" i="7"/>
  <c r="J76" i="7"/>
  <c r="K76" i="7"/>
  <c r="L76" i="7"/>
  <c r="M76" i="7"/>
  <c r="N76" i="7"/>
  <c r="J77" i="7"/>
  <c r="K77" i="7"/>
  <c r="L77" i="7"/>
  <c r="M77" i="7"/>
  <c r="N77" i="7"/>
  <c r="K95" i="7"/>
  <c r="J54" i="7"/>
  <c r="K54" i="7"/>
  <c r="L54" i="7"/>
  <c r="M54" i="7"/>
  <c r="N54" i="7"/>
  <c r="J55" i="7"/>
  <c r="K55" i="7"/>
  <c r="L55" i="7"/>
  <c r="M55" i="7"/>
  <c r="N55" i="7"/>
  <c r="J56" i="7"/>
  <c r="K56" i="7"/>
  <c r="L56" i="7"/>
  <c r="M56" i="7"/>
  <c r="N56" i="7"/>
  <c r="J57" i="7"/>
  <c r="K57" i="7"/>
  <c r="L57" i="7"/>
  <c r="M57" i="7"/>
  <c r="N57" i="7"/>
  <c r="J58" i="7"/>
  <c r="K58" i="7"/>
  <c r="L58" i="7"/>
  <c r="M58" i="7"/>
  <c r="N58" i="7"/>
  <c r="J59" i="7"/>
  <c r="K59" i="7"/>
  <c r="L59" i="7"/>
  <c r="M59" i="7"/>
  <c r="N59" i="7"/>
  <c r="J60" i="7"/>
  <c r="K60" i="7"/>
  <c r="L60" i="7"/>
  <c r="M60" i="7"/>
  <c r="N60" i="7"/>
  <c r="J61" i="7"/>
  <c r="K61" i="7"/>
  <c r="L61" i="7"/>
  <c r="M61" i="7"/>
  <c r="N61" i="7"/>
  <c r="J62" i="7"/>
  <c r="K62" i="7"/>
  <c r="L62" i="7"/>
  <c r="M62" i="7"/>
  <c r="N62" i="7"/>
  <c r="J63" i="7"/>
  <c r="K63" i="7"/>
  <c r="L63" i="7"/>
  <c r="M63" i="7"/>
  <c r="N63" i="7"/>
  <c r="J64" i="7"/>
  <c r="K64" i="7"/>
  <c r="L64" i="7"/>
  <c r="M64" i="7"/>
  <c r="N64" i="7"/>
  <c r="J95" i="7"/>
  <c r="Q96" i="7"/>
  <c r="R96" i="7"/>
  <c r="S96" i="7"/>
  <c r="Q98" i="7"/>
  <c r="Q97" i="7"/>
  <c r="R97" i="7"/>
  <c r="S97" i="7"/>
  <c r="Q99" i="7"/>
  <c r="Q101" i="7"/>
  <c r="Q103" i="7"/>
  <c r="J96" i="7"/>
  <c r="K96" i="7"/>
  <c r="L96" i="7"/>
  <c r="J98" i="7"/>
  <c r="J97" i="7"/>
  <c r="K97" i="7"/>
  <c r="L97" i="7"/>
  <c r="J99" i="7"/>
  <c r="J101" i="7"/>
  <c r="J103" i="7"/>
  <c r="C96" i="7"/>
  <c r="D96" i="7"/>
  <c r="C79" i="7"/>
  <c r="D79" i="7"/>
  <c r="E79" i="7"/>
  <c r="F79" i="7"/>
  <c r="G79" i="7"/>
  <c r="C80" i="7"/>
  <c r="D80" i="7"/>
  <c r="E80" i="7"/>
  <c r="F80" i="7"/>
  <c r="G80" i="7"/>
  <c r="C81" i="7"/>
  <c r="D81" i="7"/>
  <c r="E81" i="7"/>
  <c r="F81" i="7"/>
  <c r="G81" i="7"/>
  <c r="C82" i="7"/>
  <c r="D82" i="7"/>
  <c r="E82" i="7"/>
  <c r="F82" i="7"/>
  <c r="G82" i="7"/>
  <c r="C83" i="7"/>
  <c r="D83" i="7"/>
  <c r="E83" i="7"/>
  <c r="F83" i="7"/>
  <c r="G83" i="7"/>
  <c r="C84" i="7"/>
  <c r="D84" i="7"/>
  <c r="E84" i="7"/>
  <c r="F84" i="7"/>
  <c r="G84" i="7"/>
  <c r="C85" i="7"/>
  <c r="D85" i="7"/>
  <c r="E85" i="7"/>
  <c r="F85" i="7"/>
  <c r="G85" i="7"/>
  <c r="C86" i="7"/>
  <c r="D86" i="7"/>
  <c r="E86" i="7"/>
  <c r="F86" i="7"/>
  <c r="G86" i="7"/>
  <c r="C87" i="7"/>
  <c r="D87" i="7"/>
  <c r="E87" i="7"/>
  <c r="F87" i="7"/>
  <c r="G87" i="7"/>
  <c r="C88" i="7"/>
  <c r="D88" i="7"/>
  <c r="E88" i="7"/>
  <c r="F88" i="7"/>
  <c r="G88" i="7"/>
  <c r="C89" i="7"/>
  <c r="D89" i="7"/>
  <c r="E89" i="7"/>
  <c r="F89" i="7"/>
  <c r="G89" i="7"/>
  <c r="C90" i="7"/>
  <c r="D90" i="7"/>
  <c r="E90" i="7"/>
  <c r="F90" i="7"/>
  <c r="G90" i="7"/>
  <c r="C91" i="7"/>
  <c r="D91" i="7"/>
  <c r="E91" i="7"/>
  <c r="F91" i="7"/>
  <c r="G91" i="7"/>
  <c r="C92" i="7"/>
  <c r="D92" i="7"/>
  <c r="E92" i="7"/>
  <c r="F92" i="7"/>
  <c r="G92" i="7"/>
  <c r="E96" i="7"/>
  <c r="C98" i="7"/>
  <c r="C95" i="7"/>
  <c r="C97" i="7"/>
  <c r="D95" i="7"/>
  <c r="D97" i="7"/>
  <c r="E95" i="7"/>
  <c r="E97" i="7"/>
  <c r="C99" i="7"/>
  <c r="C101" i="7"/>
  <c r="C103" i="7"/>
  <c r="U50" i="7"/>
  <c r="T50" i="7"/>
  <c r="S50" i="7"/>
  <c r="R50" i="7"/>
  <c r="Q50" i="7"/>
  <c r="N50" i="7"/>
  <c r="M50" i="7"/>
  <c r="L50" i="7"/>
  <c r="K50" i="7"/>
  <c r="J50" i="7"/>
  <c r="G50" i="7"/>
  <c r="F50" i="7"/>
  <c r="E50" i="7"/>
  <c r="D50" i="7"/>
  <c r="C50" i="7"/>
  <c r="Q78" i="5"/>
  <c r="J58" i="5"/>
  <c r="J59" i="5"/>
  <c r="J60" i="5"/>
  <c r="J61" i="5"/>
  <c r="J62" i="5"/>
  <c r="J63" i="5"/>
  <c r="J64" i="5"/>
  <c r="J65" i="5"/>
  <c r="J66" i="5"/>
  <c r="J67" i="5"/>
  <c r="J68" i="5"/>
  <c r="J69" i="5"/>
  <c r="J71" i="5"/>
  <c r="K58" i="5"/>
  <c r="K59" i="5"/>
  <c r="K60" i="5"/>
  <c r="K61" i="5"/>
  <c r="K62" i="5"/>
  <c r="K63" i="5"/>
  <c r="K64" i="5"/>
  <c r="K65" i="5"/>
  <c r="K66" i="5"/>
  <c r="K67" i="5"/>
  <c r="K68" i="5"/>
  <c r="K69" i="5"/>
  <c r="K71" i="5"/>
  <c r="L58" i="5"/>
  <c r="L59" i="5"/>
  <c r="L60" i="5"/>
  <c r="L61" i="5"/>
  <c r="L62" i="5"/>
  <c r="L63" i="5"/>
  <c r="L64" i="5"/>
  <c r="L65" i="5"/>
  <c r="L66" i="5"/>
  <c r="L67" i="5"/>
  <c r="L68" i="5"/>
  <c r="L69" i="5"/>
  <c r="L71" i="5"/>
  <c r="M58" i="5"/>
  <c r="M59" i="5"/>
  <c r="M60" i="5"/>
  <c r="M61" i="5"/>
  <c r="M62" i="5"/>
  <c r="M63" i="5"/>
  <c r="M64" i="5"/>
  <c r="M65" i="5"/>
  <c r="M66" i="5"/>
  <c r="M67" i="5"/>
  <c r="M68" i="5"/>
  <c r="M69" i="5"/>
  <c r="M71" i="5"/>
  <c r="N58" i="5"/>
  <c r="N59" i="5"/>
  <c r="N60" i="5"/>
  <c r="N61" i="5"/>
  <c r="N62" i="5"/>
  <c r="N63" i="5"/>
  <c r="N64" i="5"/>
  <c r="N65" i="5"/>
  <c r="N66" i="5"/>
  <c r="N67" i="5"/>
  <c r="N68" i="5"/>
  <c r="N69" i="5"/>
  <c r="N71" i="5"/>
  <c r="J73" i="5"/>
  <c r="J70" i="5"/>
  <c r="J72" i="5"/>
  <c r="K70" i="5"/>
  <c r="K72" i="5"/>
  <c r="L70" i="5"/>
  <c r="L72" i="5"/>
  <c r="M70" i="5"/>
  <c r="M72" i="5"/>
  <c r="N70" i="5"/>
  <c r="N72" i="5"/>
  <c r="J74" i="5"/>
  <c r="J75" i="5"/>
  <c r="J76" i="5"/>
  <c r="J78" i="5"/>
  <c r="C59" i="5"/>
  <c r="C60" i="5"/>
  <c r="C61" i="5"/>
  <c r="C62" i="5"/>
  <c r="C63" i="5"/>
  <c r="C64" i="5"/>
  <c r="C65" i="5"/>
  <c r="C66" i="5"/>
  <c r="C67" i="5"/>
  <c r="C68" i="5"/>
  <c r="C69" i="5"/>
  <c r="C58" i="5"/>
  <c r="C71" i="5"/>
  <c r="D59" i="5"/>
  <c r="D60" i="5"/>
  <c r="D61" i="5"/>
  <c r="D62" i="5"/>
  <c r="D63" i="5"/>
  <c r="D64" i="5"/>
  <c r="D65" i="5"/>
  <c r="D66" i="5"/>
  <c r="D67" i="5"/>
  <c r="D68" i="5"/>
  <c r="D69" i="5"/>
  <c r="D58" i="5"/>
  <c r="D71" i="5"/>
  <c r="E59" i="5"/>
  <c r="E60" i="5"/>
  <c r="E61" i="5"/>
  <c r="E62" i="5"/>
  <c r="E63" i="5"/>
  <c r="E64" i="5"/>
  <c r="E65" i="5"/>
  <c r="E66" i="5"/>
  <c r="E67" i="5"/>
  <c r="E68" i="5"/>
  <c r="E69" i="5"/>
  <c r="E58" i="5"/>
  <c r="E71" i="5"/>
  <c r="F59" i="5"/>
  <c r="F60" i="5"/>
  <c r="F61" i="5"/>
  <c r="F62" i="5"/>
  <c r="F63" i="5"/>
  <c r="F64" i="5"/>
  <c r="F65" i="5"/>
  <c r="F66" i="5"/>
  <c r="F67" i="5"/>
  <c r="F68" i="5"/>
  <c r="F69" i="5"/>
  <c r="F58" i="5"/>
  <c r="F71" i="5"/>
  <c r="G59" i="5"/>
  <c r="G60" i="5"/>
  <c r="G61" i="5"/>
  <c r="G62" i="5"/>
  <c r="G63" i="5"/>
  <c r="G64" i="5"/>
  <c r="G65" i="5"/>
  <c r="G66" i="5"/>
  <c r="G67" i="5"/>
  <c r="G68" i="5"/>
  <c r="G69" i="5"/>
  <c r="G58" i="5"/>
  <c r="G71" i="5"/>
  <c r="C73" i="5"/>
  <c r="C70" i="5"/>
  <c r="C72" i="5"/>
  <c r="D70" i="5"/>
  <c r="D72" i="5"/>
  <c r="E70" i="5"/>
  <c r="E72" i="5"/>
  <c r="F70" i="5"/>
  <c r="F72" i="5"/>
  <c r="G70" i="5"/>
  <c r="G72" i="5"/>
  <c r="C74" i="5"/>
  <c r="C75" i="5"/>
  <c r="C76" i="5"/>
  <c r="C78" i="5"/>
  <c r="Q37" i="5"/>
  <c r="J18" i="5"/>
  <c r="J19" i="5"/>
  <c r="J20" i="5"/>
  <c r="J21" i="5"/>
  <c r="J22" i="5"/>
  <c r="J23" i="5"/>
  <c r="J24" i="5"/>
  <c r="J25" i="5"/>
  <c r="J26" i="5"/>
  <c r="J27" i="5"/>
  <c r="J28" i="5"/>
  <c r="J30" i="5"/>
  <c r="K18" i="5"/>
  <c r="K19" i="5"/>
  <c r="K20" i="5"/>
  <c r="K21" i="5"/>
  <c r="K22" i="5"/>
  <c r="K23" i="5"/>
  <c r="K24" i="5"/>
  <c r="K25" i="5"/>
  <c r="K26" i="5"/>
  <c r="K27" i="5"/>
  <c r="K28" i="5"/>
  <c r="K30" i="5"/>
  <c r="L18" i="5"/>
  <c r="L19" i="5"/>
  <c r="L20" i="5"/>
  <c r="L21" i="5"/>
  <c r="L22" i="5"/>
  <c r="L23" i="5"/>
  <c r="L24" i="5"/>
  <c r="L25" i="5"/>
  <c r="L26" i="5"/>
  <c r="L27" i="5"/>
  <c r="L28" i="5"/>
  <c r="L30" i="5"/>
  <c r="M18" i="5"/>
  <c r="M19" i="5"/>
  <c r="M20" i="5"/>
  <c r="M21" i="5"/>
  <c r="M22" i="5"/>
  <c r="M23" i="5"/>
  <c r="M24" i="5"/>
  <c r="M25" i="5"/>
  <c r="M26" i="5"/>
  <c r="M27" i="5"/>
  <c r="M28" i="5"/>
  <c r="M30" i="5"/>
  <c r="N18" i="5"/>
  <c r="N19" i="5"/>
  <c r="N20" i="5"/>
  <c r="N21" i="5"/>
  <c r="N22" i="5"/>
  <c r="N23" i="5"/>
  <c r="N24" i="5"/>
  <c r="N25" i="5"/>
  <c r="N26" i="5"/>
  <c r="N27" i="5"/>
  <c r="N28" i="5"/>
  <c r="N30" i="5"/>
  <c r="J32" i="5"/>
  <c r="J29" i="5"/>
  <c r="J31" i="5"/>
  <c r="K29" i="5"/>
  <c r="K31" i="5"/>
  <c r="L29" i="5"/>
  <c r="L31" i="5"/>
  <c r="M29" i="5"/>
  <c r="M31" i="5"/>
  <c r="N29" i="5"/>
  <c r="N31" i="5"/>
  <c r="J33" i="5"/>
  <c r="J34" i="5"/>
  <c r="J35" i="5"/>
  <c r="J37" i="5"/>
  <c r="C18" i="5"/>
  <c r="C19" i="5"/>
  <c r="C20" i="5"/>
  <c r="C21" i="5"/>
  <c r="C22" i="5"/>
  <c r="C23" i="5"/>
  <c r="C24" i="5"/>
  <c r="C25" i="5"/>
  <c r="C26" i="5"/>
  <c r="C27" i="5"/>
  <c r="C28" i="5"/>
  <c r="C30" i="5"/>
  <c r="D18" i="5"/>
  <c r="D19" i="5"/>
  <c r="D20" i="5"/>
  <c r="D21" i="5"/>
  <c r="D22" i="5"/>
  <c r="D23" i="5"/>
  <c r="D24" i="5"/>
  <c r="D25" i="5"/>
  <c r="D26" i="5"/>
  <c r="D27" i="5"/>
  <c r="D28" i="5"/>
  <c r="D30" i="5"/>
  <c r="E18" i="5"/>
  <c r="E19" i="5"/>
  <c r="E20" i="5"/>
  <c r="E21" i="5"/>
  <c r="E22" i="5"/>
  <c r="E23" i="5"/>
  <c r="E24" i="5"/>
  <c r="E25" i="5"/>
  <c r="E26" i="5"/>
  <c r="E27" i="5"/>
  <c r="E28" i="5"/>
  <c r="E30" i="5"/>
  <c r="F18" i="5"/>
  <c r="F19" i="5"/>
  <c r="F20" i="5"/>
  <c r="F21" i="5"/>
  <c r="F22" i="5"/>
  <c r="F23" i="5"/>
  <c r="F24" i="5"/>
  <c r="F25" i="5"/>
  <c r="F26" i="5"/>
  <c r="F27" i="5"/>
  <c r="F28" i="5"/>
  <c r="F30" i="5"/>
  <c r="G18" i="5"/>
  <c r="G19" i="5"/>
  <c r="G20" i="5"/>
  <c r="G21" i="5"/>
  <c r="G22" i="5"/>
  <c r="G23" i="5"/>
  <c r="G24" i="5"/>
  <c r="G25" i="5"/>
  <c r="G26" i="5"/>
  <c r="G27" i="5"/>
  <c r="G28" i="5"/>
  <c r="G30" i="5"/>
  <c r="C32" i="5"/>
  <c r="C29" i="5"/>
  <c r="C31" i="5"/>
  <c r="D29" i="5"/>
  <c r="D31" i="5"/>
  <c r="E29" i="5"/>
  <c r="E31" i="5"/>
  <c r="F29" i="5"/>
  <c r="F31" i="5"/>
  <c r="G29" i="5"/>
  <c r="G31" i="5"/>
  <c r="C33" i="5"/>
  <c r="C34" i="5"/>
  <c r="C35" i="5"/>
  <c r="C37" i="5"/>
  <c r="Q120" i="5"/>
  <c r="Q121" i="5"/>
  <c r="Q123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6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6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6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6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6" i="5"/>
  <c r="J118" i="5"/>
  <c r="J115" i="5"/>
  <c r="J117" i="5"/>
  <c r="K115" i="5"/>
  <c r="K117" i="5"/>
  <c r="L115" i="5"/>
  <c r="L117" i="5"/>
  <c r="M115" i="5"/>
  <c r="M117" i="5"/>
  <c r="N115" i="5"/>
  <c r="N117" i="5"/>
  <c r="J119" i="5"/>
  <c r="J120" i="5"/>
  <c r="J121" i="5"/>
  <c r="J123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6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6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6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6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6" i="5"/>
  <c r="C118" i="5"/>
  <c r="C115" i="5"/>
  <c r="C117" i="5"/>
  <c r="D115" i="5"/>
  <c r="D117" i="5"/>
  <c r="E115" i="5"/>
  <c r="E117" i="5"/>
  <c r="F115" i="5"/>
  <c r="F117" i="5"/>
  <c r="G115" i="5"/>
  <c r="G117" i="5"/>
  <c r="C119" i="5"/>
  <c r="C120" i="5"/>
  <c r="C121" i="5"/>
  <c r="C123" i="5"/>
  <c r="Q19" i="5"/>
  <c r="Q20" i="5"/>
  <c r="Q21" i="5"/>
  <c r="Q22" i="5"/>
  <c r="Q23" i="5"/>
  <c r="Q24" i="5"/>
  <c r="Q25" i="5"/>
  <c r="Q26" i="5"/>
  <c r="Q27" i="5"/>
  <c r="Q28" i="5"/>
  <c r="Q18" i="5"/>
  <c r="Q30" i="5"/>
  <c r="R19" i="5"/>
  <c r="R20" i="5"/>
  <c r="R21" i="5"/>
  <c r="R22" i="5"/>
  <c r="R23" i="5"/>
  <c r="R24" i="5"/>
  <c r="R25" i="5"/>
  <c r="R26" i="5"/>
  <c r="R27" i="5"/>
  <c r="R28" i="5"/>
  <c r="R18" i="5"/>
  <c r="R30" i="5"/>
  <c r="S19" i="5"/>
  <c r="S20" i="5"/>
  <c r="S21" i="5"/>
  <c r="S22" i="5"/>
  <c r="S23" i="5"/>
  <c r="S24" i="5"/>
  <c r="S25" i="5"/>
  <c r="S26" i="5"/>
  <c r="S27" i="5"/>
  <c r="S28" i="5"/>
  <c r="S18" i="5"/>
  <c r="S30" i="5"/>
  <c r="T19" i="5"/>
  <c r="T20" i="5"/>
  <c r="T21" i="5"/>
  <c r="T22" i="5"/>
  <c r="T23" i="5"/>
  <c r="T24" i="5"/>
  <c r="T25" i="5"/>
  <c r="T26" i="5"/>
  <c r="T27" i="5"/>
  <c r="T28" i="5"/>
  <c r="T18" i="5"/>
  <c r="T30" i="5"/>
  <c r="U19" i="5"/>
  <c r="U20" i="5"/>
  <c r="U21" i="5"/>
  <c r="U22" i="5"/>
  <c r="U23" i="5"/>
  <c r="U24" i="5"/>
  <c r="U25" i="5"/>
  <c r="U26" i="5"/>
  <c r="U27" i="5"/>
  <c r="U28" i="5"/>
  <c r="U18" i="5"/>
  <c r="U30" i="5"/>
  <c r="Q32" i="5"/>
  <c r="Q29" i="5"/>
  <c r="Q31" i="5"/>
  <c r="R29" i="5"/>
  <c r="R31" i="5"/>
  <c r="S29" i="5"/>
  <c r="S31" i="5"/>
  <c r="T29" i="5"/>
  <c r="T31" i="5"/>
  <c r="U29" i="5"/>
  <c r="U31" i="5"/>
  <c r="Q33" i="5"/>
  <c r="Q59" i="5"/>
  <c r="Q60" i="5"/>
  <c r="Q61" i="5"/>
  <c r="Q62" i="5"/>
  <c r="Q63" i="5"/>
  <c r="Q64" i="5"/>
  <c r="Q65" i="5"/>
  <c r="Q66" i="5"/>
  <c r="Q67" i="5"/>
  <c r="Q68" i="5"/>
  <c r="Q69" i="5"/>
  <c r="Q58" i="5"/>
  <c r="Q71" i="5"/>
  <c r="R59" i="5"/>
  <c r="R60" i="5"/>
  <c r="R61" i="5"/>
  <c r="R62" i="5"/>
  <c r="R63" i="5"/>
  <c r="R64" i="5"/>
  <c r="R65" i="5"/>
  <c r="R66" i="5"/>
  <c r="R67" i="5"/>
  <c r="R68" i="5"/>
  <c r="R69" i="5"/>
  <c r="R58" i="5"/>
  <c r="R71" i="5"/>
  <c r="S59" i="5"/>
  <c r="S60" i="5"/>
  <c r="S61" i="5"/>
  <c r="S62" i="5"/>
  <c r="S63" i="5"/>
  <c r="S64" i="5"/>
  <c r="S65" i="5"/>
  <c r="S66" i="5"/>
  <c r="S67" i="5"/>
  <c r="S68" i="5"/>
  <c r="S69" i="5"/>
  <c r="S58" i="5"/>
  <c r="S71" i="5"/>
  <c r="T59" i="5"/>
  <c r="T60" i="5"/>
  <c r="T61" i="5"/>
  <c r="T62" i="5"/>
  <c r="T63" i="5"/>
  <c r="T64" i="5"/>
  <c r="T65" i="5"/>
  <c r="T66" i="5"/>
  <c r="T67" i="5"/>
  <c r="T68" i="5"/>
  <c r="T69" i="5"/>
  <c r="T58" i="5"/>
  <c r="T71" i="5"/>
  <c r="U59" i="5"/>
  <c r="U60" i="5"/>
  <c r="U61" i="5"/>
  <c r="U62" i="5"/>
  <c r="U63" i="5"/>
  <c r="U64" i="5"/>
  <c r="U65" i="5"/>
  <c r="U66" i="5"/>
  <c r="U67" i="5"/>
  <c r="U68" i="5"/>
  <c r="U69" i="5"/>
  <c r="U58" i="5"/>
  <c r="U71" i="5"/>
  <c r="Q73" i="5"/>
  <c r="Q70" i="5"/>
  <c r="Q72" i="5"/>
  <c r="R70" i="5"/>
  <c r="R72" i="5"/>
  <c r="S70" i="5"/>
  <c r="S72" i="5"/>
  <c r="T70" i="5"/>
  <c r="T72" i="5"/>
  <c r="U70" i="5"/>
  <c r="U72" i="5"/>
  <c r="Q74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6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6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6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6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6" i="5"/>
  <c r="Q118" i="5"/>
  <c r="U115" i="5"/>
  <c r="U117" i="5"/>
  <c r="T115" i="5"/>
  <c r="T117" i="5"/>
  <c r="S115" i="5"/>
  <c r="S117" i="5"/>
  <c r="R115" i="5"/>
  <c r="R117" i="5"/>
  <c r="Q115" i="5"/>
  <c r="Q117" i="5"/>
  <c r="U97" i="5"/>
  <c r="T97" i="5"/>
  <c r="S97" i="5"/>
  <c r="R97" i="5"/>
  <c r="Q97" i="5"/>
  <c r="N97" i="5"/>
  <c r="M97" i="5"/>
  <c r="L97" i="5"/>
  <c r="K97" i="5"/>
  <c r="J97" i="5"/>
  <c r="U54" i="5"/>
  <c r="T54" i="5"/>
  <c r="S54" i="5"/>
  <c r="R54" i="5"/>
  <c r="Q54" i="5"/>
  <c r="K54" i="5"/>
  <c r="L54" i="5"/>
  <c r="M54" i="5"/>
  <c r="N54" i="5"/>
  <c r="J54" i="5"/>
  <c r="R14" i="5"/>
  <c r="S14" i="5"/>
  <c r="T14" i="5"/>
  <c r="U14" i="5"/>
  <c r="Q14" i="5"/>
  <c r="K14" i="5"/>
  <c r="L14" i="5"/>
  <c r="M14" i="5"/>
  <c r="N14" i="5"/>
  <c r="J14" i="5"/>
  <c r="D97" i="5"/>
  <c r="E97" i="5"/>
  <c r="F97" i="5"/>
  <c r="G97" i="5"/>
  <c r="D54" i="5"/>
  <c r="E54" i="5"/>
  <c r="F54" i="5"/>
  <c r="G54" i="5"/>
  <c r="C97" i="5"/>
  <c r="C54" i="5"/>
  <c r="D14" i="5"/>
  <c r="E14" i="5"/>
  <c r="F14" i="5"/>
  <c r="G14" i="5"/>
  <c r="C14" i="5"/>
  <c r="J63" i="4"/>
  <c r="J104" i="4"/>
  <c r="K63" i="4"/>
  <c r="K104" i="4"/>
  <c r="L63" i="4"/>
  <c r="L104" i="4"/>
  <c r="M63" i="4"/>
  <c r="M104" i="4"/>
  <c r="J105" i="4"/>
  <c r="K105" i="4"/>
  <c r="L105" i="4"/>
  <c r="M105" i="4"/>
  <c r="J106" i="4"/>
  <c r="K106" i="4"/>
  <c r="L106" i="4"/>
  <c r="M106" i="4"/>
  <c r="J107" i="4"/>
  <c r="K107" i="4"/>
  <c r="L107" i="4"/>
  <c r="M107" i="4"/>
  <c r="J108" i="4"/>
  <c r="K108" i="4"/>
  <c r="L108" i="4"/>
  <c r="M108" i="4"/>
  <c r="J109" i="4"/>
  <c r="K109" i="4"/>
  <c r="L109" i="4"/>
  <c r="M109" i="4"/>
  <c r="J110" i="4"/>
  <c r="K110" i="4"/>
  <c r="L110" i="4"/>
  <c r="M110" i="4"/>
  <c r="J111" i="4"/>
  <c r="K111" i="4"/>
  <c r="L111" i="4"/>
  <c r="M111" i="4"/>
  <c r="J112" i="4"/>
  <c r="K112" i="4"/>
  <c r="L112" i="4"/>
  <c r="M112" i="4"/>
  <c r="J113" i="4"/>
  <c r="K113" i="4"/>
  <c r="L113" i="4"/>
  <c r="M113" i="4"/>
  <c r="J114" i="4"/>
  <c r="K114" i="4"/>
  <c r="L114" i="4"/>
  <c r="M114" i="4"/>
  <c r="J115" i="4"/>
  <c r="K115" i="4"/>
  <c r="L115" i="4"/>
  <c r="M115" i="4"/>
  <c r="J116" i="4"/>
  <c r="K116" i="4"/>
  <c r="L116" i="4"/>
  <c r="M116" i="4"/>
  <c r="J117" i="4"/>
  <c r="K117" i="4"/>
  <c r="L117" i="4"/>
  <c r="M117" i="4"/>
  <c r="I63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J54" i="4"/>
  <c r="J89" i="4"/>
  <c r="K54" i="4"/>
  <c r="K89" i="4"/>
  <c r="L54" i="4"/>
  <c r="L89" i="4"/>
  <c r="M54" i="4"/>
  <c r="M89" i="4"/>
  <c r="J90" i="4"/>
  <c r="K90" i="4"/>
  <c r="L90" i="4"/>
  <c r="M90" i="4"/>
  <c r="J91" i="4"/>
  <c r="K91" i="4"/>
  <c r="L91" i="4"/>
  <c r="M91" i="4"/>
  <c r="J92" i="4"/>
  <c r="K92" i="4"/>
  <c r="L92" i="4"/>
  <c r="M92" i="4"/>
  <c r="J93" i="4"/>
  <c r="K93" i="4"/>
  <c r="L93" i="4"/>
  <c r="M93" i="4"/>
  <c r="J94" i="4"/>
  <c r="K94" i="4"/>
  <c r="L94" i="4"/>
  <c r="M94" i="4"/>
  <c r="J95" i="4"/>
  <c r="K95" i="4"/>
  <c r="L95" i="4"/>
  <c r="M95" i="4"/>
  <c r="J96" i="4"/>
  <c r="K96" i="4"/>
  <c r="L96" i="4"/>
  <c r="M96" i="4"/>
  <c r="J97" i="4"/>
  <c r="K97" i="4"/>
  <c r="L97" i="4"/>
  <c r="M97" i="4"/>
  <c r="J98" i="4"/>
  <c r="K98" i="4"/>
  <c r="L98" i="4"/>
  <c r="M98" i="4"/>
  <c r="J99" i="4"/>
  <c r="K99" i="4"/>
  <c r="L99" i="4"/>
  <c r="M99" i="4"/>
  <c r="J100" i="4"/>
  <c r="K100" i="4"/>
  <c r="L100" i="4"/>
  <c r="M100" i="4"/>
  <c r="I54" i="4"/>
  <c r="I90" i="4"/>
  <c r="I91" i="4"/>
  <c r="I92" i="4"/>
  <c r="I93" i="4"/>
  <c r="I94" i="4"/>
  <c r="I95" i="4"/>
  <c r="I96" i="4"/>
  <c r="I97" i="4"/>
  <c r="I98" i="4"/>
  <c r="I99" i="4"/>
  <c r="I100" i="4"/>
  <c r="I89" i="4"/>
  <c r="I104" i="4"/>
  <c r="G63" i="4"/>
  <c r="G104" i="4"/>
  <c r="D63" i="4"/>
  <c r="D104" i="4"/>
  <c r="E63" i="4"/>
  <c r="E104" i="4"/>
  <c r="F63" i="4"/>
  <c r="F104" i="4"/>
  <c r="D105" i="4"/>
  <c r="E105" i="4"/>
  <c r="F105" i="4"/>
  <c r="G105" i="4"/>
  <c r="D106" i="4"/>
  <c r="E106" i="4"/>
  <c r="F106" i="4"/>
  <c r="G106" i="4"/>
  <c r="D107" i="4"/>
  <c r="E107" i="4"/>
  <c r="F107" i="4"/>
  <c r="G107" i="4"/>
  <c r="D108" i="4"/>
  <c r="E108" i="4"/>
  <c r="F108" i="4"/>
  <c r="G108" i="4"/>
  <c r="D109" i="4"/>
  <c r="E109" i="4"/>
  <c r="F109" i="4"/>
  <c r="G109" i="4"/>
  <c r="D110" i="4"/>
  <c r="E110" i="4"/>
  <c r="F110" i="4"/>
  <c r="G110" i="4"/>
  <c r="D111" i="4"/>
  <c r="E111" i="4"/>
  <c r="F111" i="4"/>
  <c r="G111" i="4"/>
  <c r="D112" i="4"/>
  <c r="E112" i="4"/>
  <c r="F112" i="4"/>
  <c r="G112" i="4"/>
  <c r="D113" i="4"/>
  <c r="E113" i="4"/>
  <c r="F113" i="4"/>
  <c r="G113" i="4"/>
  <c r="D114" i="4"/>
  <c r="E114" i="4"/>
  <c r="F114" i="4"/>
  <c r="G114" i="4"/>
  <c r="D115" i="4"/>
  <c r="E115" i="4"/>
  <c r="F115" i="4"/>
  <c r="G115" i="4"/>
  <c r="D116" i="4"/>
  <c r="E116" i="4"/>
  <c r="F116" i="4"/>
  <c r="G116" i="4"/>
  <c r="D117" i="4"/>
  <c r="E117" i="4"/>
  <c r="F117" i="4"/>
  <c r="G117" i="4"/>
  <c r="C63" i="4"/>
  <c r="C117" i="4"/>
  <c r="C112" i="4"/>
  <c r="C113" i="4"/>
  <c r="C114" i="4"/>
  <c r="C115" i="4"/>
  <c r="C116" i="4"/>
  <c r="C105" i="4"/>
  <c r="C106" i="4"/>
  <c r="C107" i="4"/>
  <c r="C108" i="4"/>
  <c r="C109" i="4"/>
  <c r="C110" i="4"/>
  <c r="C111" i="4"/>
  <c r="C104" i="4"/>
  <c r="G54" i="4"/>
  <c r="G100" i="4"/>
  <c r="D54" i="4"/>
  <c r="D89" i="4"/>
  <c r="E54" i="4"/>
  <c r="E89" i="4"/>
  <c r="F54" i="4"/>
  <c r="F89" i="4"/>
  <c r="G89" i="4"/>
  <c r="D90" i="4"/>
  <c r="E90" i="4"/>
  <c r="F90" i="4"/>
  <c r="G90" i="4"/>
  <c r="D91" i="4"/>
  <c r="E91" i="4"/>
  <c r="F91" i="4"/>
  <c r="G91" i="4"/>
  <c r="D92" i="4"/>
  <c r="E92" i="4"/>
  <c r="F92" i="4"/>
  <c r="G92" i="4"/>
  <c r="D93" i="4"/>
  <c r="E93" i="4"/>
  <c r="F93" i="4"/>
  <c r="G93" i="4"/>
  <c r="D94" i="4"/>
  <c r="E94" i="4"/>
  <c r="F94" i="4"/>
  <c r="G94" i="4"/>
  <c r="D95" i="4"/>
  <c r="E95" i="4"/>
  <c r="F95" i="4"/>
  <c r="G95" i="4"/>
  <c r="D96" i="4"/>
  <c r="E96" i="4"/>
  <c r="F96" i="4"/>
  <c r="G96" i="4"/>
  <c r="D97" i="4"/>
  <c r="E97" i="4"/>
  <c r="F97" i="4"/>
  <c r="G97" i="4"/>
  <c r="D98" i="4"/>
  <c r="E98" i="4"/>
  <c r="F98" i="4"/>
  <c r="G98" i="4"/>
  <c r="D99" i="4"/>
  <c r="E99" i="4"/>
  <c r="F99" i="4"/>
  <c r="G99" i="4"/>
  <c r="D100" i="4"/>
  <c r="E100" i="4"/>
  <c r="F100" i="4"/>
  <c r="C54" i="4"/>
  <c r="C90" i="4"/>
  <c r="C91" i="4"/>
  <c r="C92" i="4"/>
  <c r="C93" i="4"/>
  <c r="C94" i="4"/>
  <c r="C95" i="4"/>
  <c r="C96" i="4"/>
  <c r="C97" i="4"/>
  <c r="C98" i="4"/>
  <c r="C99" i="4"/>
  <c r="C100" i="4"/>
  <c r="C89" i="4"/>
  <c r="C45" i="4"/>
  <c r="C75" i="4"/>
  <c r="J45" i="4"/>
  <c r="J75" i="4"/>
  <c r="K45" i="4"/>
  <c r="K75" i="4"/>
  <c r="L45" i="4"/>
  <c r="L75" i="4"/>
  <c r="M45" i="4"/>
  <c r="M75" i="4"/>
  <c r="J76" i="4"/>
  <c r="K76" i="4"/>
  <c r="L76" i="4"/>
  <c r="M76" i="4"/>
  <c r="J77" i="4"/>
  <c r="K77" i="4"/>
  <c r="L77" i="4"/>
  <c r="M77" i="4"/>
  <c r="J78" i="4"/>
  <c r="K78" i="4"/>
  <c r="L78" i="4"/>
  <c r="M78" i="4"/>
  <c r="J79" i="4"/>
  <c r="K79" i="4"/>
  <c r="L79" i="4"/>
  <c r="M79" i="4"/>
  <c r="J80" i="4"/>
  <c r="K80" i="4"/>
  <c r="L80" i="4"/>
  <c r="M80" i="4"/>
  <c r="J81" i="4"/>
  <c r="K81" i="4"/>
  <c r="L81" i="4"/>
  <c r="M81" i="4"/>
  <c r="J82" i="4"/>
  <c r="K82" i="4"/>
  <c r="L82" i="4"/>
  <c r="M82" i="4"/>
  <c r="J83" i="4"/>
  <c r="K83" i="4"/>
  <c r="L83" i="4"/>
  <c r="M83" i="4"/>
  <c r="J84" i="4"/>
  <c r="K84" i="4"/>
  <c r="L84" i="4"/>
  <c r="M84" i="4"/>
  <c r="J85" i="4"/>
  <c r="K85" i="4"/>
  <c r="L85" i="4"/>
  <c r="M85" i="4"/>
  <c r="I45" i="4"/>
  <c r="I75" i="4"/>
  <c r="I85" i="4"/>
  <c r="I84" i="4"/>
  <c r="I83" i="4"/>
  <c r="I82" i="4"/>
  <c r="I81" i="4"/>
  <c r="I80" i="4"/>
  <c r="I79" i="4"/>
  <c r="I78" i="4"/>
  <c r="I77" i="4"/>
  <c r="I76" i="4"/>
  <c r="D45" i="4"/>
  <c r="D75" i="4"/>
  <c r="E45" i="4"/>
  <c r="E75" i="4"/>
  <c r="F45" i="4"/>
  <c r="F75" i="4"/>
  <c r="G45" i="4"/>
  <c r="G75" i="4"/>
  <c r="D76" i="4"/>
  <c r="E76" i="4"/>
  <c r="F76" i="4"/>
  <c r="G76" i="4"/>
  <c r="D77" i="4"/>
  <c r="E77" i="4"/>
  <c r="F77" i="4"/>
  <c r="G77" i="4"/>
  <c r="D78" i="4"/>
  <c r="E78" i="4"/>
  <c r="F78" i="4"/>
  <c r="G78" i="4"/>
  <c r="D79" i="4"/>
  <c r="E79" i="4"/>
  <c r="F79" i="4"/>
  <c r="G79" i="4"/>
  <c r="D80" i="4"/>
  <c r="E80" i="4"/>
  <c r="F80" i="4"/>
  <c r="G80" i="4"/>
  <c r="D81" i="4"/>
  <c r="E81" i="4"/>
  <c r="F81" i="4"/>
  <c r="G81" i="4"/>
  <c r="D82" i="4"/>
  <c r="E82" i="4"/>
  <c r="F82" i="4"/>
  <c r="G82" i="4"/>
  <c r="D83" i="4"/>
  <c r="E83" i="4"/>
  <c r="F83" i="4"/>
  <c r="G83" i="4"/>
  <c r="D84" i="4"/>
  <c r="E84" i="4"/>
  <c r="F84" i="4"/>
  <c r="G84" i="4"/>
  <c r="D85" i="4"/>
  <c r="E85" i="4"/>
  <c r="F85" i="4"/>
  <c r="G85" i="4"/>
  <c r="C81" i="4"/>
  <c r="C82" i="4"/>
  <c r="C83" i="4"/>
  <c r="C84" i="4"/>
  <c r="C85" i="4"/>
  <c r="C76" i="4"/>
  <c r="C77" i="4"/>
  <c r="C78" i="4"/>
  <c r="C79" i="4"/>
  <c r="C80" i="4"/>
  <c r="M66" i="4" a="1"/>
  <c r="M66" i="4"/>
  <c r="L66" i="4" a="1"/>
  <c r="L66" i="4"/>
  <c r="K66" i="4" a="1"/>
  <c r="K66" i="4"/>
  <c r="J66" i="4" a="1"/>
  <c r="J66" i="4"/>
  <c r="I66" i="4" a="1"/>
  <c r="I66" i="4"/>
  <c r="G66" i="4" a="1"/>
  <c r="G66" i="4"/>
  <c r="F66" i="4" a="1"/>
  <c r="F66" i="4"/>
  <c r="E66" i="4" a="1"/>
  <c r="E66" i="4"/>
  <c r="D66" i="4" a="1"/>
  <c r="D66" i="4"/>
  <c r="C66" i="4" a="1"/>
  <c r="C66" i="4"/>
  <c r="M57" i="4" a="1"/>
  <c r="M57" i="4"/>
  <c r="L57" i="4" a="1"/>
  <c r="L57" i="4"/>
  <c r="K57" i="4" a="1"/>
  <c r="K57" i="4"/>
  <c r="J57" i="4" a="1"/>
  <c r="J57" i="4"/>
  <c r="I57" i="4" a="1"/>
  <c r="I57" i="4"/>
  <c r="G57" i="4" a="1"/>
  <c r="G57" i="4"/>
  <c r="F57" i="4" a="1"/>
  <c r="F57" i="4"/>
  <c r="E57" i="4" a="1"/>
  <c r="E57" i="4"/>
  <c r="D57" i="4" a="1"/>
  <c r="D57" i="4"/>
  <c r="C57" i="4" a="1"/>
  <c r="C57" i="4"/>
  <c r="M48" i="4" a="1"/>
  <c r="M48" i="4"/>
  <c r="L48" i="4" a="1"/>
  <c r="L48" i="4"/>
  <c r="K48" i="4" a="1"/>
  <c r="K48" i="4"/>
  <c r="J48" i="4" a="1"/>
  <c r="J48" i="4"/>
  <c r="I48" i="4" a="1"/>
  <c r="I48" i="4"/>
  <c r="G48" i="4" a="1"/>
  <c r="G48" i="4"/>
  <c r="F48" i="4" a="1"/>
  <c r="F48" i="4"/>
  <c r="E48" i="4" a="1"/>
  <c r="E48" i="4"/>
  <c r="D48" i="4" a="1"/>
  <c r="D48" i="4"/>
  <c r="C48" i="4" a="1"/>
  <c r="C48" i="4"/>
  <c r="M71" i="4"/>
  <c r="L71" i="4"/>
  <c r="K71" i="4"/>
  <c r="J71" i="4"/>
  <c r="I71" i="4"/>
  <c r="G71" i="4"/>
  <c r="F71" i="4"/>
  <c r="E71" i="4"/>
  <c r="D71" i="4"/>
  <c r="C71" i="4"/>
  <c r="M70" i="4"/>
  <c r="L70" i="4"/>
  <c r="K70" i="4"/>
  <c r="J70" i="4"/>
  <c r="I70" i="4"/>
  <c r="G70" i="4"/>
  <c r="F70" i="4"/>
  <c r="E70" i="4"/>
  <c r="D70" i="4"/>
  <c r="C70" i="4"/>
  <c r="M69" i="4"/>
  <c r="L69" i="4"/>
  <c r="K69" i="4"/>
  <c r="J69" i="4"/>
  <c r="I69" i="4"/>
  <c r="G69" i="4"/>
  <c r="F69" i="4"/>
  <c r="E69" i="4"/>
  <c r="D69" i="4"/>
  <c r="C69" i="4"/>
  <c r="M68" i="4"/>
  <c r="L68" i="4"/>
  <c r="K68" i="4"/>
  <c r="J68" i="4"/>
  <c r="I68" i="4"/>
  <c r="G68" i="4"/>
  <c r="F68" i="4"/>
  <c r="E68" i="4"/>
  <c r="D68" i="4"/>
  <c r="C68" i="4"/>
  <c r="M67" i="4"/>
  <c r="L67" i="4"/>
  <c r="K67" i="4"/>
  <c r="J67" i="4"/>
  <c r="I67" i="4"/>
  <c r="G67" i="4"/>
  <c r="F67" i="4"/>
  <c r="E67" i="4"/>
  <c r="D67" i="4"/>
  <c r="C67" i="4"/>
  <c r="M65" i="4"/>
  <c r="L65" i="4"/>
  <c r="K65" i="4"/>
  <c r="J65" i="4"/>
  <c r="I65" i="4"/>
  <c r="G65" i="4"/>
  <c r="F65" i="4"/>
  <c r="E65" i="4"/>
  <c r="D65" i="4"/>
  <c r="C65" i="4"/>
  <c r="M64" i="4"/>
  <c r="L64" i="4"/>
  <c r="K64" i="4"/>
  <c r="J64" i="4"/>
  <c r="I64" i="4"/>
  <c r="G64" i="4"/>
  <c r="F64" i="4"/>
  <c r="E64" i="4"/>
  <c r="D64" i="4"/>
  <c r="C64" i="4"/>
  <c r="M62" i="4"/>
  <c r="L62" i="4"/>
  <c r="K62" i="4"/>
  <c r="J62" i="4"/>
  <c r="I62" i="4"/>
  <c r="G62" i="4"/>
  <c r="F62" i="4"/>
  <c r="E62" i="4"/>
  <c r="D62" i="4"/>
  <c r="C62" i="4"/>
  <c r="M61" i="4"/>
  <c r="L61" i="4"/>
  <c r="K61" i="4"/>
  <c r="J61" i="4"/>
  <c r="I61" i="4"/>
  <c r="G61" i="4"/>
  <c r="F61" i="4"/>
  <c r="E61" i="4"/>
  <c r="D61" i="4"/>
  <c r="C61" i="4"/>
  <c r="M60" i="4"/>
  <c r="L60" i="4"/>
  <c r="K60" i="4"/>
  <c r="J60" i="4"/>
  <c r="I60" i="4"/>
  <c r="G60" i="4"/>
  <c r="F60" i="4"/>
  <c r="E60" i="4"/>
  <c r="D60" i="4"/>
  <c r="C60" i="4"/>
  <c r="M59" i="4"/>
  <c r="L59" i="4"/>
  <c r="K59" i="4"/>
  <c r="J59" i="4"/>
  <c r="I59" i="4"/>
  <c r="G59" i="4"/>
  <c r="F59" i="4"/>
  <c r="E59" i="4"/>
  <c r="D59" i="4"/>
  <c r="C59" i="4"/>
  <c r="M58" i="4"/>
  <c r="L58" i="4"/>
  <c r="K58" i="4"/>
  <c r="J58" i="4"/>
  <c r="I58" i="4"/>
  <c r="G58" i="4"/>
  <c r="F58" i="4"/>
  <c r="E58" i="4"/>
  <c r="D58" i="4"/>
  <c r="C58" i="4"/>
  <c r="M56" i="4"/>
  <c r="L56" i="4"/>
  <c r="K56" i="4"/>
  <c r="J56" i="4"/>
  <c r="I56" i="4"/>
  <c r="G56" i="4"/>
  <c r="F56" i="4"/>
  <c r="E56" i="4"/>
  <c r="D56" i="4"/>
  <c r="C56" i="4"/>
  <c r="M55" i="4"/>
  <c r="L55" i="4"/>
  <c r="K55" i="4"/>
  <c r="J55" i="4"/>
  <c r="I55" i="4"/>
  <c r="G55" i="4"/>
  <c r="F55" i="4"/>
  <c r="E55" i="4"/>
  <c r="D55" i="4"/>
  <c r="C55" i="4"/>
  <c r="M53" i="4"/>
  <c r="L53" i="4"/>
  <c r="K53" i="4"/>
  <c r="J53" i="4"/>
  <c r="I53" i="4"/>
  <c r="G53" i="4"/>
  <c r="F53" i="4"/>
  <c r="E53" i="4"/>
  <c r="D53" i="4"/>
  <c r="C53" i="4"/>
  <c r="M52" i="4"/>
  <c r="L52" i="4"/>
  <c r="K52" i="4"/>
  <c r="J52" i="4"/>
  <c r="I52" i="4"/>
  <c r="G52" i="4"/>
  <c r="F52" i="4"/>
  <c r="E52" i="4"/>
  <c r="D52" i="4"/>
  <c r="C52" i="4"/>
  <c r="M51" i="4"/>
  <c r="L51" i="4"/>
  <c r="K51" i="4"/>
  <c r="J51" i="4"/>
  <c r="I51" i="4"/>
  <c r="G51" i="4"/>
  <c r="F51" i="4"/>
  <c r="E51" i="4"/>
  <c r="D51" i="4"/>
  <c r="C51" i="4"/>
  <c r="M50" i="4"/>
  <c r="L50" i="4"/>
  <c r="K50" i="4"/>
  <c r="J50" i="4"/>
  <c r="I50" i="4"/>
  <c r="G50" i="4"/>
  <c r="F50" i="4"/>
  <c r="E50" i="4"/>
  <c r="D50" i="4"/>
  <c r="C50" i="4"/>
  <c r="M49" i="4"/>
  <c r="L49" i="4"/>
  <c r="K49" i="4"/>
  <c r="J49" i="4"/>
  <c r="I49" i="4"/>
  <c r="G49" i="4"/>
  <c r="F49" i="4"/>
  <c r="E49" i="4"/>
  <c r="D49" i="4"/>
  <c r="C49" i="4"/>
  <c r="M47" i="4"/>
  <c r="L47" i="4"/>
  <c r="K47" i="4"/>
  <c r="J47" i="4"/>
  <c r="I47" i="4"/>
  <c r="G47" i="4"/>
  <c r="F47" i="4"/>
  <c r="E47" i="4"/>
  <c r="D47" i="4"/>
  <c r="C47" i="4"/>
  <c r="M46" i="4"/>
  <c r="L46" i="4"/>
  <c r="K46" i="4"/>
  <c r="J46" i="4"/>
  <c r="I46" i="4"/>
  <c r="G46" i="4"/>
  <c r="F46" i="4"/>
  <c r="E46" i="4"/>
  <c r="D46" i="4"/>
  <c r="C46" i="4"/>
  <c r="AD12" i="3"/>
  <c r="AD3" i="3"/>
  <c r="AD4" i="3"/>
  <c r="AD5" i="3"/>
  <c r="AD6" i="3"/>
  <c r="AD7" i="3"/>
  <c r="AD8" i="3"/>
  <c r="AD9" i="3"/>
  <c r="AD10" i="3"/>
  <c r="AD11" i="3"/>
  <c r="AD2" i="3"/>
  <c r="AB2" i="3"/>
  <c r="AC2" i="3"/>
  <c r="AB4" i="3"/>
  <c r="AB3" i="3"/>
  <c r="AB5" i="3"/>
  <c r="AB6" i="3"/>
  <c r="AB7" i="3"/>
  <c r="AB8" i="3"/>
  <c r="AB9" i="3"/>
  <c r="AB10" i="3"/>
  <c r="AB11" i="3"/>
  <c r="AB12" i="3"/>
  <c r="AC12" i="3"/>
  <c r="AC11" i="3"/>
  <c r="AC10" i="3"/>
  <c r="AC9" i="3"/>
  <c r="AC8" i="3"/>
  <c r="AC7" i="3"/>
  <c r="AC6" i="3"/>
  <c r="AC5" i="3"/>
  <c r="AC4" i="3"/>
  <c r="AC3" i="3"/>
  <c r="O3" i="3"/>
  <c r="O4" i="3"/>
  <c r="O5" i="3"/>
  <c r="O6" i="3"/>
  <c r="O7" i="3"/>
  <c r="O8" i="3"/>
  <c r="O9" i="3"/>
  <c r="O10" i="3"/>
  <c r="O11" i="3"/>
  <c r="O12" i="3"/>
  <c r="O2" i="3"/>
  <c r="N3" i="3"/>
  <c r="N4" i="3"/>
  <c r="N5" i="3"/>
  <c r="N6" i="3"/>
  <c r="N7" i="3"/>
  <c r="N8" i="3"/>
  <c r="N9" i="3"/>
  <c r="N10" i="3"/>
  <c r="N11" i="3"/>
  <c r="N12" i="3"/>
  <c r="N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2" i="3"/>
  <c r="M2" i="3"/>
  <c r="Y78" i="3"/>
  <c r="AE78" i="3"/>
  <c r="Y79" i="3"/>
  <c r="AE79" i="3"/>
  <c r="Y80" i="3"/>
  <c r="AE80" i="3"/>
  <c r="Y81" i="3"/>
  <c r="AE81" i="3"/>
  <c r="Y82" i="3"/>
  <c r="AE82" i="3"/>
  <c r="AE84" i="3"/>
  <c r="T48" i="3"/>
  <c r="T51" i="3" a="1"/>
  <c r="T51" i="3"/>
  <c r="AE85" i="3" a="1"/>
  <c r="AE85" i="3"/>
  <c r="AC106" i="3"/>
  <c r="AI106" i="3"/>
  <c r="AC107" i="3"/>
  <c r="AI107" i="3"/>
  <c r="AC108" i="3"/>
  <c r="AI108" i="3"/>
  <c r="AC109" i="3"/>
  <c r="AI109" i="3"/>
  <c r="AC110" i="3"/>
  <c r="AI110" i="3"/>
  <c r="AC111" i="3"/>
  <c r="AI111" i="3"/>
  <c r="AC112" i="3"/>
  <c r="AI112" i="3"/>
  <c r="AI114" i="3"/>
  <c r="X66" i="3"/>
  <c r="X69" i="3" a="1"/>
  <c r="X69" i="3"/>
  <c r="AI115" i="3"/>
  <c r="AB106" i="3"/>
  <c r="AH106" i="3"/>
  <c r="AB107" i="3"/>
  <c r="AH107" i="3"/>
  <c r="AB108" i="3"/>
  <c r="AH108" i="3"/>
  <c r="AB109" i="3"/>
  <c r="AH109" i="3"/>
  <c r="AB110" i="3"/>
  <c r="AH110" i="3"/>
  <c r="AB111" i="3"/>
  <c r="AH111" i="3"/>
  <c r="AB112" i="3"/>
  <c r="AH112" i="3"/>
  <c r="AH114" i="3"/>
  <c r="W66" i="3"/>
  <c r="W69" i="3" a="1"/>
  <c r="W69" i="3"/>
  <c r="AH115" i="3"/>
  <c r="AA106" i="3"/>
  <c r="AG106" i="3"/>
  <c r="AA107" i="3"/>
  <c r="AG107" i="3"/>
  <c r="AA108" i="3"/>
  <c r="AG108" i="3"/>
  <c r="AA109" i="3"/>
  <c r="AG109" i="3"/>
  <c r="AA110" i="3"/>
  <c r="AG110" i="3"/>
  <c r="AA111" i="3"/>
  <c r="AG111" i="3"/>
  <c r="AA112" i="3"/>
  <c r="AG112" i="3"/>
  <c r="AG114" i="3"/>
  <c r="V66" i="3"/>
  <c r="V69" i="3" a="1"/>
  <c r="V69" i="3"/>
  <c r="AG115" i="3"/>
  <c r="Z106" i="3"/>
  <c r="AF106" i="3"/>
  <c r="Z107" i="3"/>
  <c r="AF107" i="3"/>
  <c r="Z108" i="3"/>
  <c r="AF108" i="3"/>
  <c r="Z109" i="3"/>
  <c r="AF109" i="3"/>
  <c r="Z110" i="3"/>
  <c r="AF110" i="3"/>
  <c r="Z111" i="3"/>
  <c r="AF111" i="3"/>
  <c r="Z112" i="3"/>
  <c r="AF112" i="3"/>
  <c r="AF114" i="3"/>
  <c r="U66" i="3"/>
  <c r="U69" i="3" a="1"/>
  <c r="U69" i="3"/>
  <c r="AF115" i="3"/>
  <c r="Y106" i="3"/>
  <c r="AE106" i="3"/>
  <c r="Y107" i="3"/>
  <c r="AE107" i="3"/>
  <c r="Y108" i="3"/>
  <c r="AE108" i="3"/>
  <c r="Y109" i="3"/>
  <c r="AE109" i="3"/>
  <c r="Y110" i="3"/>
  <c r="AE110" i="3"/>
  <c r="Y111" i="3"/>
  <c r="AE111" i="3"/>
  <c r="Y112" i="3"/>
  <c r="AE112" i="3"/>
  <c r="AE114" i="3"/>
  <c r="T66" i="3"/>
  <c r="T69" i="3" a="1"/>
  <c r="T69" i="3"/>
  <c r="AE115" i="3"/>
  <c r="AC91" i="3"/>
  <c r="AI91" i="3"/>
  <c r="AC92" i="3"/>
  <c r="AI92" i="3"/>
  <c r="AC93" i="3"/>
  <c r="AI93" i="3"/>
  <c r="AC94" i="3"/>
  <c r="AI94" i="3"/>
  <c r="AC95" i="3"/>
  <c r="AI95" i="3"/>
  <c r="AC96" i="3"/>
  <c r="AI96" i="3"/>
  <c r="AI98" i="3"/>
  <c r="X57" i="3"/>
  <c r="X60" i="3" a="1"/>
  <c r="X60" i="3"/>
  <c r="AI99" i="3"/>
  <c r="AB91" i="3"/>
  <c r="AH91" i="3"/>
  <c r="AB92" i="3"/>
  <c r="AH92" i="3"/>
  <c r="AB93" i="3"/>
  <c r="AH93" i="3"/>
  <c r="AB94" i="3"/>
  <c r="AH94" i="3"/>
  <c r="AB95" i="3"/>
  <c r="AH95" i="3"/>
  <c r="AB96" i="3"/>
  <c r="AH96" i="3"/>
  <c r="AH98" i="3"/>
  <c r="W57" i="3"/>
  <c r="W60" i="3" a="1"/>
  <c r="W60" i="3"/>
  <c r="AH99" i="3"/>
  <c r="AA91" i="3"/>
  <c r="AG91" i="3"/>
  <c r="AA92" i="3"/>
  <c r="AG92" i="3"/>
  <c r="AA93" i="3"/>
  <c r="AG93" i="3"/>
  <c r="AA94" i="3"/>
  <c r="AG94" i="3"/>
  <c r="AA95" i="3"/>
  <c r="AG95" i="3"/>
  <c r="AA96" i="3"/>
  <c r="AG96" i="3"/>
  <c r="AG98" i="3"/>
  <c r="V57" i="3"/>
  <c r="V60" i="3" a="1"/>
  <c r="V60" i="3"/>
  <c r="AG99" i="3"/>
  <c r="Z91" i="3"/>
  <c r="AF91" i="3"/>
  <c r="Z92" i="3"/>
  <c r="AF92" i="3"/>
  <c r="Z93" i="3"/>
  <c r="AF93" i="3"/>
  <c r="Z94" i="3"/>
  <c r="AF94" i="3"/>
  <c r="Z95" i="3"/>
  <c r="AF95" i="3"/>
  <c r="Z96" i="3"/>
  <c r="AF96" i="3"/>
  <c r="AF98" i="3"/>
  <c r="U57" i="3"/>
  <c r="U60" i="3" a="1"/>
  <c r="U60" i="3"/>
  <c r="AF99" i="3"/>
  <c r="Y91" i="3"/>
  <c r="AE91" i="3"/>
  <c r="Y92" i="3"/>
  <c r="AE92" i="3"/>
  <c r="Y93" i="3"/>
  <c r="AE93" i="3"/>
  <c r="Y94" i="3"/>
  <c r="AE94" i="3"/>
  <c r="Y95" i="3"/>
  <c r="AE95" i="3"/>
  <c r="Y96" i="3"/>
  <c r="AE96" i="3"/>
  <c r="AE98" i="3"/>
  <c r="T57" i="3"/>
  <c r="T60" i="3" a="1"/>
  <c r="T60" i="3"/>
  <c r="AE99" i="3"/>
  <c r="AC78" i="3"/>
  <c r="AI78" i="3"/>
  <c r="AC79" i="3"/>
  <c r="AI79" i="3"/>
  <c r="AC80" i="3"/>
  <c r="AI80" i="3"/>
  <c r="AC81" i="3"/>
  <c r="AI81" i="3"/>
  <c r="AC82" i="3"/>
  <c r="AI82" i="3"/>
  <c r="AI84" i="3"/>
  <c r="X48" i="3"/>
  <c r="X51" i="3" a="1"/>
  <c r="X51" i="3"/>
  <c r="AI85" i="3"/>
  <c r="AB78" i="3"/>
  <c r="AH78" i="3"/>
  <c r="AB79" i="3"/>
  <c r="AH79" i="3"/>
  <c r="AB80" i="3"/>
  <c r="AH80" i="3"/>
  <c r="AB81" i="3"/>
  <c r="AH81" i="3"/>
  <c r="AB82" i="3"/>
  <c r="AH82" i="3"/>
  <c r="AH84" i="3"/>
  <c r="W48" i="3"/>
  <c r="W51" i="3" a="1"/>
  <c r="W51" i="3"/>
  <c r="AH85" i="3"/>
  <c r="AA78" i="3"/>
  <c r="AG78" i="3"/>
  <c r="AA79" i="3"/>
  <c r="AG79" i="3"/>
  <c r="AA80" i="3"/>
  <c r="AG80" i="3"/>
  <c r="AA81" i="3"/>
  <c r="AG81" i="3"/>
  <c r="AA82" i="3"/>
  <c r="AG82" i="3"/>
  <c r="AG84" i="3"/>
  <c r="V48" i="3"/>
  <c r="V51" i="3" a="1"/>
  <c r="V51" i="3"/>
  <c r="AG85" i="3"/>
  <c r="Z78" i="3"/>
  <c r="AF78" i="3"/>
  <c r="Z79" i="3"/>
  <c r="AF79" i="3"/>
  <c r="Z80" i="3"/>
  <c r="AF80" i="3"/>
  <c r="Z81" i="3"/>
  <c r="AF81" i="3"/>
  <c r="Z82" i="3"/>
  <c r="AF82" i="3"/>
  <c r="AF84" i="3"/>
  <c r="U48" i="3"/>
  <c r="U51" i="3" a="1"/>
  <c r="U51" i="3"/>
  <c r="AF85" i="3"/>
  <c r="L106" i="3"/>
  <c r="R106" i="3"/>
  <c r="L107" i="3"/>
  <c r="R107" i="3"/>
  <c r="L108" i="3"/>
  <c r="R108" i="3"/>
  <c r="L109" i="3"/>
  <c r="R109" i="3"/>
  <c r="L110" i="3"/>
  <c r="R110" i="3"/>
  <c r="L111" i="3"/>
  <c r="R111" i="3"/>
  <c r="L112" i="3"/>
  <c r="R112" i="3"/>
  <c r="R114" i="3"/>
  <c r="G66" i="3"/>
  <c r="G69" i="3" a="1"/>
  <c r="G69" i="3"/>
  <c r="R115" i="3"/>
  <c r="I106" i="3"/>
  <c r="O106" i="3"/>
  <c r="I107" i="3"/>
  <c r="O107" i="3"/>
  <c r="I108" i="3"/>
  <c r="O108" i="3"/>
  <c r="I109" i="3"/>
  <c r="O109" i="3"/>
  <c r="I110" i="3"/>
  <c r="O110" i="3"/>
  <c r="I111" i="3"/>
  <c r="O111" i="3"/>
  <c r="I112" i="3"/>
  <c r="O112" i="3"/>
  <c r="O114" i="3"/>
  <c r="D66" i="3"/>
  <c r="D69" i="3" a="1"/>
  <c r="D69" i="3"/>
  <c r="O115" i="3"/>
  <c r="J106" i="3"/>
  <c r="P106" i="3"/>
  <c r="J107" i="3"/>
  <c r="P107" i="3"/>
  <c r="J108" i="3"/>
  <c r="P108" i="3"/>
  <c r="J109" i="3"/>
  <c r="P109" i="3"/>
  <c r="J110" i="3"/>
  <c r="P110" i="3"/>
  <c r="J111" i="3"/>
  <c r="P111" i="3"/>
  <c r="J112" i="3"/>
  <c r="P112" i="3"/>
  <c r="P114" i="3"/>
  <c r="E66" i="3"/>
  <c r="E69" i="3" a="1"/>
  <c r="E69" i="3"/>
  <c r="P115" i="3"/>
  <c r="K106" i="3"/>
  <c r="Q106" i="3"/>
  <c r="K107" i="3"/>
  <c r="Q107" i="3"/>
  <c r="K108" i="3"/>
  <c r="Q108" i="3"/>
  <c r="K109" i="3"/>
  <c r="Q109" i="3"/>
  <c r="K110" i="3"/>
  <c r="Q110" i="3"/>
  <c r="K111" i="3"/>
  <c r="Q111" i="3"/>
  <c r="K112" i="3"/>
  <c r="Q112" i="3"/>
  <c r="Q114" i="3"/>
  <c r="F66" i="3"/>
  <c r="F69" i="3" a="1"/>
  <c r="F69" i="3"/>
  <c r="Q115" i="3"/>
  <c r="H106" i="3"/>
  <c r="N106" i="3"/>
  <c r="H107" i="3"/>
  <c r="N107" i="3"/>
  <c r="H108" i="3"/>
  <c r="N108" i="3"/>
  <c r="H109" i="3"/>
  <c r="N109" i="3"/>
  <c r="H110" i="3"/>
  <c r="N110" i="3"/>
  <c r="H111" i="3"/>
  <c r="N111" i="3"/>
  <c r="H112" i="3"/>
  <c r="N112" i="3"/>
  <c r="N114" i="3"/>
  <c r="C66" i="3"/>
  <c r="C69" i="3" a="1"/>
  <c r="C69" i="3"/>
  <c r="N115" i="3"/>
  <c r="I91" i="3"/>
  <c r="O91" i="3"/>
  <c r="I92" i="3"/>
  <c r="O92" i="3"/>
  <c r="I93" i="3"/>
  <c r="O93" i="3"/>
  <c r="I94" i="3"/>
  <c r="O94" i="3"/>
  <c r="I95" i="3"/>
  <c r="O95" i="3"/>
  <c r="I96" i="3"/>
  <c r="O96" i="3"/>
  <c r="O98" i="3"/>
  <c r="D57" i="3"/>
  <c r="D60" i="3" a="1"/>
  <c r="D60" i="3"/>
  <c r="O99" i="3"/>
  <c r="J91" i="3"/>
  <c r="P91" i="3"/>
  <c r="J92" i="3"/>
  <c r="P92" i="3"/>
  <c r="J93" i="3"/>
  <c r="P93" i="3"/>
  <c r="J94" i="3"/>
  <c r="P94" i="3"/>
  <c r="J95" i="3"/>
  <c r="P95" i="3"/>
  <c r="J96" i="3"/>
  <c r="P96" i="3"/>
  <c r="P98" i="3"/>
  <c r="E57" i="3"/>
  <c r="E60" i="3" a="1"/>
  <c r="E60" i="3"/>
  <c r="P99" i="3"/>
  <c r="K91" i="3"/>
  <c r="Q91" i="3"/>
  <c r="K92" i="3"/>
  <c r="Q92" i="3"/>
  <c r="K93" i="3"/>
  <c r="Q93" i="3"/>
  <c r="K94" i="3"/>
  <c r="Q94" i="3"/>
  <c r="K95" i="3"/>
  <c r="Q95" i="3"/>
  <c r="K96" i="3"/>
  <c r="Q96" i="3"/>
  <c r="Q98" i="3"/>
  <c r="F57" i="3"/>
  <c r="F60" i="3" a="1"/>
  <c r="F60" i="3"/>
  <c r="Q99" i="3"/>
  <c r="L91" i="3"/>
  <c r="R91" i="3"/>
  <c r="L92" i="3"/>
  <c r="R92" i="3"/>
  <c r="L93" i="3"/>
  <c r="R93" i="3"/>
  <c r="L94" i="3"/>
  <c r="R94" i="3"/>
  <c r="L95" i="3"/>
  <c r="R95" i="3"/>
  <c r="L96" i="3"/>
  <c r="R96" i="3"/>
  <c r="R98" i="3"/>
  <c r="G57" i="3"/>
  <c r="G60" i="3" a="1"/>
  <c r="G60" i="3"/>
  <c r="R99" i="3"/>
  <c r="H91" i="3"/>
  <c r="N91" i="3"/>
  <c r="H92" i="3"/>
  <c r="N92" i="3"/>
  <c r="H93" i="3"/>
  <c r="N93" i="3"/>
  <c r="H94" i="3"/>
  <c r="N94" i="3"/>
  <c r="H95" i="3"/>
  <c r="N95" i="3"/>
  <c r="H96" i="3"/>
  <c r="N96" i="3"/>
  <c r="N98" i="3"/>
  <c r="C57" i="3"/>
  <c r="C60" i="3" a="1"/>
  <c r="C60" i="3"/>
  <c r="N99" i="3"/>
  <c r="I78" i="3"/>
  <c r="O78" i="3"/>
  <c r="I79" i="3"/>
  <c r="O79" i="3"/>
  <c r="I80" i="3"/>
  <c r="O80" i="3"/>
  <c r="I81" i="3"/>
  <c r="O81" i="3"/>
  <c r="I82" i="3"/>
  <c r="O82" i="3"/>
  <c r="O84" i="3"/>
  <c r="D48" i="3"/>
  <c r="D51" i="3" a="1"/>
  <c r="D51" i="3"/>
  <c r="O85" i="3"/>
  <c r="J78" i="3"/>
  <c r="P78" i="3"/>
  <c r="J79" i="3"/>
  <c r="P79" i="3"/>
  <c r="J80" i="3"/>
  <c r="P80" i="3"/>
  <c r="J81" i="3"/>
  <c r="P81" i="3"/>
  <c r="J82" i="3"/>
  <c r="P82" i="3"/>
  <c r="P84" i="3"/>
  <c r="E48" i="3"/>
  <c r="E51" i="3" a="1"/>
  <c r="E51" i="3"/>
  <c r="P85" i="3"/>
  <c r="K78" i="3"/>
  <c r="Q78" i="3"/>
  <c r="K79" i="3"/>
  <c r="Q79" i="3"/>
  <c r="K80" i="3"/>
  <c r="Q80" i="3"/>
  <c r="K81" i="3"/>
  <c r="Q81" i="3"/>
  <c r="K82" i="3"/>
  <c r="Q82" i="3"/>
  <c r="Q84" i="3"/>
  <c r="F48" i="3"/>
  <c r="F51" i="3" a="1"/>
  <c r="F51" i="3"/>
  <c r="Q85" i="3"/>
  <c r="L78" i="3"/>
  <c r="R78" i="3"/>
  <c r="L79" i="3"/>
  <c r="R79" i="3"/>
  <c r="L80" i="3"/>
  <c r="R80" i="3"/>
  <c r="L81" i="3"/>
  <c r="R81" i="3"/>
  <c r="L82" i="3"/>
  <c r="R82" i="3"/>
  <c r="R84" i="3"/>
  <c r="G48" i="3"/>
  <c r="G51" i="3" a="1"/>
  <c r="G51" i="3"/>
  <c r="R85" i="3"/>
  <c r="H78" i="3"/>
  <c r="N78" i="3"/>
  <c r="H79" i="3"/>
  <c r="N79" i="3"/>
  <c r="H80" i="3"/>
  <c r="N80" i="3"/>
  <c r="H81" i="3"/>
  <c r="N81" i="3"/>
  <c r="H82" i="3"/>
  <c r="N82" i="3"/>
  <c r="N84" i="3"/>
  <c r="C48" i="3"/>
  <c r="C51" i="3" a="1"/>
  <c r="C51" i="3"/>
  <c r="N85" i="3"/>
  <c r="AO66" i="3"/>
  <c r="AO69" i="3" a="1"/>
  <c r="AO69" i="3"/>
  <c r="AN66" i="3"/>
  <c r="AN69" i="3" a="1"/>
  <c r="AN69" i="3"/>
  <c r="AM66" i="3"/>
  <c r="AM69" i="3" a="1"/>
  <c r="AM69" i="3"/>
  <c r="AL66" i="3"/>
  <c r="AL69" i="3" a="1"/>
  <c r="AL69" i="3"/>
  <c r="AK66" i="3"/>
  <c r="AK69" i="3" a="1"/>
  <c r="AK69" i="3"/>
  <c r="AO57" i="3"/>
  <c r="AO60" i="3" a="1"/>
  <c r="AO60" i="3"/>
  <c r="AN57" i="3"/>
  <c r="AN60" i="3" a="1"/>
  <c r="AN60" i="3"/>
  <c r="AM57" i="3"/>
  <c r="AM60" i="3" a="1"/>
  <c r="AM60" i="3"/>
  <c r="AL57" i="3"/>
  <c r="AL60" i="3" a="1"/>
  <c r="AL60" i="3"/>
  <c r="AK57" i="3"/>
  <c r="AK60" i="3" a="1"/>
  <c r="AK60" i="3"/>
  <c r="AO48" i="3"/>
  <c r="AO51" i="3" a="1"/>
  <c r="AO51" i="3"/>
  <c r="AN48" i="3"/>
  <c r="AN51" i="3" a="1"/>
  <c r="AN51" i="3"/>
  <c r="AM48" i="3"/>
  <c r="AM51" i="3" a="1"/>
  <c r="AM51" i="3"/>
  <c r="AL48" i="3"/>
  <c r="AL51" i="3" a="1"/>
  <c r="AL51" i="3"/>
  <c r="AK48" i="3"/>
  <c r="AK51" i="3" a="1"/>
  <c r="AK51" i="3"/>
  <c r="C53" i="3"/>
  <c r="E53" i="3"/>
  <c r="C54" i="3"/>
  <c r="D53" i="3"/>
  <c r="G53" i="3"/>
  <c r="F53" i="3"/>
  <c r="AL59" i="3"/>
  <c r="D49" i="3"/>
  <c r="E49" i="3"/>
  <c r="F49" i="3"/>
  <c r="G49" i="3"/>
  <c r="T49" i="3"/>
  <c r="U49" i="3"/>
  <c r="V49" i="3"/>
  <c r="W49" i="3"/>
  <c r="X49" i="3"/>
  <c r="AK49" i="3"/>
  <c r="AL49" i="3"/>
  <c r="AM49" i="3"/>
  <c r="AN49" i="3"/>
  <c r="AO49" i="3"/>
  <c r="D50" i="3"/>
  <c r="E50" i="3"/>
  <c r="F50" i="3"/>
  <c r="G50" i="3"/>
  <c r="T50" i="3"/>
  <c r="U50" i="3"/>
  <c r="V50" i="3"/>
  <c r="W50" i="3"/>
  <c r="X50" i="3"/>
  <c r="AK50" i="3"/>
  <c r="AL50" i="3"/>
  <c r="AM50" i="3"/>
  <c r="AN50" i="3"/>
  <c r="AO50" i="3"/>
  <c r="D52" i="3"/>
  <c r="E52" i="3"/>
  <c r="F52" i="3"/>
  <c r="G52" i="3"/>
  <c r="T52" i="3"/>
  <c r="U52" i="3"/>
  <c r="V52" i="3"/>
  <c r="W52" i="3"/>
  <c r="X52" i="3"/>
  <c r="AK52" i="3"/>
  <c r="AL52" i="3"/>
  <c r="AM52" i="3"/>
  <c r="AN52" i="3"/>
  <c r="AO52" i="3"/>
  <c r="T53" i="3"/>
  <c r="U53" i="3"/>
  <c r="V53" i="3"/>
  <c r="W53" i="3"/>
  <c r="X53" i="3"/>
  <c r="AK53" i="3"/>
  <c r="AL53" i="3"/>
  <c r="AM53" i="3"/>
  <c r="AN53" i="3"/>
  <c r="AO53" i="3"/>
  <c r="D54" i="3"/>
  <c r="E54" i="3"/>
  <c r="F54" i="3"/>
  <c r="G54" i="3"/>
  <c r="T54" i="3"/>
  <c r="U54" i="3"/>
  <c r="V54" i="3"/>
  <c r="W54" i="3"/>
  <c r="X54" i="3"/>
  <c r="AK54" i="3"/>
  <c r="AL54" i="3"/>
  <c r="AM54" i="3"/>
  <c r="AN54" i="3"/>
  <c r="AO54" i="3"/>
  <c r="D55" i="3"/>
  <c r="E55" i="3"/>
  <c r="F55" i="3"/>
  <c r="G55" i="3"/>
  <c r="T55" i="3"/>
  <c r="U55" i="3"/>
  <c r="V55" i="3"/>
  <c r="W55" i="3"/>
  <c r="X55" i="3"/>
  <c r="AK55" i="3"/>
  <c r="AL55" i="3"/>
  <c r="AM55" i="3"/>
  <c r="AN55" i="3"/>
  <c r="AO55" i="3"/>
  <c r="D56" i="3"/>
  <c r="E56" i="3"/>
  <c r="F56" i="3"/>
  <c r="G56" i="3"/>
  <c r="T56" i="3"/>
  <c r="U56" i="3"/>
  <c r="V56" i="3"/>
  <c r="W56" i="3"/>
  <c r="X56" i="3"/>
  <c r="AK56" i="3"/>
  <c r="AL56" i="3"/>
  <c r="AM56" i="3"/>
  <c r="AN56" i="3"/>
  <c r="AO56" i="3"/>
  <c r="D58" i="3"/>
  <c r="E58" i="3"/>
  <c r="F58" i="3"/>
  <c r="G58" i="3"/>
  <c r="T58" i="3"/>
  <c r="U58" i="3"/>
  <c r="V58" i="3"/>
  <c r="W58" i="3"/>
  <c r="X58" i="3"/>
  <c r="AK58" i="3"/>
  <c r="AL58" i="3"/>
  <c r="AM58" i="3"/>
  <c r="AN58" i="3"/>
  <c r="AO58" i="3"/>
  <c r="D59" i="3"/>
  <c r="E59" i="3"/>
  <c r="F59" i="3"/>
  <c r="G59" i="3"/>
  <c r="T59" i="3"/>
  <c r="U59" i="3"/>
  <c r="V59" i="3"/>
  <c r="W59" i="3"/>
  <c r="X59" i="3"/>
  <c r="AK59" i="3"/>
  <c r="AM59" i="3"/>
  <c r="AN59" i="3"/>
  <c r="AO59" i="3"/>
  <c r="D61" i="3"/>
  <c r="E61" i="3"/>
  <c r="F61" i="3"/>
  <c r="G61" i="3"/>
  <c r="T61" i="3"/>
  <c r="U61" i="3"/>
  <c r="V61" i="3"/>
  <c r="W61" i="3"/>
  <c r="X61" i="3"/>
  <c r="AK61" i="3"/>
  <c r="AL61" i="3"/>
  <c r="AM61" i="3"/>
  <c r="AN61" i="3"/>
  <c r="AO61" i="3"/>
  <c r="D62" i="3"/>
  <c r="E62" i="3"/>
  <c r="F62" i="3"/>
  <c r="G62" i="3"/>
  <c r="T62" i="3"/>
  <c r="U62" i="3"/>
  <c r="V62" i="3"/>
  <c r="W62" i="3"/>
  <c r="X62" i="3"/>
  <c r="AK62" i="3"/>
  <c r="AL62" i="3"/>
  <c r="AM62" i="3"/>
  <c r="AN62" i="3"/>
  <c r="AO62" i="3"/>
  <c r="D63" i="3"/>
  <c r="E63" i="3"/>
  <c r="F63" i="3"/>
  <c r="G63" i="3"/>
  <c r="T63" i="3"/>
  <c r="U63" i="3"/>
  <c r="V63" i="3"/>
  <c r="W63" i="3"/>
  <c r="X63" i="3"/>
  <c r="AK63" i="3"/>
  <c r="AL63" i="3"/>
  <c r="AM63" i="3"/>
  <c r="AN63" i="3"/>
  <c r="AO63" i="3"/>
  <c r="D64" i="3"/>
  <c r="E64" i="3"/>
  <c r="F64" i="3"/>
  <c r="G64" i="3"/>
  <c r="T64" i="3"/>
  <c r="U64" i="3"/>
  <c r="V64" i="3"/>
  <c r="W64" i="3"/>
  <c r="X64" i="3"/>
  <c r="AK64" i="3"/>
  <c r="AL64" i="3"/>
  <c r="AM64" i="3"/>
  <c r="AN64" i="3"/>
  <c r="AO64" i="3"/>
  <c r="D65" i="3"/>
  <c r="E65" i="3"/>
  <c r="F65" i="3"/>
  <c r="G65" i="3"/>
  <c r="T65" i="3"/>
  <c r="U65" i="3"/>
  <c r="V65" i="3"/>
  <c r="W65" i="3"/>
  <c r="X65" i="3"/>
  <c r="AK65" i="3"/>
  <c r="AL65" i="3"/>
  <c r="AM65" i="3"/>
  <c r="AN65" i="3"/>
  <c r="AO65" i="3"/>
  <c r="D67" i="3"/>
  <c r="E67" i="3"/>
  <c r="F67" i="3"/>
  <c r="G67" i="3"/>
  <c r="T67" i="3"/>
  <c r="U67" i="3"/>
  <c r="V67" i="3"/>
  <c r="W67" i="3"/>
  <c r="X67" i="3"/>
  <c r="AK67" i="3"/>
  <c r="AL67" i="3"/>
  <c r="AM67" i="3"/>
  <c r="AN67" i="3"/>
  <c r="AO67" i="3"/>
  <c r="D68" i="3"/>
  <c r="E68" i="3"/>
  <c r="F68" i="3"/>
  <c r="G68" i="3"/>
  <c r="T68" i="3"/>
  <c r="U68" i="3"/>
  <c r="V68" i="3"/>
  <c r="W68" i="3"/>
  <c r="X68" i="3"/>
  <c r="AK68" i="3"/>
  <c r="AL68" i="3"/>
  <c r="AM68" i="3"/>
  <c r="AN68" i="3"/>
  <c r="AO68" i="3"/>
  <c r="D70" i="3"/>
  <c r="E70" i="3"/>
  <c r="F70" i="3"/>
  <c r="G70" i="3"/>
  <c r="T70" i="3"/>
  <c r="U70" i="3"/>
  <c r="V70" i="3"/>
  <c r="W70" i="3"/>
  <c r="X70" i="3"/>
  <c r="AK70" i="3"/>
  <c r="AL70" i="3"/>
  <c r="AM70" i="3"/>
  <c r="AN70" i="3"/>
  <c r="AO70" i="3"/>
  <c r="D71" i="3"/>
  <c r="E71" i="3"/>
  <c r="F71" i="3"/>
  <c r="G71" i="3"/>
  <c r="T71" i="3"/>
  <c r="U71" i="3"/>
  <c r="V71" i="3"/>
  <c r="W71" i="3"/>
  <c r="X71" i="3"/>
  <c r="AK71" i="3"/>
  <c r="AL71" i="3"/>
  <c r="AM71" i="3"/>
  <c r="AN71" i="3"/>
  <c r="AO71" i="3"/>
  <c r="D72" i="3"/>
  <c r="E72" i="3"/>
  <c r="F72" i="3"/>
  <c r="G72" i="3"/>
  <c r="T72" i="3"/>
  <c r="U72" i="3"/>
  <c r="V72" i="3"/>
  <c r="W72" i="3"/>
  <c r="X72" i="3"/>
  <c r="AK72" i="3"/>
  <c r="AL72" i="3"/>
  <c r="AM72" i="3"/>
  <c r="AN72" i="3"/>
  <c r="AO72" i="3"/>
  <c r="D73" i="3"/>
  <c r="E73" i="3"/>
  <c r="F73" i="3"/>
  <c r="G73" i="3"/>
  <c r="T73" i="3"/>
  <c r="U73" i="3"/>
  <c r="V73" i="3"/>
  <c r="W73" i="3"/>
  <c r="X73" i="3"/>
  <c r="AK73" i="3"/>
  <c r="AL73" i="3"/>
  <c r="AM73" i="3"/>
  <c r="AN73" i="3"/>
  <c r="AO73" i="3"/>
  <c r="D74" i="3"/>
  <c r="E74" i="3"/>
  <c r="F74" i="3"/>
  <c r="G74" i="3"/>
  <c r="T74" i="3"/>
  <c r="U74" i="3"/>
  <c r="V74" i="3"/>
  <c r="W74" i="3"/>
  <c r="X74" i="3"/>
  <c r="AK74" i="3"/>
  <c r="AL74" i="3"/>
  <c r="AM74" i="3"/>
  <c r="AN74" i="3"/>
  <c r="AO74" i="3"/>
  <c r="C74" i="3"/>
  <c r="C73" i="3"/>
  <c r="C68" i="3"/>
  <c r="C67" i="3"/>
  <c r="C72" i="3"/>
  <c r="C71" i="3"/>
  <c r="C70" i="3"/>
  <c r="C65" i="3"/>
  <c r="C64" i="3"/>
  <c r="C63" i="3"/>
  <c r="C62" i="3"/>
  <c r="C61" i="3"/>
  <c r="C59" i="3"/>
  <c r="C49" i="3"/>
  <c r="C50" i="3"/>
  <c r="C58" i="3"/>
  <c r="C56" i="3"/>
  <c r="C55" i="3"/>
  <c r="C52" i="3"/>
  <c r="J50" i="2"/>
  <c r="J52" i="2"/>
  <c r="K49" i="2"/>
  <c r="K53" i="2"/>
  <c r="L49" i="2"/>
  <c r="L53" i="2"/>
  <c r="M49" i="2"/>
  <c r="M53" i="2"/>
  <c r="N49" i="2"/>
  <c r="N53" i="2"/>
  <c r="J49" i="2"/>
  <c r="J53" i="2"/>
  <c r="J62" i="2"/>
  <c r="J64" i="2"/>
  <c r="J61" i="2"/>
  <c r="J65" i="2"/>
  <c r="J89" i="2"/>
  <c r="J74" i="2"/>
  <c r="J76" i="2"/>
  <c r="J73" i="2"/>
  <c r="J77" i="2"/>
  <c r="J88" i="2"/>
  <c r="K88" i="2"/>
  <c r="L88" i="2"/>
  <c r="M88" i="2"/>
  <c r="N88" i="2"/>
  <c r="K61" i="2"/>
  <c r="K65" i="2"/>
  <c r="K89" i="2"/>
  <c r="L61" i="2"/>
  <c r="L65" i="2"/>
  <c r="L89" i="2"/>
  <c r="M61" i="2"/>
  <c r="M65" i="2"/>
  <c r="M89" i="2"/>
  <c r="N61" i="2"/>
  <c r="N65" i="2"/>
  <c r="N89" i="2"/>
  <c r="K73" i="2"/>
  <c r="K77" i="2"/>
  <c r="K90" i="2"/>
  <c r="L73" i="2"/>
  <c r="L77" i="2"/>
  <c r="L90" i="2"/>
  <c r="M73" i="2"/>
  <c r="M77" i="2"/>
  <c r="M90" i="2"/>
  <c r="N73" i="2"/>
  <c r="N77" i="2"/>
  <c r="N90" i="2"/>
  <c r="C50" i="2"/>
  <c r="C52" i="2"/>
  <c r="D49" i="2"/>
  <c r="D53" i="2"/>
  <c r="D88" i="2"/>
  <c r="E49" i="2"/>
  <c r="E53" i="2"/>
  <c r="E88" i="2"/>
  <c r="F49" i="2"/>
  <c r="F53" i="2"/>
  <c r="F88" i="2"/>
  <c r="G49" i="2"/>
  <c r="G53" i="2"/>
  <c r="G88" i="2"/>
  <c r="C62" i="2"/>
  <c r="C64" i="2"/>
  <c r="D61" i="2"/>
  <c r="D65" i="2"/>
  <c r="D89" i="2"/>
  <c r="E61" i="2"/>
  <c r="E65" i="2"/>
  <c r="E89" i="2"/>
  <c r="F61" i="2"/>
  <c r="F65" i="2"/>
  <c r="F89" i="2"/>
  <c r="G61" i="2"/>
  <c r="G65" i="2"/>
  <c r="G89" i="2"/>
  <c r="C74" i="2"/>
  <c r="C76" i="2"/>
  <c r="D73" i="2"/>
  <c r="D77" i="2"/>
  <c r="D90" i="2"/>
  <c r="E73" i="2"/>
  <c r="E77" i="2"/>
  <c r="E90" i="2"/>
  <c r="F73" i="2"/>
  <c r="F77" i="2"/>
  <c r="F90" i="2"/>
  <c r="G73" i="2"/>
  <c r="G77" i="2"/>
  <c r="G90" i="2"/>
  <c r="C73" i="2"/>
  <c r="C77" i="2"/>
  <c r="C61" i="2"/>
  <c r="C65" i="2"/>
  <c r="C49" i="2"/>
  <c r="C53" i="2"/>
  <c r="C88" i="2"/>
  <c r="J48" i="2"/>
  <c r="J85" i="2"/>
  <c r="J72" i="2"/>
  <c r="J60" i="2"/>
  <c r="J90" i="2"/>
  <c r="N72" i="2"/>
  <c r="N87" i="2"/>
  <c r="M72" i="2"/>
  <c r="M87" i="2"/>
  <c r="L72" i="2"/>
  <c r="L87" i="2"/>
  <c r="K72" i="2"/>
  <c r="K87" i="2"/>
  <c r="J87" i="2"/>
  <c r="N60" i="2"/>
  <c r="N86" i="2"/>
  <c r="M60" i="2"/>
  <c r="M86" i="2"/>
  <c r="L60" i="2"/>
  <c r="L86" i="2"/>
  <c r="K60" i="2"/>
  <c r="K86" i="2"/>
  <c r="J86" i="2"/>
  <c r="N48" i="2"/>
  <c r="N85" i="2"/>
  <c r="M48" i="2"/>
  <c r="M85" i="2"/>
  <c r="L48" i="2"/>
  <c r="L85" i="2"/>
  <c r="K48" i="2"/>
  <c r="K85" i="2"/>
  <c r="N79" i="2"/>
  <c r="M79" i="2"/>
  <c r="L79" i="2"/>
  <c r="K79" i="2"/>
  <c r="J79" i="2"/>
  <c r="N78" i="2"/>
  <c r="M78" i="2"/>
  <c r="L78" i="2"/>
  <c r="K78" i="2"/>
  <c r="J78" i="2"/>
  <c r="N67" i="2"/>
  <c r="M67" i="2"/>
  <c r="L67" i="2"/>
  <c r="K67" i="2"/>
  <c r="J67" i="2"/>
  <c r="N66" i="2"/>
  <c r="M66" i="2"/>
  <c r="L66" i="2"/>
  <c r="K66" i="2"/>
  <c r="J66" i="2"/>
  <c r="N55" i="2"/>
  <c r="M55" i="2"/>
  <c r="L55" i="2"/>
  <c r="K55" i="2"/>
  <c r="J55" i="2"/>
  <c r="N54" i="2"/>
  <c r="M54" i="2"/>
  <c r="L54" i="2"/>
  <c r="K54" i="2"/>
  <c r="J54" i="2"/>
  <c r="X47" i="2"/>
  <c r="X52" i="2"/>
  <c r="X48" i="2"/>
  <c r="X49" i="2"/>
  <c r="X51" i="2"/>
  <c r="X50" i="2"/>
  <c r="X53" i="2"/>
  <c r="X59" i="2"/>
  <c r="X64" i="2"/>
  <c r="X60" i="2"/>
  <c r="X61" i="2"/>
  <c r="X63" i="2"/>
  <c r="X62" i="2"/>
  <c r="X65" i="2"/>
  <c r="X71" i="2"/>
  <c r="X76" i="2"/>
  <c r="X72" i="2"/>
  <c r="X73" i="2"/>
  <c r="X75" i="2"/>
  <c r="X74" i="2"/>
  <c r="X77" i="2"/>
  <c r="R53" i="2" a="1"/>
  <c r="R53" i="2"/>
  <c r="R54" i="2" a="1"/>
  <c r="R54" i="2"/>
  <c r="R56" i="2"/>
  <c r="R84" i="2"/>
  <c r="S53" i="2" a="1"/>
  <c r="S53" i="2"/>
  <c r="S54" i="2" a="1"/>
  <c r="S54" i="2"/>
  <c r="S56" i="2"/>
  <c r="S84" i="2"/>
  <c r="T53" i="2" a="1"/>
  <c r="T53" i="2"/>
  <c r="T54" i="2" a="1"/>
  <c r="T54" i="2"/>
  <c r="T56" i="2"/>
  <c r="T84" i="2"/>
  <c r="U53" i="2" a="1"/>
  <c r="U53" i="2"/>
  <c r="U54" i="2" a="1"/>
  <c r="U54" i="2"/>
  <c r="U56" i="2"/>
  <c r="U84" i="2"/>
  <c r="R65" i="2" a="1"/>
  <c r="R65" i="2"/>
  <c r="R66" i="2" a="1"/>
  <c r="R66" i="2"/>
  <c r="R68" i="2"/>
  <c r="R85" i="2"/>
  <c r="S65" i="2" a="1"/>
  <c r="S65" i="2"/>
  <c r="S66" i="2" a="1"/>
  <c r="S66" i="2"/>
  <c r="S68" i="2"/>
  <c r="S85" i="2"/>
  <c r="T65" i="2" a="1"/>
  <c r="T65" i="2"/>
  <c r="T66" i="2" a="1"/>
  <c r="T66" i="2"/>
  <c r="T68" i="2"/>
  <c r="T85" i="2"/>
  <c r="U65" i="2" a="1"/>
  <c r="U65" i="2"/>
  <c r="U66" i="2" a="1"/>
  <c r="U66" i="2"/>
  <c r="U68" i="2"/>
  <c r="U85" i="2"/>
  <c r="R55" i="2"/>
  <c r="R87" i="2"/>
  <c r="S55" i="2"/>
  <c r="S87" i="2"/>
  <c r="T55" i="2"/>
  <c r="T87" i="2"/>
  <c r="U55" i="2"/>
  <c r="U87" i="2"/>
  <c r="R67" i="2"/>
  <c r="R88" i="2"/>
  <c r="S67" i="2"/>
  <c r="S88" i="2"/>
  <c r="T67" i="2"/>
  <c r="T88" i="2"/>
  <c r="U67" i="2"/>
  <c r="U88" i="2"/>
  <c r="R89" i="2"/>
  <c r="S89" i="2"/>
  <c r="T89" i="2"/>
  <c r="U89" i="2"/>
  <c r="Q55" i="2"/>
  <c r="Q65" i="2" a="1"/>
  <c r="Q65" i="2"/>
  <c r="Q66" i="2" a="1"/>
  <c r="Q66" i="2"/>
  <c r="Q68" i="2"/>
  <c r="Q67" i="2"/>
  <c r="Q88" i="2"/>
  <c r="Q87" i="2"/>
  <c r="Q85" i="2"/>
  <c r="AA85" i="2"/>
  <c r="AA95" i="2"/>
  <c r="AA70" i="2"/>
  <c r="AA94" i="2"/>
  <c r="AA56" i="2"/>
  <c r="AA93" i="2"/>
  <c r="AA86" i="2"/>
  <c r="AA92" i="2"/>
  <c r="AA71" i="2"/>
  <c r="AA91" i="2"/>
  <c r="AA57" i="2"/>
  <c r="AA90" i="2"/>
  <c r="AA111" i="2"/>
  <c r="AA112" i="2"/>
  <c r="AA113" i="2"/>
  <c r="AA114" i="2"/>
  <c r="AA78" i="2"/>
  <c r="AA79" i="2"/>
  <c r="AA147" i="2"/>
  <c r="AB147" i="2"/>
  <c r="AC147" i="2"/>
  <c r="AD147" i="2"/>
  <c r="AE147" i="2"/>
  <c r="AF147" i="2"/>
  <c r="AG147" i="2"/>
  <c r="AH147" i="2"/>
  <c r="AI147" i="2"/>
  <c r="AJ147" i="2"/>
  <c r="AA149" i="2"/>
  <c r="AB149" i="2"/>
  <c r="AC149" i="2"/>
  <c r="AD149" i="2"/>
  <c r="AE149" i="2"/>
  <c r="AF149" i="2"/>
  <c r="AG149" i="2"/>
  <c r="AH149" i="2"/>
  <c r="AI149" i="2"/>
  <c r="AJ149" i="2"/>
  <c r="AA150" i="2"/>
  <c r="AB150" i="2"/>
  <c r="AC150" i="2"/>
  <c r="AD150" i="2"/>
  <c r="AE150" i="2"/>
  <c r="AF150" i="2"/>
  <c r="AG150" i="2"/>
  <c r="AH150" i="2"/>
  <c r="AI150" i="2"/>
  <c r="AJ150" i="2"/>
  <c r="AA151" i="2"/>
  <c r="AB151" i="2"/>
  <c r="AC151" i="2"/>
  <c r="AD151" i="2"/>
  <c r="AE151" i="2"/>
  <c r="AF151" i="2"/>
  <c r="AG151" i="2"/>
  <c r="AH151" i="2"/>
  <c r="AI151" i="2"/>
  <c r="AJ151" i="2"/>
  <c r="AA140" i="2"/>
  <c r="AB140" i="2"/>
  <c r="AC140" i="2"/>
  <c r="AD140" i="2"/>
  <c r="AE140" i="2"/>
  <c r="AF140" i="2"/>
  <c r="AG140" i="2"/>
  <c r="AH140" i="2"/>
  <c r="AI140" i="2"/>
  <c r="AJ140" i="2"/>
  <c r="AA141" i="2"/>
  <c r="AB141" i="2"/>
  <c r="AC141" i="2"/>
  <c r="AD141" i="2"/>
  <c r="AE141" i="2"/>
  <c r="AF141" i="2"/>
  <c r="AG141" i="2"/>
  <c r="AH141" i="2"/>
  <c r="AI141" i="2"/>
  <c r="AJ141" i="2"/>
  <c r="AA142" i="2"/>
  <c r="AB142" i="2"/>
  <c r="AC142" i="2"/>
  <c r="AD142" i="2"/>
  <c r="AE142" i="2"/>
  <c r="AF142" i="2"/>
  <c r="AG142" i="2"/>
  <c r="AH142" i="2"/>
  <c r="AI142" i="2"/>
  <c r="AJ142" i="2"/>
  <c r="AA148" i="2"/>
  <c r="AB148" i="2"/>
  <c r="AC148" i="2"/>
  <c r="AD148" i="2"/>
  <c r="AE148" i="2"/>
  <c r="AF148" i="2"/>
  <c r="AG148" i="2"/>
  <c r="AH148" i="2"/>
  <c r="AI148" i="2"/>
  <c r="AJ148" i="2"/>
  <c r="AA143" i="2"/>
  <c r="AB143" i="2"/>
  <c r="AC143" i="2"/>
  <c r="AD143" i="2"/>
  <c r="AE143" i="2"/>
  <c r="AF143" i="2"/>
  <c r="AG143" i="2"/>
  <c r="AH143" i="2"/>
  <c r="AI143" i="2"/>
  <c r="AJ143" i="2"/>
  <c r="AA144" i="2"/>
  <c r="AB144" i="2"/>
  <c r="AC144" i="2"/>
  <c r="AD144" i="2"/>
  <c r="AE144" i="2"/>
  <c r="AF144" i="2"/>
  <c r="AG144" i="2"/>
  <c r="AH144" i="2"/>
  <c r="AI144" i="2"/>
  <c r="AJ144" i="2"/>
  <c r="AA145" i="2"/>
  <c r="AB145" i="2"/>
  <c r="AC145" i="2"/>
  <c r="AD145" i="2"/>
  <c r="AE145" i="2"/>
  <c r="AF145" i="2"/>
  <c r="AG145" i="2"/>
  <c r="AH145" i="2"/>
  <c r="AI145" i="2"/>
  <c r="AJ145" i="2"/>
  <c r="AA146" i="2"/>
  <c r="AB146" i="2"/>
  <c r="AC146" i="2"/>
  <c r="AD146" i="2"/>
  <c r="AE146" i="2"/>
  <c r="AF146" i="2"/>
  <c r="AG146" i="2"/>
  <c r="AH146" i="2"/>
  <c r="AI146" i="2"/>
  <c r="AJ146" i="2"/>
  <c r="AA152" i="2"/>
  <c r="AB152" i="2"/>
  <c r="AC152" i="2"/>
  <c r="AD152" i="2"/>
  <c r="AE152" i="2"/>
  <c r="AF152" i="2"/>
  <c r="AG152" i="2"/>
  <c r="AH152" i="2"/>
  <c r="AI152" i="2"/>
  <c r="AJ152" i="2"/>
  <c r="AA139" i="2"/>
  <c r="AB139" i="2"/>
  <c r="AC139" i="2"/>
  <c r="AD139" i="2"/>
  <c r="AE139" i="2"/>
  <c r="AF139" i="2"/>
  <c r="AG139" i="2"/>
  <c r="AH139" i="2"/>
  <c r="AI139" i="2"/>
  <c r="AJ139" i="2"/>
  <c r="AA77" i="2"/>
  <c r="AA80" i="2"/>
  <c r="AA76" i="2"/>
  <c r="AA82" i="2"/>
  <c r="AA81" i="2"/>
  <c r="AA63" i="2"/>
  <c r="AA64" i="2"/>
  <c r="AA135" i="2"/>
  <c r="AB135" i="2"/>
  <c r="AC135" i="2"/>
  <c r="AD135" i="2"/>
  <c r="AE135" i="2"/>
  <c r="AF135" i="2"/>
  <c r="AG135" i="2"/>
  <c r="AH135" i="2"/>
  <c r="AI135" i="2"/>
  <c r="AJ135" i="2"/>
  <c r="AA125" i="2"/>
  <c r="AB125" i="2"/>
  <c r="AC125" i="2"/>
  <c r="AD125" i="2"/>
  <c r="AE125" i="2"/>
  <c r="AF125" i="2"/>
  <c r="AG125" i="2"/>
  <c r="AH125" i="2"/>
  <c r="AI125" i="2"/>
  <c r="AJ125" i="2"/>
  <c r="AA126" i="2"/>
  <c r="AB126" i="2"/>
  <c r="AC126" i="2"/>
  <c r="AD126" i="2"/>
  <c r="AE126" i="2"/>
  <c r="AF126" i="2"/>
  <c r="AG126" i="2"/>
  <c r="AH126" i="2"/>
  <c r="AI126" i="2"/>
  <c r="AJ126" i="2"/>
  <c r="AA127" i="2"/>
  <c r="AB127" i="2"/>
  <c r="AC127" i="2"/>
  <c r="AD127" i="2"/>
  <c r="AE127" i="2"/>
  <c r="AF127" i="2"/>
  <c r="AG127" i="2"/>
  <c r="AH127" i="2"/>
  <c r="AI127" i="2"/>
  <c r="AJ127" i="2"/>
  <c r="AA128" i="2"/>
  <c r="AB128" i="2"/>
  <c r="AC128" i="2"/>
  <c r="AD128" i="2"/>
  <c r="AE128" i="2"/>
  <c r="AF128" i="2"/>
  <c r="AG128" i="2"/>
  <c r="AH128" i="2"/>
  <c r="AI128" i="2"/>
  <c r="AJ128" i="2"/>
  <c r="AA129" i="2"/>
  <c r="AB129" i="2"/>
  <c r="AC129" i="2"/>
  <c r="AD129" i="2"/>
  <c r="AE129" i="2"/>
  <c r="AF129" i="2"/>
  <c r="AG129" i="2"/>
  <c r="AH129" i="2"/>
  <c r="AI129" i="2"/>
  <c r="AJ129" i="2"/>
  <c r="AA130" i="2"/>
  <c r="AB130" i="2"/>
  <c r="AC130" i="2"/>
  <c r="AD130" i="2"/>
  <c r="AE130" i="2"/>
  <c r="AF130" i="2"/>
  <c r="AG130" i="2"/>
  <c r="AH130" i="2"/>
  <c r="AI130" i="2"/>
  <c r="AJ130" i="2"/>
  <c r="AA124" i="2"/>
  <c r="AB124" i="2"/>
  <c r="AC124" i="2"/>
  <c r="AD124" i="2"/>
  <c r="AE124" i="2"/>
  <c r="AF124" i="2"/>
  <c r="AG124" i="2"/>
  <c r="AH124" i="2"/>
  <c r="AI124" i="2"/>
  <c r="AJ124" i="2"/>
  <c r="AA131" i="2"/>
  <c r="AB131" i="2"/>
  <c r="AC131" i="2"/>
  <c r="AD131" i="2"/>
  <c r="AE131" i="2"/>
  <c r="AF131" i="2"/>
  <c r="AG131" i="2"/>
  <c r="AH131" i="2"/>
  <c r="AI131" i="2"/>
  <c r="AJ131" i="2"/>
  <c r="AA132" i="2"/>
  <c r="AB132" i="2"/>
  <c r="AC132" i="2"/>
  <c r="AD132" i="2"/>
  <c r="AE132" i="2"/>
  <c r="AF132" i="2"/>
  <c r="AG132" i="2"/>
  <c r="AH132" i="2"/>
  <c r="AI132" i="2"/>
  <c r="AJ132" i="2"/>
  <c r="AA133" i="2"/>
  <c r="AB133" i="2"/>
  <c r="AC133" i="2"/>
  <c r="AD133" i="2"/>
  <c r="AE133" i="2"/>
  <c r="AF133" i="2"/>
  <c r="AG133" i="2"/>
  <c r="AH133" i="2"/>
  <c r="AI133" i="2"/>
  <c r="AJ133" i="2"/>
  <c r="AA134" i="2"/>
  <c r="AB134" i="2"/>
  <c r="AC134" i="2"/>
  <c r="AD134" i="2"/>
  <c r="AE134" i="2"/>
  <c r="AF134" i="2"/>
  <c r="AG134" i="2"/>
  <c r="AH134" i="2"/>
  <c r="AI134" i="2"/>
  <c r="AJ134" i="2"/>
  <c r="AA62" i="2"/>
  <c r="AA65" i="2"/>
  <c r="AA61" i="2"/>
  <c r="AA67" i="2"/>
  <c r="AA66" i="2"/>
  <c r="AB111" i="2"/>
  <c r="AC111" i="2"/>
  <c r="AD111" i="2"/>
  <c r="AE111" i="2"/>
  <c r="AF111" i="2"/>
  <c r="AG111" i="2"/>
  <c r="AH111" i="2"/>
  <c r="AI111" i="2"/>
  <c r="AJ111" i="2"/>
  <c r="AB112" i="2"/>
  <c r="AC112" i="2"/>
  <c r="AD112" i="2"/>
  <c r="AE112" i="2"/>
  <c r="AF112" i="2"/>
  <c r="AG112" i="2"/>
  <c r="AH112" i="2"/>
  <c r="AI112" i="2"/>
  <c r="AJ112" i="2"/>
  <c r="AB113" i="2"/>
  <c r="AC113" i="2"/>
  <c r="AD113" i="2"/>
  <c r="AE113" i="2"/>
  <c r="AF113" i="2"/>
  <c r="AG113" i="2"/>
  <c r="AH113" i="2"/>
  <c r="AI113" i="2"/>
  <c r="AJ113" i="2"/>
  <c r="AB114" i="2"/>
  <c r="AC114" i="2"/>
  <c r="AD114" i="2"/>
  <c r="AE114" i="2"/>
  <c r="AF114" i="2"/>
  <c r="AG114" i="2"/>
  <c r="AH114" i="2"/>
  <c r="AI114" i="2"/>
  <c r="AJ114" i="2"/>
  <c r="AA115" i="2"/>
  <c r="AB115" i="2"/>
  <c r="AC115" i="2"/>
  <c r="AD115" i="2"/>
  <c r="AE115" i="2"/>
  <c r="AF115" i="2"/>
  <c r="AG115" i="2"/>
  <c r="AH115" i="2"/>
  <c r="AI115" i="2"/>
  <c r="AJ115" i="2"/>
  <c r="AA116" i="2"/>
  <c r="AB116" i="2"/>
  <c r="AC116" i="2"/>
  <c r="AD116" i="2"/>
  <c r="AE116" i="2"/>
  <c r="AF116" i="2"/>
  <c r="AG116" i="2"/>
  <c r="AH116" i="2"/>
  <c r="AI116" i="2"/>
  <c r="AJ116" i="2"/>
  <c r="AA117" i="2"/>
  <c r="AB117" i="2"/>
  <c r="AC117" i="2"/>
  <c r="AD117" i="2"/>
  <c r="AE117" i="2"/>
  <c r="AF117" i="2"/>
  <c r="AG117" i="2"/>
  <c r="AH117" i="2"/>
  <c r="AI117" i="2"/>
  <c r="AJ117" i="2"/>
  <c r="AA118" i="2"/>
  <c r="AB118" i="2"/>
  <c r="AC118" i="2"/>
  <c r="AD118" i="2"/>
  <c r="AE118" i="2"/>
  <c r="AF118" i="2"/>
  <c r="AG118" i="2"/>
  <c r="AH118" i="2"/>
  <c r="AI118" i="2"/>
  <c r="AJ118" i="2"/>
  <c r="AA119" i="2"/>
  <c r="AB119" i="2"/>
  <c r="AC119" i="2"/>
  <c r="AD119" i="2"/>
  <c r="AE119" i="2"/>
  <c r="AF119" i="2"/>
  <c r="AG119" i="2"/>
  <c r="AH119" i="2"/>
  <c r="AI119" i="2"/>
  <c r="AJ119" i="2"/>
  <c r="AA120" i="2"/>
  <c r="AB120" i="2"/>
  <c r="AC120" i="2"/>
  <c r="AD120" i="2"/>
  <c r="AE120" i="2"/>
  <c r="AF120" i="2"/>
  <c r="AG120" i="2"/>
  <c r="AH120" i="2"/>
  <c r="AI120" i="2"/>
  <c r="AJ120" i="2"/>
  <c r="AA121" i="2"/>
  <c r="AB121" i="2"/>
  <c r="AC121" i="2"/>
  <c r="AD121" i="2"/>
  <c r="AE121" i="2"/>
  <c r="AF121" i="2"/>
  <c r="AG121" i="2"/>
  <c r="AH121" i="2"/>
  <c r="AI121" i="2"/>
  <c r="AJ121" i="2"/>
  <c r="AA47" i="2"/>
  <c r="AA48" i="2"/>
  <c r="AA49" i="2"/>
  <c r="AA50" i="2"/>
  <c r="AA51" i="2"/>
  <c r="AA53" i="2"/>
  <c r="AA52" i="2"/>
  <c r="X82" i="2"/>
  <c r="X83" i="2"/>
  <c r="X84" i="2"/>
  <c r="X85" i="2"/>
  <c r="X86" i="2"/>
  <c r="X87" i="2"/>
  <c r="C89" i="2"/>
  <c r="C90" i="2"/>
  <c r="Q48" i="2" a="1"/>
  <c r="Q48" i="2"/>
  <c r="R61" i="2" a="1"/>
  <c r="R61" i="2"/>
  <c r="S61" i="2" a="1"/>
  <c r="S61" i="2"/>
  <c r="T61" i="2" a="1"/>
  <c r="T61" i="2"/>
  <c r="U61" i="2" a="1"/>
  <c r="U61" i="2"/>
  <c r="Q61" i="2" a="1"/>
  <c r="Q61" i="2"/>
  <c r="R60" i="2" a="1"/>
  <c r="R60" i="2"/>
  <c r="S60" i="2" a="1"/>
  <c r="S60" i="2"/>
  <c r="T60" i="2" a="1"/>
  <c r="T60" i="2"/>
  <c r="U60" i="2" a="1"/>
  <c r="U60" i="2"/>
  <c r="Q60" i="2" a="1"/>
  <c r="Q60" i="2"/>
  <c r="R49" i="2" a="1"/>
  <c r="R49" i="2"/>
  <c r="S49" i="2" a="1"/>
  <c r="S49" i="2"/>
  <c r="T49" i="2" a="1"/>
  <c r="T49" i="2"/>
  <c r="U49" i="2" a="1"/>
  <c r="U49" i="2"/>
  <c r="Q49" i="2" a="1"/>
  <c r="Q49" i="2"/>
  <c r="R48" i="2" a="1"/>
  <c r="R48" i="2"/>
  <c r="S48" i="2" a="1"/>
  <c r="S48" i="2"/>
  <c r="T48" i="2" a="1"/>
  <c r="T48" i="2"/>
  <c r="U48" i="2" a="1"/>
  <c r="U48" i="2"/>
  <c r="C48" i="2"/>
  <c r="C85" i="2"/>
  <c r="D48" i="2"/>
  <c r="D85" i="2"/>
  <c r="E48" i="2"/>
  <c r="E85" i="2"/>
  <c r="F48" i="2"/>
  <c r="F85" i="2"/>
  <c r="G48" i="2"/>
  <c r="G85" i="2"/>
  <c r="C60" i="2"/>
  <c r="C86" i="2"/>
  <c r="D60" i="2"/>
  <c r="D86" i="2"/>
  <c r="E60" i="2"/>
  <c r="E86" i="2"/>
  <c r="F60" i="2"/>
  <c r="F86" i="2"/>
  <c r="G60" i="2"/>
  <c r="G86" i="2"/>
  <c r="C72" i="2"/>
  <c r="C87" i="2"/>
  <c r="D72" i="2"/>
  <c r="D87" i="2"/>
  <c r="E72" i="2"/>
  <c r="E87" i="2"/>
  <c r="F72" i="2"/>
  <c r="F87" i="2"/>
  <c r="G72" i="2"/>
  <c r="G87" i="2"/>
  <c r="C54" i="2"/>
  <c r="D54" i="2"/>
  <c r="E54" i="2"/>
  <c r="F54" i="2"/>
  <c r="G54" i="2"/>
  <c r="C66" i="2"/>
  <c r="D66" i="2"/>
  <c r="E66" i="2"/>
  <c r="F66" i="2"/>
  <c r="G66" i="2"/>
  <c r="C78" i="2"/>
  <c r="D78" i="2"/>
  <c r="E78" i="2"/>
  <c r="F78" i="2"/>
  <c r="G78" i="2"/>
  <c r="C55" i="2"/>
  <c r="D55" i="2"/>
  <c r="E55" i="2"/>
  <c r="F55" i="2"/>
  <c r="G55" i="2"/>
  <c r="C67" i="2"/>
  <c r="D67" i="2"/>
  <c r="E67" i="2"/>
  <c r="F67" i="2"/>
  <c r="G67" i="2"/>
  <c r="C79" i="2"/>
  <c r="D79" i="2"/>
  <c r="E79" i="2"/>
  <c r="F79" i="2"/>
  <c r="G79" i="2"/>
</calcChain>
</file>

<file path=xl/sharedStrings.xml><?xml version="1.0" encoding="utf-8"?>
<sst xmlns="http://schemas.openxmlformats.org/spreadsheetml/2006/main" count="1641" uniqueCount="249">
  <si>
    <t>Participants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</si>
  <si>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</si>
  <si>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</si>
  <si>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</si>
  <si>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</si>
  <si>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</si>
  <si>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</si>
  <si>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</si>
  <si>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</si>
  <si>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</si>
  <si>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</si>
  <si>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</si>
  <si>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A-SMEQ 1</t>
  </si>
  <si>
    <t>A-SMEQ 2</t>
  </si>
  <si>
    <t>A-SMEQ 3</t>
  </si>
  <si>
    <t>A-SMEQ 4</t>
  </si>
  <si>
    <t>A-SMEQ 5</t>
  </si>
  <si>
    <t>A-SUS  Q1</t>
  </si>
  <si>
    <t>A-SUS  Q2</t>
  </si>
  <si>
    <t>A-SUS  Q3</t>
  </si>
  <si>
    <t>A-SUS  Q4</t>
  </si>
  <si>
    <t>A-SUS  Q5</t>
  </si>
  <si>
    <t>A-SUS  Q6</t>
  </si>
  <si>
    <t>A-SUS  Q7</t>
  </si>
  <si>
    <t>A-SUS  Q8</t>
  </si>
  <si>
    <t>A-SUS  Q9</t>
  </si>
  <si>
    <t>A-SUS  Q10</t>
  </si>
  <si>
    <t>A-NPS</t>
  </si>
  <si>
    <t>B-SMEQ 1</t>
  </si>
  <si>
    <t>B-SMEQ 2</t>
  </si>
  <si>
    <t>B-SMEQ 3</t>
  </si>
  <si>
    <t>B-SMEQ 4</t>
  </si>
  <si>
    <t>B-SMEQ 5</t>
  </si>
  <si>
    <t>B-NPS</t>
  </si>
  <si>
    <t>B-SUS  Q2</t>
  </si>
  <si>
    <t>B-SUS  Q3</t>
  </si>
  <si>
    <t>B-SUS  Q4</t>
  </si>
  <si>
    <t>B-SUS  Q5</t>
  </si>
  <si>
    <t>B-SUS  Q6</t>
  </si>
  <si>
    <t>B-SUS  Q7</t>
  </si>
  <si>
    <t>B-SUS  Q8</t>
  </si>
  <si>
    <t>B-SUS  Q9</t>
  </si>
  <si>
    <t>B-SUS  Q10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</si>
  <si>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</si>
  <si>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</si>
  <si>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</si>
  <si>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</si>
  <si>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</si>
  <si>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</si>
  <si>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</si>
  <si>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</si>
  <si>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</si>
  <si>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</si>
  <si>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</si>
  <si>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</si>
  <si>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</si>
  <si>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</si>
  <si>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</si>
  <si>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</si>
  <si>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</si>
  <si>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</si>
  <si>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</si>
  <si>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</si>
  <si>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</si>
  <si>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</si>
  <si>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</si>
  <si>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</si>
  <si>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</si>
  <si>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</si>
  <si>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C-SMEQ 1</t>
  </si>
  <si>
    <t>C-SMEQ 2</t>
  </si>
  <si>
    <t>C-SMEQ 3</t>
  </si>
  <si>
    <t>C-SMEQ 4</t>
  </si>
  <si>
    <t>C-SMEQ 5</t>
  </si>
  <si>
    <t>C-NPS</t>
  </si>
  <si>
    <t>C-SUS  Q2</t>
  </si>
  <si>
    <t>Mean</t>
  </si>
  <si>
    <t>Stdev</t>
  </si>
  <si>
    <t>B-SUS  Q1</t>
  </si>
  <si>
    <t>C-SUS  Q1</t>
  </si>
  <si>
    <t>C-SUS  Q3</t>
  </si>
  <si>
    <t>C-SUS  Q4</t>
  </si>
  <si>
    <t>C-SUS  Q5</t>
  </si>
  <si>
    <t>C-SUS  Q6</t>
  </si>
  <si>
    <t>C-SUS  Q7</t>
  </si>
  <si>
    <t>C-SUS  Q8</t>
  </si>
  <si>
    <t>C-SUS  Q9</t>
  </si>
  <si>
    <t>C-SUS  Q10</t>
  </si>
  <si>
    <t>A-Time 1</t>
  </si>
  <si>
    <t>A-Time 2</t>
  </si>
  <si>
    <t>A-Time 3</t>
  </si>
  <si>
    <t>A-Time 4</t>
  </si>
  <si>
    <t>A-Time 5</t>
  </si>
  <si>
    <t>B-Time 1</t>
  </si>
  <si>
    <t>B-Time 2</t>
  </si>
  <si>
    <t>B-Time 3</t>
  </si>
  <si>
    <t>B-Time 4</t>
  </si>
  <si>
    <t>B-Time 5</t>
  </si>
  <si>
    <t>C-Time 1</t>
  </si>
  <si>
    <t>C-Time 2</t>
  </si>
  <si>
    <t>C-Time 3</t>
  </si>
  <si>
    <t>C-Time 4</t>
  </si>
  <si>
    <t>C-Time 5</t>
  </si>
  <si>
    <t>Study A</t>
  </si>
  <si>
    <t>Study B</t>
  </si>
  <si>
    <t>Study C</t>
  </si>
  <si>
    <t>t</t>
  </si>
  <si>
    <t>alpha</t>
  </si>
  <si>
    <t>n</t>
  </si>
  <si>
    <t>SMEQ 1</t>
  </si>
  <si>
    <t>SMEQ 2</t>
  </si>
  <si>
    <t>SMEQ 3</t>
  </si>
  <si>
    <t>SMEQ 4</t>
  </si>
  <si>
    <t>SMEQ 5</t>
  </si>
  <si>
    <t>CI</t>
  </si>
  <si>
    <t>CI upper</t>
  </si>
  <si>
    <t>CI lower</t>
  </si>
  <si>
    <t>Mean A</t>
  </si>
  <si>
    <t>Mean B</t>
  </si>
  <si>
    <t>Mean C</t>
  </si>
  <si>
    <t>Ready to plot results</t>
  </si>
  <si>
    <t>GEOMEAN</t>
  </si>
  <si>
    <t>GEO STDEV</t>
  </si>
  <si>
    <t>CI A</t>
  </si>
  <si>
    <t>CI B</t>
  </si>
  <si>
    <t>CI C</t>
  </si>
  <si>
    <t>Promotors</t>
  </si>
  <si>
    <t>Detractors</t>
  </si>
  <si>
    <t>NPS</t>
  </si>
  <si>
    <t>Neutral</t>
  </si>
  <si>
    <t>NPS A Score</t>
  </si>
  <si>
    <t>NPS B Score</t>
  </si>
  <si>
    <t>NPS C Score</t>
  </si>
  <si>
    <t>NPS A CI</t>
  </si>
  <si>
    <t>NPS B CI</t>
  </si>
  <si>
    <t>NPS C CI</t>
  </si>
  <si>
    <t>\</t>
  </si>
  <si>
    <t>`</t>
  </si>
  <si>
    <t>CI Upper</t>
  </si>
  <si>
    <t>CI Lower</t>
  </si>
  <si>
    <t xml:space="preserve">CI Upper - Percentile </t>
  </si>
  <si>
    <t>CI Lower - Percentile</t>
  </si>
  <si>
    <t>Raw SUS Score</t>
  </si>
  <si>
    <t>Percentile Rank</t>
  </si>
  <si>
    <t>CI - Percentile</t>
  </si>
  <si>
    <t>Score - Percentile</t>
  </si>
  <si>
    <t>Score A</t>
  </si>
  <si>
    <t>Score B</t>
  </si>
  <si>
    <t>Score C</t>
  </si>
  <si>
    <t>(look at Percentile Rank table below)</t>
  </si>
  <si>
    <t xml:space="preserve">CI </t>
  </si>
  <si>
    <t>CENTER</t>
  </si>
  <si>
    <t>Center A</t>
  </si>
  <si>
    <t>Center B</t>
  </si>
  <si>
    <t>Center C</t>
  </si>
  <si>
    <t>A-SAT 1</t>
  </si>
  <si>
    <t>A-SAT 2</t>
  </si>
  <si>
    <t>A-SAT 3</t>
  </si>
  <si>
    <t>A-SAT 4</t>
  </si>
  <si>
    <t>A-SAT 5</t>
  </si>
  <si>
    <t>B-SAT 1</t>
  </si>
  <si>
    <t>B-SAT 2</t>
  </si>
  <si>
    <t>B-SAT 3</t>
  </si>
  <si>
    <t>B-SAT 4</t>
  </si>
  <si>
    <t>B-SAT 5</t>
  </si>
  <si>
    <t>C-SAT 1</t>
  </si>
  <si>
    <t>C-SAT 2</t>
  </si>
  <si>
    <t>C-SAT 3</t>
  </si>
  <si>
    <t>C-SAT 4</t>
  </si>
  <si>
    <t>C-SAT 5</t>
  </si>
  <si>
    <t>Var</t>
  </si>
  <si>
    <t>Skewness</t>
  </si>
  <si>
    <t>Kurtosis</t>
  </si>
  <si>
    <t>Mode</t>
  </si>
  <si>
    <t>Median</t>
  </si>
  <si>
    <t>A</t>
  </si>
  <si>
    <t>B</t>
  </si>
  <si>
    <t>Reject Ho</t>
  </si>
  <si>
    <t>Delta</t>
  </si>
  <si>
    <t xml:space="preserve"> a</t>
  </si>
  <si>
    <t>a*delta</t>
  </si>
  <si>
    <t>SS</t>
  </si>
  <si>
    <t>b</t>
  </si>
  <si>
    <t>W</t>
  </si>
  <si>
    <t>W critical</t>
  </si>
  <si>
    <t>Not Normal</t>
  </si>
  <si>
    <t>Time not normally distributed</t>
  </si>
  <si>
    <t>SUS not normally distributed</t>
  </si>
  <si>
    <t>NPS do not test</t>
  </si>
  <si>
    <t>A-SMEQ 1 sorted</t>
  </si>
  <si>
    <t>A-SMEQ 5 sorted</t>
  </si>
  <si>
    <t>Index</t>
  </si>
  <si>
    <t>Z theoritical</t>
  </si>
  <si>
    <t>Percentile mid</t>
  </si>
  <si>
    <t>Z observed 1</t>
  </si>
  <si>
    <t>Z observed 5</t>
  </si>
  <si>
    <t>Absosulte residuals</t>
  </si>
  <si>
    <t>Ranking</t>
  </si>
  <si>
    <t>Data</t>
  </si>
  <si>
    <t>Sum of ranks R_j</t>
  </si>
  <si>
    <t>n_j</t>
  </si>
  <si>
    <t>R^2_j^/n_j</t>
  </si>
  <si>
    <t>H</t>
  </si>
  <si>
    <t>df</t>
  </si>
  <si>
    <t>Chi quare p-value</t>
  </si>
  <si>
    <t>C</t>
  </si>
  <si>
    <t xml:space="preserve">Bonnferoni correction </t>
  </si>
  <si>
    <t>Count</t>
  </si>
  <si>
    <t>R_</t>
  </si>
  <si>
    <t>U-critical</t>
  </si>
  <si>
    <t>Because  n &gt; 20, we compute the z score</t>
  </si>
  <si>
    <t>mean</t>
  </si>
  <si>
    <t>z</t>
  </si>
  <si>
    <t>p-value</t>
  </si>
  <si>
    <t>U_</t>
  </si>
  <si>
    <t>U-observed</t>
  </si>
  <si>
    <t>Reject Ho: U-observed &lt; U-critical. A and C are different</t>
  </si>
  <si>
    <t>A was harder than B</t>
  </si>
  <si>
    <t>B was harder than C</t>
  </si>
  <si>
    <t>MEDIAN</t>
  </si>
  <si>
    <t>A was much harder than C</t>
  </si>
  <si>
    <t>P value &lt; Bonnferoni correction</t>
  </si>
  <si>
    <t>P value &gt; Bonnferoni correction</t>
  </si>
  <si>
    <t>Fail to reject Ho: U-observed &gt; U-critical. A and C are not different</t>
  </si>
  <si>
    <t>B not more satisfying than C</t>
  </si>
  <si>
    <t>A was less satisfying than C</t>
  </si>
  <si>
    <t>A took longer than B</t>
  </si>
  <si>
    <t>A was less satisfying than B</t>
  </si>
  <si>
    <t>A took longer than C</t>
  </si>
  <si>
    <t>B took longer than C</t>
  </si>
  <si>
    <t>Time do not test</t>
  </si>
  <si>
    <t>SUS do not test</t>
  </si>
  <si>
    <t>Shapiro-Wilks</t>
  </si>
  <si>
    <t>Home work:  compute post hoc tests!</t>
  </si>
  <si>
    <t>Anova: Single Factor</t>
  </si>
  <si>
    <t>SUMMARY</t>
  </si>
  <si>
    <t>Groups</t>
  </si>
  <si>
    <t>Sum</t>
  </si>
  <si>
    <t>Average</t>
  </si>
  <si>
    <t>Variance</t>
  </si>
  <si>
    <t>ANOVA</t>
  </si>
  <si>
    <t>Source of Variation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</si>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</sst>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0.000%"/>
    <numFmt numFmtId="166" formatCode="0.000"/>
    <numFmt numFmtId="167" formatCode="0.000E+00;\_x0000_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0" tint="-0.34998626667073579"/>
      <name val="Lucida Grande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3"/>
      <color theme="0" tint="-0.34998626667073579"/>
      <name val="Lucida Grande"/>
    </font>
    <font>
      <sz val="12"/>
      <color theme="1"/>
      <name val="Cambria"/>
      <family val="1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CE6F1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7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5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4" fillId="2" borderId="0" xfId="0" applyFont="1" applyFill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center" vertical="center"/>
    </xf>
    <xf numFmtId="9" fontId="0" fillId="3" borderId="10" xfId="61" applyFont="1" applyFill="1" applyBorder="1" applyAlignment="1">
      <alignment horizontal="left" vertical="center"/>
    </xf>
    <xf numFmtId="9" fontId="0" fillId="3" borderId="11" xfId="61" applyFont="1" applyFill="1" applyBorder="1" applyAlignment="1">
      <alignment horizontal="left" vertical="center"/>
    </xf>
    <xf numFmtId="9" fontId="0" fillId="3" borderId="12" xfId="61" applyFont="1" applyFill="1" applyBorder="1" applyAlignment="1">
      <alignment horizontal="left" vertical="center"/>
    </xf>
    <xf numFmtId="0" fontId="11" fillId="3" borderId="0" xfId="0" applyFont="1" applyFill="1"/>
    <xf numFmtId="9" fontId="0" fillId="2" borderId="0" xfId="6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left"/>
    </xf>
    <xf numFmtId="0" fontId="4" fillId="5" borderId="1" xfId="0" applyFont="1" applyFill="1" applyBorder="1"/>
    <xf numFmtId="0" fontId="0" fillId="5" borderId="2" xfId="0" applyFill="1" applyBorder="1" applyAlignment="1">
      <alignment horizontal="left"/>
    </xf>
    <xf numFmtId="164" fontId="0" fillId="5" borderId="10" xfId="6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164" fontId="0" fillId="5" borderId="11" xfId="61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165" fontId="0" fillId="5" borderId="11" xfId="61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10" fontId="0" fillId="5" borderId="12" xfId="61" applyNumberFormat="1" applyFont="1" applyFill="1" applyBorder="1" applyAlignment="1">
      <alignment horizontal="center"/>
    </xf>
    <xf numFmtId="9" fontId="0" fillId="5" borderId="0" xfId="61" applyFont="1" applyFill="1" applyBorder="1" applyAlignment="1">
      <alignment horizontal="center" vertical="center"/>
    </xf>
    <xf numFmtId="9" fontId="0" fillId="5" borderId="8" xfId="61" applyFont="1" applyFill="1" applyBorder="1" applyAlignment="1">
      <alignment horizontal="center" vertical="center"/>
    </xf>
    <xf numFmtId="9" fontId="0" fillId="5" borderId="5" xfId="6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9" fontId="0" fillId="2" borderId="4" xfId="0" applyNumberFormat="1" applyFont="1" applyFill="1" applyBorder="1" applyAlignment="1">
      <alignment horizontal="center" vertical="center"/>
    </xf>
    <xf numFmtId="9" fontId="0" fillId="2" borderId="6" xfId="0" applyNumberFormat="1" applyFont="1" applyFill="1" applyBorder="1" applyAlignment="1">
      <alignment horizontal="center" vertical="center"/>
    </xf>
    <xf numFmtId="9" fontId="0" fillId="2" borderId="9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2" borderId="13" xfId="0" applyFont="1" applyFill="1" applyBorder="1"/>
    <xf numFmtId="0" fontId="4" fillId="2" borderId="14" xfId="0" applyFont="1" applyFill="1" applyBorder="1"/>
    <xf numFmtId="0" fontId="20" fillId="2" borderId="14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4" fillId="3" borderId="14" xfId="0" applyFont="1" applyFill="1" applyBorder="1"/>
    <xf numFmtId="0" fontId="19" fillId="3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 applyAlignment="1">
      <alignment horizontal="left"/>
    </xf>
    <xf numFmtId="0" fontId="12" fillId="3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3" borderId="0" xfId="0" applyFill="1" applyAlignment="1">
      <alignment horizontal="left"/>
    </xf>
    <xf numFmtId="166" fontId="0" fillId="2" borderId="0" xfId="0" applyNumberFormat="1" applyFill="1" applyBorder="1" applyAlignment="1"/>
    <xf numFmtId="0" fontId="7" fillId="2" borderId="0" xfId="0" applyFont="1" applyFill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13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center" vertical="center"/>
    </xf>
    <xf numFmtId="0" fontId="8" fillId="2" borderId="0" xfId="0" applyFont="1" applyFill="1"/>
    <xf numFmtId="0" fontId="7" fillId="2" borderId="11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19" fillId="3" borderId="1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167" fontId="0" fillId="2" borderId="0" xfId="0" applyNumberFormat="1" applyFill="1" applyBorder="1" applyAlignment="1"/>
    <xf numFmtId="0" fontId="0" fillId="3" borderId="0" xfId="0" applyFont="1" applyFill="1" applyBorder="1" applyAlignment="1">
      <alignment vertical="center"/>
    </xf>
    <xf numFmtId="166" fontId="0" fillId="3" borderId="0" xfId="0" applyNumberFormat="1" applyFill="1" applyBorder="1" applyAlignment="1"/>
    <xf numFmtId="0" fontId="0" fillId="3" borderId="0" xfId="0" applyFill="1" applyBorder="1" applyAlignment="1"/>
    <xf numFmtId="167" fontId="0" fillId="3" borderId="0" xfId="0" applyNumberFormat="1" applyFill="1" applyBorder="1" applyAlignment="1"/>
    <xf numFmtId="166" fontId="5" fillId="7" borderId="0" xfId="0" applyNumberFormat="1" applyFont="1" applyFill="1" applyBorder="1" applyAlignment="1"/>
    <xf numFmtId="0" fontId="8" fillId="3" borderId="0" xfId="0" applyFont="1" applyFill="1" applyBorder="1" applyAlignment="1">
      <alignment horizontal="left"/>
    </xf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1" fillId="2" borderId="0" xfId="0" applyFont="1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/>
    <xf numFmtId="0" fontId="21" fillId="3" borderId="0" xfId="0" applyFont="1" applyFill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9" fillId="3" borderId="1" xfId="0" applyFont="1" applyFill="1" applyBorder="1" applyAlignment="1"/>
    <xf numFmtId="0" fontId="19" fillId="3" borderId="0" xfId="0" applyFont="1" applyFill="1" applyAlignment="1">
      <alignment horizontal="left"/>
    </xf>
    <xf numFmtId="0" fontId="12" fillId="3" borderId="1" xfId="0" applyFont="1" applyFill="1" applyBorder="1" applyAlignment="1"/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22" fillId="8" borderId="0" xfId="0" applyFont="1" applyFill="1" applyAlignment="1">
      <alignment horizontal="left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166" fontId="12" fillId="2" borderId="13" xfId="0" applyNumberFormat="1" applyFont="1" applyFill="1" applyBorder="1" applyAlignment="1">
      <alignment horizontal="center" vertical="center"/>
    </xf>
    <xf numFmtId="166" fontId="12" fillId="2" borderId="14" xfId="0" applyNumberFormat="1" applyFont="1" applyFill="1" applyBorder="1" applyAlignment="1">
      <alignment horizontal="center" vertical="center"/>
    </xf>
    <xf numFmtId="166" fontId="12" fillId="2" borderId="15" xfId="0" applyNumberFormat="1" applyFont="1" applyFill="1" applyBorder="1" applyAlignment="1">
      <alignment horizontal="center" vertical="center"/>
    </xf>
    <xf numFmtId="166" fontId="18" fillId="2" borderId="15" xfId="0" applyNumberFormat="1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166" fontId="12" fillId="3" borderId="13" xfId="0" applyNumberFormat="1" applyFont="1" applyFill="1" applyBorder="1" applyAlignment="1">
      <alignment horizontal="center" vertical="center"/>
    </xf>
    <xf numFmtId="166" fontId="12" fillId="3" borderId="14" xfId="0" applyNumberFormat="1" applyFont="1" applyFill="1" applyBorder="1" applyAlignment="1">
      <alignment horizontal="center" vertical="center"/>
    </xf>
    <xf numFmtId="166" fontId="12" fillId="3" borderId="1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6" fontId="0" fillId="2" borderId="14" xfId="0" applyNumberFormat="1" applyFill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67" fontId="0" fillId="2" borderId="13" xfId="0" applyNumberFormat="1" applyFill="1" applyBorder="1" applyAlignment="1">
      <alignment horizontal="center"/>
    </xf>
    <xf numFmtId="167" fontId="0" fillId="2" borderId="14" xfId="0" applyNumberFormat="1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  <xf numFmtId="166" fontId="0" fillId="3" borderId="13" xfId="0" applyNumberFormat="1" applyFill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7" fontId="0" fillId="3" borderId="13" xfId="0" applyNumberFormat="1" applyFill="1" applyBorder="1" applyAlignment="1">
      <alignment horizontal="center"/>
    </xf>
    <xf numFmtId="167" fontId="0" fillId="3" borderId="14" xfId="0" applyNumberFormat="1" applyFill="1" applyBorder="1" applyAlignment="1">
      <alignment horizontal="center"/>
    </xf>
    <xf numFmtId="167" fontId="0" fillId="3" borderId="15" xfId="0" applyNumberFormat="1" applyFill="1" applyBorder="1" applyAlignment="1">
      <alignment horizont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19" fillId="3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1" fontId="5" fillId="7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166" fontId="5" fillId="7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6" xfId="0" applyFill="1" applyBorder="1" applyAlignment="1"/>
    <xf numFmtId="0" fontId="6" fillId="0" borderId="17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6" fillId="0" borderId="17" xfId="0" applyFont="1" applyFill="1" applyBorder="1" applyAlignment="1">
      <alignment horizontal="left"/>
    </xf>
    <xf numFmtId="0" fontId="24" fillId="0" borderId="0" xfId="0" applyFont="1" applyFill="1" applyBorder="1" applyAlignment="1"/>
  </cellXfs>
  <cellStyles count="7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Normal" xfId="0" builtinId="0"/>
    <cellStyle name="Percent" xfId="6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SMEQ Mean</a:t>
            </a:r>
            <a:r>
              <a:rPr lang="en-US" baseline="0"/>
              <a:t> Scores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 plots'!$B$85</c:f>
              <c:strCache>
                <c:ptCount val="1"/>
                <c:pt idx="0">
                  <c:v>Mean A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plots'!$C$88:$G$88</c:f>
                <c:numCache>
                  <c:formatCode>General</c:formatCode>
                  <c:ptCount val="5"/>
                  <c:pt idx="0">
                    <c:v>5.2160000000000002</c:v>
                  </c:pt>
                  <c:pt idx="1">
                    <c:v>6.0910000000000002</c:v>
                  </c:pt>
                  <c:pt idx="2">
                    <c:v>6.266</c:v>
                  </c:pt>
                  <c:pt idx="3">
                    <c:v>5.0659999999999998</c:v>
                  </c:pt>
                  <c:pt idx="4">
                    <c:v>6.0190000000000001</c:v>
                  </c:pt>
                </c:numCache>
              </c:numRef>
            </c:plus>
            <c:minus>
              <c:numRef>
                <c:f>'CI plots'!$C$88:$G$88</c:f>
                <c:numCache>
                  <c:formatCode>General</c:formatCode>
                  <c:ptCount val="5"/>
                  <c:pt idx="0">
                    <c:v>5.2160000000000002</c:v>
                  </c:pt>
                  <c:pt idx="1">
                    <c:v>6.0910000000000002</c:v>
                  </c:pt>
                  <c:pt idx="2">
                    <c:v>6.266</c:v>
                  </c:pt>
                  <c:pt idx="3">
                    <c:v>5.0659999999999998</c:v>
                  </c:pt>
                  <c:pt idx="4">
                    <c:v>6.0190000000000001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xVal>
            <c:numRef>
              <c:f>'CI plots'!$C$84:$G$84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plots'!$C$85:$G$85</c:f>
              <c:numCache>
                <c:formatCode>General</c:formatCode>
                <c:ptCount val="5"/>
                <c:pt idx="0">
                  <c:v>58.545000000000002</c:v>
                </c:pt>
                <c:pt idx="1">
                  <c:v>26.727</c:v>
                </c:pt>
                <c:pt idx="2">
                  <c:v>26.727</c:v>
                </c:pt>
                <c:pt idx="3">
                  <c:v>36.545000000000002</c:v>
                </c:pt>
                <c:pt idx="4">
                  <c:v>59.454999999999998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4-4AD0-AC9D-076FC781B62A}"/>
            </c:ext>
          </c:extLst>
        </c:ser>
        <c:ser>
          <c:idx val="1"/>
          <c:order val="1"/>
          <c:tx>
            <c:strRef>
              <c:f>'CI plots'!$B$86</c:f>
              <c:strCache>
                <c:ptCount val="1"/>
                <c:pt idx="0">
                  <c:v>Mean B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plots'!$C$89:$G$89</c:f>
                <c:numCache>
                  <c:formatCode>General</c:formatCode>
                  <c:ptCount val="5"/>
                  <c:pt idx="0">
                    <c:v>6.91</c:v>
                  </c:pt>
                  <c:pt idx="1">
                    <c:v>7.7080000000000002</c:v>
                  </c:pt>
                  <c:pt idx="2">
                    <c:v>7.0910000000000002</c:v>
                  </c:pt>
                  <c:pt idx="3">
                    <c:v>6.0910000000000002</c:v>
                  </c:pt>
                  <c:pt idx="4">
                    <c:v>4.0309999999999997</c:v>
                  </c:pt>
                </c:numCache>
              </c:numRef>
            </c:plus>
            <c:minus>
              <c:numRef>
                <c:f>'CI plots'!$C$89:$G$89</c:f>
                <c:numCache>
                  <c:formatCode>General</c:formatCode>
                  <c:ptCount val="5"/>
                  <c:pt idx="0">
                    <c:v>6.91</c:v>
                  </c:pt>
                  <c:pt idx="1">
                    <c:v>7.7080000000000002</c:v>
                  </c:pt>
                  <c:pt idx="2">
                    <c:v>7.0910000000000002</c:v>
                  </c:pt>
                  <c:pt idx="3">
                    <c:v>6.0910000000000002</c:v>
                  </c:pt>
                  <c:pt idx="4">
                    <c:v>4.0309999999999997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'CI plots'!$C$84:$G$84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plots'!$C$86:$G$86</c:f>
              <c:numCache>
                <c:formatCode>General</c:formatCode>
                <c:ptCount val="5"/>
                <c:pt idx="0">
                  <c:v>22.917000000000002</c:v>
                </c:pt>
                <c:pt idx="1">
                  <c:v>25.917000000000002</c:v>
                </c:pt>
                <c:pt idx="2">
                  <c:v>22.75</c:v>
                </c:pt>
                <c:pt idx="3">
                  <c:v>32.417000000000002</c:v>
                </c:pt>
                <c:pt idx="4">
                  <c:v>49.417000000000002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04-4AD0-AC9D-076FC781B62A}"/>
            </c:ext>
          </c:extLst>
        </c:ser>
        <c:ser>
          <c:idx val="2"/>
          <c:order val="2"/>
          <c:tx>
            <c:strRef>
              <c:f>'CI plots'!$B$87</c:f>
              <c:strCache>
                <c:ptCount val="1"/>
                <c:pt idx="0">
                  <c:v>Mean C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plots'!$C$90:$G$90</c:f>
                <c:numCache>
                  <c:formatCode>General</c:formatCode>
                  <c:ptCount val="5"/>
                  <c:pt idx="0">
                    <c:v>4.0999999999999996</c:v>
                  </c:pt>
                  <c:pt idx="1">
                    <c:v>4.1989999999999998</c:v>
                  </c:pt>
                  <c:pt idx="2">
                    <c:v>5.1070000000000002</c:v>
                  </c:pt>
                  <c:pt idx="3">
                    <c:v>7</c:v>
                  </c:pt>
                  <c:pt idx="4">
                    <c:v>6.4119999999999999</c:v>
                  </c:pt>
                </c:numCache>
              </c:numRef>
            </c:plus>
            <c:minus>
              <c:numRef>
                <c:f>'CI plots'!$C$90:$G$90</c:f>
                <c:numCache>
                  <c:formatCode>General</c:formatCode>
                  <c:ptCount val="5"/>
                  <c:pt idx="0">
                    <c:v>4.0999999999999996</c:v>
                  </c:pt>
                  <c:pt idx="1">
                    <c:v>4.1989999999999998</c:v>
                  </c:pt>
                  <c:pt idx="2">
                    <c:v>5.1070000000000002</c:v>
                  </c:pt>
                  <c:pt idx="3">
                    <c:v>7</c:v>
                  </c:pt>
                  <c:pt idx="4">
                    <c:v>6.4119999999999999</c:v>
                  </c:pt>
                </c:numCache>
              </c:numRef>
            </c:minus>
            <c:spPr>
              <a:ln>
                <a:solidFill>
                  <a:schemeClr val="accent3"/>
                </a:solidFill>
              </a:ln>
            </c:spPr>
          </c:errBars>
          <c:xVal>
            <c:numRef>
              <c:f>'CI plots'!$C$84:$G$84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plots'!$C$87:$G$87</c:f>
              <c:numCache>
                <c:formatCode>General</c:formatCode>
                <c:ptCount val="5"/>
                <c:pt idx="0">
                  <c:v>8.8569999999999993</c:v>
                </c:pt>
                <c:pt idx="1">
                  <c:v>18.143000000000001</c:v>
                </c:pt>
                <c:pt idx="2">
                  <c:v>19.571000000000002</c:v>
                </c:pt>
                <c:pt idx="3">
                  <c:v>30.356999999999999</c:v>
                </c:pt>
                <c:pt idx="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04-4AD0-AC9D-076FC781B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039048"/>
        <c:axId val="-2123143144"/>
      </c:scatterChart>
      <c:valAx>
        <c:axId val="-2104039048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-2123143144"/>
        <c:crosses val="autoZero"/>
        <c:crossBetween val="midCat"/>
        <c:majorUnit val="1"/>
      </c:valAx>
      <c:valAx>
        <c:axId val="-2123143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04039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571937682101699"/>
          <c:y val="0.78034378398207704"/>
          <c:w val="0.19571865443425099"/>
          <c:h val="9.9914991969287395E-2"/>
        </c:manualLayout>
      </c:layout>
      <c:overlay val="1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errBars>
            <c:errBarType val="both"/>
            <c:errValType val="cust"/>
            <c:noEndCap val="1"/>
            <c:plus>
              <c:numRef>
                <c:f>'CI plots'!$X$85:$X$87</c:f>
                <c:numCache>
                  <c:formatCode>General</c:formatCode>
                  <c:ptCount val="3"/>
                  <c:pt idx="0">
                    <c:v>5.6000000000000001E-2</c:v>
                  </c:pt>
                  <c:pt idx="1">
                    <c:v>0.3</c:v>
                  </c:pt>
                  <c:pt idx="2">
                    <c:v>0.14099999999999999</c:v>
                  </c:pt>
                </c:numCache>
              </c:numRef>
            </c:plus>
            <c:minus>
              <c:numRef>
                <c:f>'CI plots'!$X$85:$X$87</c:f>
                <c:numCache>
                  <c:formatCode>General</c:formatCode>
                  <c:ptCount val="3"/>
                  <c:pt idx="0">
                    <c:v>5.6000000000000001E-2</c:v>
                  </c:pt>
                  <c:pt idx="1">
                    <c:v>0.3</c:v>
                  </c:pt>
                  <c:pt idx="2">
                    <c:v>0.14099999999999999</c:v>
                  </c:pt>
                </c:numCache>
              </c:numRef>
            </c:minus>
          </c:errBars>
          <c:cat>
            <c:strRef>
              <c:f>'CI plots'!$W$82:$W$84</c:f>
              <c:strCache>
                <c:ptCount val="3"/>
                <c:pt idx="0">
                  <c:v>NPS A Score</c:v>
                </c:pt>
                <c:pt idx="1">
                  <c:v>NPS B Score</c:v>
                </c:pt>
                <c:pt idx="2">
                  <c:v>NPS C Score</c:v>
                </c:pt>
              </c:strCache>
            </c:strRef>
          </c:cat>
          <c:val>
            <c:numRef>
              <c:f>'CI plots'!$X$82:$X$84</c:f>
              <c:numCache>
                <c:formatCode>0%</c:formatCode>
                <c:ptCount val="3"/>
                <c:pt idx="0">
                  <c:v>-0.90900000000000003</c:v>
                </c:pt>
                <c:pt idx="1">
                  <c:v>-0.16700000000000001</c:v>
                </c:pt>
                <c:pt idx="2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B-44A3-B5A0-5CD5F21B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0656024"/>
        <c:axId val="-1972157928"/>
      </c:barChart>
      <c:catAx>
        <c:axId val="-1990656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972157928"/>
        <c:crosses val="autoZero"/>
        <c:auto val="1"/>
        <c:lblAlgn val="ctr"/>
        <c:lblOffset val="100"/>
        <c:noMultiLvlLbl val="0"/>
      </c:catAx>
      <c:valAx>
        <c:axId val="-1972157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1990656024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BFBFBF"/>
            </a:solidFill>
            <a:ln>
              <a:noFill/>
            </a:ln>
          </c:spPr>
          <c:invertIfNegative val="0"/>
          <c:errBars>
            <c:errBarType val="both"/>
            <c:errValType val="cust"/>
            <c:noEndCap val="1"/>
            <c:plus>
              <c:numRef>
                <c:f>'CI plots'!$AA$93:$AA$95</c:f>
                <c:numCache>
                  <c:formatCode>General</c:formatCode>
                  <c:ptCount val="3"/>
                  <c:pt idx="0">
                    <c:v>0.10999999999999999</c:v>
                  </c:pt>
                  <c:pt idx="1">
                    <c:v>0.13500000000000001</c:v>
                  </c:pt>
                  <c:pt idx="2">
                    <c:v>7.0000000000000007E-2</c:v>
                  </c:pt>
                </c:numCache>
              </c:numRef>
            </c:plus>
            <c:minus>
              <c:numRef>
                <c:f>'CI plots'!$AA$93:$AA$95</c:f>
                <c:numCache>
                  <c:formatCode>General</c:formatCode>
                  <c:ptCount val="3"/>
                  <c:pt idx="0">
                    <c:v>0.10999999999999999</c:v>
                  </c:pt>
                  <c:pt idx="1">
                    <c:v>0.13500000000000001</c:v>
                  </c:pt>
                  <c:pt idx="2">
                    <c:v>7.0000000000000007E-2</c:v>
                  </c:pt>
                </c:numCache>
              </c:numRef>
            </c:minus>
          </c:errBars>
          <c:cat>
            <c:strRef>
              <c:f>'CI plots'!$Z$90:$Z$92</c:f>
              <c:strCache>
                <c:ptCount val="3"/>
                <c:pt idx="0">
                  <c:v>Score A</c:v>
                </c:pt>
                <c:pt idx="1">
                  <c:v>Score B</c:v>
                </c:pt>
                <c:pt idx="2">
                  <c:v>Score C</c:v>
                </c:pt>
              </c:strCache>
            </c:strRef>
          </c:cat>
          <c:val>
            <c:numRef>
              <c:f>'CI plots'!$AA$90:$AA$92</c:f>
              <c:numCache>
                <c:formatCode>0%</c:formatCode>
                <c:ptCount val="3"/>
                <c:pt idx="0">
                  <c:v>0.3</c:v>
                </c:pt>
                <c:pt idx="1">
                  <c:v>0.63500000000000001</c:v>
                </c:pt>
                <c:pt idx="2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A-4058-A2B8-151185400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782456"/>
        <c:axId val="-1972038184"/>
      </c:barChart>
      <c:catAx>
        <c:axId val="-2076782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972038184"/>
        <c:crosses val="autoZero"/>
        <c:auto val="1"/>
        <c:lblAlgn val="ctr"/>
        <c:lblOffset val="100"/>
        <c:noMultiLvlLbl val="0"/>
      </c:catAx>
      <c:valAx>
        <c:axId val="-1972038184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crossAx val="-2076782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Playtime</a:t>
            </a:r>
            <a:r>
              <a:rPr lang="en-US" baseline="0"/>
              <a:t> (s)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 plots'!$P$84</c:f>
              <c:strCache>
                <c:ptCount val="1"/>
                <c:pt idx="0">
                  <c:v>Center A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plots'!$Q$87:$U$87</c:f>
                <c:numCache>
                  <c:formatCode>General</c:formatCode>
                  <c:ptCount val="5"/>
                  <c:pt idx="0">
                    <c:v>57.5</c:v>
                  </c:pt>
                  <c:pt idx="1">
                    <c:v>52.5</c:v>
                  </c:pt>
                  <c:pt idx="2">
                    <c:v>67.5</c:v>
                  </c:pt>
                  <c:pt idx="3">
                    <c:v>51</c:v>
                  </c:pt>
                  <c:pt idx="4">
                    <c:v>42</c:v>
                  </c:pt>
                </c:numCache>
              </c:numRef>
            </c:plus>
            <c:minus>
              <c:numRef>
                <c:f>'CI plots'!$Q$87:$U$87</c:f>
                <c:numCache>
                  <c:formatCode>General</c:formatCode>
                  <c:ptCount val="5"/>
                  <c:pt idx="0">
                    <c:v>57.5</c:v>
                  </c:pt>
                  <c:pt idx="1">
                    <c:v>52.5</c:v>
                  </c:pt>
                  <c:pt idx="2">
                    <c:v>67.5</c:v>
                  </c:pt>
                  <c:pt idx="3">
                    <c:v>51</c:v>
                  </c:pt>
                  <c:pt idx="4">
                    <c:v>42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xVal>
            <c:numRef>
              <c:f>'CI plots'!$Q$83:$U$83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plots'!$Q$84:$U$84</c:f>
              <c:numCache>
                <c:formatCode>General</c:formatCode>
                <c:ptCount val="5"/>
                <c:pt idx="0">
                  <c:v>373.5</c:v>
                </c:pt>
                <c:pt idx="1">
                  <c:v>269.5</c:v>
                </c:pt>
                <c:pt idx="2">
                  <c:v>271.5</c:v>
                </c:pt>
                <c:pt idx="3">
                  <c:v>281</c:v>
                </c:pt>
                <c:pt idx="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37E-8D45-14679EC56A9E}"/>
            </c:ext>
          </c:extLst>
        </c:ser>
        <c:ser>
          <c:idx val="1"/>
          <c:order val="1"/>
          <c:tx>
            <c:strRef>
              <c:f>'CI plots'!$P$85</c:f>
              <c:strCache>
                <c:ptCount val="1"/>
                <c:pt idx="0">
                  <c:v>Center B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plots'!$Q$88:$U$88</c:f>
                <c:numCache>
                  <c:formatCode>General</c:formatCode>
                  <c:ptCount val="5"/>
                  <c:pt idx="0">
                    <c:v>35.5</c:v>
                  </c:pt>
                  <c:pt idx="1">
                    <c:v>58.5</c:v>
                  </c:pt>
                  <c:pt idx="2">
                    <c:v>55.5</c:v>
                  </c:pt>
                  <c:pt idx="3">
                    <c:v>52</c:v>
                  </c:pt>
                  <c:pt idx="4">
                    <c:v>56</c:v>
                  </c:pt>
                </c:numCache>
              </c:numRef>
            </c:plus>
            <c:minus>
              <c:numRef>
                <c:f>'CI plots'!$Q$88:$U$88</c:f>
                <c:numCache>
                  <c:formatCode>General</c:formatCode>
                  <c:ptCount val="5"/>
                  <c:pt idx="0">
                    <c:v>35.5</c:v>
                  </c:pt>
                  <c:pt idx="1">
                    <c:v>58.5</c:v>
                  </c:pt>
                  <c:pt idx="2">
                    <c:v>55.5</c:v>
                  </c:pt>
                  <c:pt idx="3">
                    <c:v>52</c:v>
                  </c:pt>
                  <c:pt idx="4">
                    <c:v>56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'CI plots'!$Q$83:$U$83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plots'!$Q$85:$U$85</c:f>
              <c:numCache>
                <c:formatCode>General</c:formatCode>
                <c:ptCount val="5"/>
                <c:pt idx="0">
                  <c:v>269.5</c:v>
                </c:pt>
                <c:pt idx="1">
                  <c:v>267.5</c:v>
                </c:pt>
                <c:pt idx="2">
                  <c:v>245.5</c:v>
                </c:pt>
                <c:pt idx="3">
                  <c:v>276</c:v>
                </c:pt>
                <c:pt idx="4">
                  <c:v>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37E-8D45-14679EC56A9E}"/>
            </c:ext>
          </c:extLst>
        </c:ser>
        <c:ser>
          <c:idx val="2"/>
          <c:order val="2"/>
          <c:tx>
            <c:strRef>
              <c:f>'CI plots'!$P$86</c:f>
              <c:strCache>
                <c:ptCount val="1"/>
                <c:pt idx="0">
                  <c:v>Center C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plots'!$Q$89:$U$89</c:f>
                <c:numCache>
                  <c:formatCode>General</c:formatCode>
                  <c:ptCount val="5"/>
                  <c:pt idx="0">
                    <c:v>90</c:v>
                  </c:pt>
                  <c:pt idx="1">
                    <c:v>149</c:v>
                  </c:pt>
                  <c:pt idx="2">
                    <c:v>213</c:v>
                  </c:pt>
                  <c:pt idx="3">
                    <c:v>219</c:v>
                  </c:pt>
                  <c:pt idx="4">
                    <c:v>229</c:v>
                  </c:pt>
                </c:numCache>
              </c:numRef>
            </c:plus>
            <c:minus>
              <c:numRef>
                <c:f>'CI plots'!$Q$89:$U$89</c:f>
                <c:numCache>
                  <c:formatCode>General</c:formatCode>
                  <c:ptCount val="5"/>
                  <c:pt idx="0">
                    <c:v>90</c:v>
                  </c:pt>
                  <c:pt idx="1">
                    <c:v>149</c:v>
                  </c:pt>
                  <c:pt idx="2">
                    <c:v>213</c:v>
                  </c:pt>
                  <c:pt idx="3">
                    <c:v>219</c:v>
                  </c:pt>
                  <c:pt idx="4">
                    <c:v>229</c:v>
                  </c:pt>
                </c:numCache>
              </c:numRef>
            </c:minus>
            <c:spPr>
              <a:ln>
                <a:solidFill>
                  <a:schemeClr val="accent3"/>
                </a:solidFill>
              </a:ln>
            </c:spPr>
          </c:errBars>
          <c:xVal>
            <c:numRef>
              <c:f>'CI plots'!$Q$83:$U$83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plots'!$Q$86:$U$86</c:f>
              <c:numCache>
                <c:formatCode>General</c:formatCode>
                <c:ptCount val="5"/>
                <c:pt idx="0">
                  <c:v>189</c:v>
                </c:pt>
                <c:pt idx="1">
                  <c:v>230.5</c:v>
                </c:pt>
                <c:pt idx="2">
                  <c:v>240.5</c:v>
                </c:pt>
                <c:pt idx="3">
                  <c:v>253.5</c:v>
                </c:pt>
                <c:pt idx="4">
                  <c:v>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64-437E-8D45-14679EC56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3899656"/>
        <c:axId val="-2096001816"/>
      </c:scatterChart>
      <c:valAx>
        <c:axId val="-2033899656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-2096001816"/>
        <c:crosses val="autoZero"/>
        <c:crossBetween val="midCat"/>
        <c:majorUnit val="1"/>
        <c:minorUnit val="1"/>
      </c:valAx>
      <c:valAx>
        <c:axId val="-2096001816"/>
        <c:scaling>
          <c:orientation val="minMax"/>
          <c:max val="4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-2033899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12088876652999"/>
          <c:y val="0.74028701477011505"/>
          <c:w val="0.242502551265351"/>
          <c:h val="0.108388926461644"/>
        </c:manualLayout>
      </c:layout>
      <c:overlay val="1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Satisfaction</a:t>
            </a:r>
            <a:r>
              <a:rPr lang="en-US" baseline="0"/>
              <a:t> Scores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 plots'!$I$85</c:f>
              <c:strCache>
                <c:ptCount val="1"/>
                <c:pt idx="0">
                  <c:v>Mean A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plots'!$J$88:$N$88</c:f>
                <c:numCache>
                  <c:formatCode>General</c:formatCode>
                  <c:ptCount val="5"/>
                  <c:pt idx="0">
                    <c:v>1.5309999999999999</c:v>
                  </c:pt>
                  <c:pt idx="1">
                    <c:v>1.6890000000000001</c:v>
                  </c:pt>
                  <c:pt idx="2">
                    <c:v>1.1060000000000001</c:v>
                  </c:pt>
                  <c:pt idx="3">
                    <c:v>0.61699999999999999</c:v>
                  </c:pt>
                  <c:pt idx="4">
                    <c:v>1.1659999999999999</c:v>
                  </c:pt>
                </c:numCache>
              </c:numRef>
            </c:plus>
            <c:minus>
              <c:numRef>
                <c:f>'CI plots'!$J$88:$N$88</c:f>
                <c:numCache>
                  <c:formatCode>General</c:formatCode>
                  <c:ptCount val="5"/>
                  <c:pt idx="0">
                    <c:v>1.5309999999999999</c:v>
                  </c:pt>
                  <c:pt idx="1">
                    <c:v>1.6890000000000001</c:v>
                  </c:pt>
                  <c:pt idx="2">
                    <c:v>1.1060000000000001</c:v>
                  </c:pt>
                  <c:pt idx="3">
                    <c:v>0.61699999999999999</c:v>
                  </c:pt>
                  <c:pt idx="4">
                    <c:v>1.1659999999999999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xVal>
            <c:numRef>
              <c:f>'CI plots'!$J$84:$N$84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plots'!$J$85:$N$85</c:f>
              <c:numCache>
                <c:formatCode>General</c:formatCode>
                <c:ptCount val="5"/>
                <c:pt idx="0">
                  <c:v>3.2730000000000001</c:v>
                </c:pt>
                <c:pt idx="1">
                  <c:v>6.6269999999999998</c:v>
                </c:pt>
                <c:pt idx="2">
                  <c:v>7.6180000000000003</c:v>
                </c:pt>
                <c:pt idx="3">
                  <c:v>6.2359999999999998</c:v>
                </c:pt>
                <c:pt idx="4">
                  <c:v>6.3449999999999998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2-4A2E-8E13-DFF3B5EFF6E3}"/>
            </c:ext>
          </c:extLst>
        </c:ser>
        <c:ser>
          <c:idx val="1"/>
          <c:order val="1"/>
          <c:tx>
            <c:strRef>
              <c:f>'CI plots'!$I$86</c:f>
              <c:strCache>
                <c:ptCount val="1"/>
                <c:pt idx="0">
                  <c:v>Mean B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plots'!$J$89:$N$89</c:f>
                <c:numCache>
                  <c:formatCode>General</c:formatCode>
                  <c:ptCount val="5"/>
                  <c:pt idx="0">
                    <c:v>1.07</c:v>
                  </c:pt>
                  <c:pt idx="1">
                    <c:v>1.3620000000000001</c:v>
                  </c:pt>
                  <c:pt idx="2">
                    <c:v>1.3819999999999999</c:v>
                  </c:pt>
                  <c:pt idx="3">
                    <c:v>0.73399999999999999</c:v>
                  </c:pt>
                  <c:pt idx="4">
                    <c:v>1.319</c:v>
                  </c:pt>
                </c:numCache>
              </c:numRef>
            </c:plus>
            <c:minus>
              <c:numRef>
                <c:f>'CI plots'!$J$89:$N$89</c:f>
                <c:numCache>
                  <c:formatCode>General</c:formatCode>
                  <c:ptCount val="5"/>
                  <c:pt idx="0">
                    <c:v>1.07</c:v>
                  </c:pt>
                  <c:pt idx="1">
                    <c:v>1.3620000000000001</c:v>
                  </c:pt>
                  <c:pt idx="2">
                    <c:v>1.3819999999999999</c:v>
                  </c:pt>
                  <c:pt idx="3">
                    <c:v>0.73399999999999999</c:v>
                  </c:pt>
                  <c:pt idx="4">
                    <c:v>1.319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'CI plots'!$J$84:$N$84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plots'!$J$86:$N$86</c:f>
              <c:numCache>
                <c:formatCode>General</c:formatCode>
                <c:ptCount val="5"/>
                <c:pt idx="0">
                  <c:v>6.4669999999999996</c:v>
                </c:pt>
                <c:pt idx="1">
                  <c:v>6.9669999999999996</c:v>
                </c:pt>
                <c:pt idx="2">
                  <c:v>6.7750000000000004</c:v>
                </c:pt>
                <c:pt idx="3">
                  <c:v>8.4420000000000002</c:v>
                </c:pt>
                <c:pt idx="4">
                  <c:v>7.2830000000000004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42-4A2E-8E13-DFF3B5EFF6E3}"/>
            </c:ext>
          </c:extLst>
        </c:ser>
        <c:ser>
          <c:idx val="2"/>
          <c:order val="2"/>
          <c:tx>
            <c:strRef>
              <c:f>'CI plots'!$I$87</c:f>
              <c:strCache>
                <c:ptCount val="1"/>
                <c:pt idx="0">
                  <c:v>Mean C</c:v>
                </c:pt>
              </c:strCache>
            </c:strRef>
          </c:tx>
          <c:errBars>
            <c:errDir val="y"/>
            <c:errBarType val="both"/>
            <c:errValType val="cust"/>
            <c:noEndCap val="1"/>
            <c:plus>
              <c:numRef>
                <c:f>'CI plots'!$J$90:$N$90</c:f>
                <c:numCache>
                  <c:formatCode>General</c:formatCode>
                  <c:ptCount val="5"/>
                  <c:pt idx="0">
                    <c:v>1.0660000000000001</c:v>
                  </c:pt>
                  <c:pt idx="1">
                    <c:v>1.054</c:v>
                  </c:pt>
                  <c:pt idx="2">
                    <c:v>0.96899999999999997</c:v>
                  </c:pt>
                  <c:pt idx="3">
                    <c:v>0.627</c:v>
                  </c:pt>
                  <c:pt idx="4">
                    <c:v>0.63900000000000001</c:v>
                  </c:pt>
                </c:numCache>
              </c:numRef>
            </c:plus>
            <c:minus>
              <c:numRef>
                <c:f>'CI plots'!$J$90:$N$90</c:f>
                <c:numCache>
                  <c:formatCode>General</c:formatCode>
                  <c:ptCount val="5"/>
                  <c:pt idx="0">
                    <c:v>1.0660000000000001</c:v>
                  </c:pt>
                  <c:pt idx="1">
                    <c:v>1.054</c:v>
                  </c:pt>
                  <c:pt idx="2">
                    <c:v>0.96899999999999997</c:v>
                  </c:pt>
                  <c:pt idx="3">
                    <c:v>0.627</c:v>
                  </c:pt>
                  <c:pt idx="4">
                    <c:v>0.63900000000000001</c:v>
                  </c:pt>
                </c:numCache>
              </c:numRef>
            </c:minus>
            <c:spPr>
              <a:ln>
                <a:solidFill>
                  <a:schemeClr val="accent3"/>
                </a:solidFill>
              </a:ln>
            </c:spPr>
          </c:errBars>
          <c:xVal>
            <c:numRef>
              <c:f>'CI plots'!$J$84:$N$84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'CI plots'!$J$87:$N$87</c:f>
              <c:numCache>
                <c:formatCode>General</c:formatCode>
                <c:ptCount val="5"/>
                <c:pt idx="0">
                  <c:v>7.0709999999999997</c:v>
                </c:pt>
                <c:pt idx="1">
                  <c:v>5.8140000000000001</c:v>
                </c:pt>
                <c:pt idx="2">
                  <c:v>7.9</c:v>
                </c:pt>
                <c:pt idx="3">
                  <c:v>6.7</c:v>
                </c:pt>
                <c:pt idx="4">
                  <c:v>7.5140000000000002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2-4A2E-8E13-DFF3B5EF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0526936"/>
        <c:axId val="-1987655096"/>
      </c:scatterChart>
      <c:valAx>
        <c:axId val="-1990526936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-1987655096"/>
        <c:crosses val="autoZero"/>
        <c:crossBetween val="midCat"/>
        <c:minorUnit val="1"/>
      </c:valAx>
      <c:valAx>
        <c:axId val="-1987655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990526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91589673581804"/>
          <c:y val="0.72503625299849594"/>
          <c:w val="0.19814241486068099"/>
          <c:h val="0.10369834794747"/>
        </c:manualLayout>
      </c:layout>
      <c:overlay val="1"/>
      <c:spPr>
        <a:solidFill>
          <a:srgbClr val="FFFFFF"/>
        </a:solidFill>
        <a:ln>
          <a:solidFill>
            <a:schemeClr val="bg1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txPr>
        <a:bodyPr/>
        <a:lstStyle/>
        <a:p>
          <a:pPr>
            <a:defRPr>
              <a:solidFill>
                <a:schemeClr val="accent2"/>
              </a:solidFill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QQ-Plot A-SMEQ 1</c:v>
          </c:tx>
          <c:spPr>
            <a:ln w="47625">
              <a:noFill/>
            </a:ln>
          </c:spPr>
          <c:marker>
            <c:spPr>
              <a:solidFill>
                <a:schemeClr val="accent2"/>
              </a:solidFill>
              <a:ln>
                <a:noFill/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-0.373529534055768"/>
                  <c:y val="0.1424948197264820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>
                      <a:solidFill>
                        <a:srgbClr val="7F7F7F"/>
                      </a:solidFill>
                    </a:defRPr>
                  </a:pPr>
                  <a:endParaRPr lang="fr-FR"/>
                </a:p>
              </c:txPr>
            </c:trendlineLbl>
          </c:trendline>
          <c:xVal>
            <c:numRef>
              <c:f>'Test Normality'!$M$2:$M$12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'Test Normality'!$N$2:$N$12</c:f>
              <c:numCache>
                <c:formatCode>General</c:formatCode>
                <c:ptCount val="11"/>
                <c:pt idx="0">
                  <c:v>-1.1007146501180527</c:v>
                </c:pt>
                <c:pt idx="1">
                  <c:v>-1.1007146501180527</c:v>
                </c:pt>
                <c:pt idx="2">
                  <c:v>-0.58548651602024093</c:v>
                </c:pt>
                <c:pt idx="3">
                  <c:v>-0.45667948249578794</c:v>
                </c:pt>
                <c:pt idx="4">
                  <c:v>-0.45667948249578794</c:v>
                </c:pt>
                <c:pt idx="5">
                  <c:v>-0.45667948249578794</c:v>
                </c:pt>
                <c:pt idx="6">
                  <c:v>-0.19906541544688203</c:v>
                </c:pt>
                <c:pt idx="7">
                  <c:v>0.18735568512647688</c:v>
                </c:pt>
                <c:pt idx="8">
                  <c:v>0.7025838192242887</c:v>
                </c:pt>
                <c:pt idx="9">
                  <c:v>1.6042330538954594</c:v>
                </c:pt>
                <c:pt idx="10">
                  <c:v>1.8618471209443654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B-41C8-99C8-8427EDF2D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652168"/>
        <c:axId val="2079507288"/>
      </c:scatterChart>
      <c:valAx>
        <c:axId val="-2025652168"/>
        <c:scaling>
          <c:orientation val="minMax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crossAx val="2079507288"/>
        <c:crosses val="autoZero"/>
        <c:crossBetween val="midCat"/>
      </c:valAx>
      <c:valAx>
        <c:axId val="2079507288"/>
        <c:scaling>
          <c:orientation val="minMax"/>
          <c:min val="-2.5"/>
        </c:scaling>
        <c:delete val="0"/>
        <c:axPos val="l"/>
        <c:numFmt formatCode="General" sourceLinked="1"/>
        <c:majorTickMark val="out"/>
        <c:minorTickMark val="none"/>
        <c:tickLblPos val="nextTo"/>
        <c:crossAx val="-2025652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txPr>
        <a:bodyPr/>
        <a:lstStyle/>
        <a:p>
          <a:pPr>
            <a:defRPr>
              <a:solidFill>
                <a:srgbClr val="C0504D"/>
              </a:solidFill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QQ-Plot A-SMEQ 5</c:v>
          </c:tx>
          <c:spPr>
            <a:ln w="47625">
              <a:noFill/>
            </a:ln>
          </c:spPr>
          <c:marker>
            <c:spPr>
              <a:solidFill>
                <a:srgbClr val="C0504D"/>
              </a:solidFill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0.386414715544663"/>
                  <c:y val="0.1443318176777199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>
                      <a:solidFill>
                        <a:srgbClr val="7F7F7F"/>
                      </a:solidFill>
                    </a:defRPr>
                  </a:pPr>
                  <a:endParaRPr lang="fr-FR"/>
                </a:p>
              </c:txPr>
            </c:trendlineLbl>
          </c:trendline>
          <c:xVal>
            <c:numRef>
              <c:f>'Test Normality'!$M$2:$M$12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'Test Normality'!$O$2:$O$12</c:f>
              <c:numCache>
                <c:formatCode>General</c:formatCode>
                <c:ptCount val="11"/>
                <c:pt idx="0">
                  <c:v>-2.0597729171677015</c:v>
                </c:pt>
                <c:pt idx="1">
                  <c:v>-1.6133196740377562</c:v>
                </c:pt>
                <c:pt idx="2">
                  <c:v>-0.16234663386543446</c:v>
                </c:pt>
                <c:pt idx="3">
                  <c:v>-5.0733323082948173E-2</c:v>
                </c:pt>
                <c:pt idx="4">
                  <c:v>-5.0733323082948173E-2</c:v>
                </c:pt>
                <c:pt idx="5">
                  <c:v>0.2841066092645107</c:v>
                </c:pt>
                <c:pt idx="6">
                  <c:v>0.39571992004699702</c:v>
                </c:pt>
                <c:pt idx="7">
                  <c:v>0.50733323082948334</c:v>
                </c:pt>
                <c:pt idx="8">
                  <c:v>0.73055985239445587</c:v>
                </c:pt>
                <c:pt idx="9">
                  <c:v>0.84217316317694224</c:v>
                </c:pt>
                <c:pt idx="10">
                  <c:v>1.1770130955244011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1-4DE7-8196-1596FA98B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149752"/>
        <c:axId val="-2079133368"/>
      </c:scatterChart>
      <c:valAx>
        <c:axId val="-2114149752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crossAx val="-2079133368"/>
        <c:crosses val="autoZero"/>
        <c:crossBetween val="midCat"/>
      </c:valAx>
      <c:valAx>
        <c:axId val="-2079133368"/>
        <c:scaling>
          <c:orientation val="minMax"/>
          <c:max val="2.5"/>
        </c:scaling>
        <c:delete val="0"/>
        <c:axPos val="l"/>
        <c:numFmt formatCode="General" sourceLinked="1"/>
        <c:majorTickMark val="out"/>
        <c:minorTickMark val="none"/>
        <c:tickLblPos val="nextTo"/>
        <c:crossAx val="-2114149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QQ-Plot A-SAT 4</c:v>
          </c:tx>
          <c:spPr>
            <a:ln w="47625">
              <a:noFill/>
            </a:ln>
          </c:spPr>
          <c:marker>
            <c:spPr>
              <a:solidFill>
                <a:srgbClr val="C0504D"/>
              </a:solidFill>
              <a:ln>
                <a:noFill/>
              </a:ln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-0.55496500437445295"/>
                  <c:y val="5.633347914843980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>
                      <a:solidFill>
                        <a:schemeClr val="bg1">
                          <a:lumMod val="50000"/>
                        </a:schemeClr>
                      </a:solidFill>
                    </a:defRPr>
                  </a:pPr>
                  <a:endParaRPr lang="fr-FR"/>
                </a:p>
              </c:txPr>
            </c:trendlineLbl>
          </c:trendline>
          <c:xVal>
            <c:numRef>
              <c:f>'Test Normality'!$AC$2:$AC$12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'Test Normality'!$AD$2:$AD$12</c:f>
              <c:numCache>
                <c:formatCode>General</c:formatCode>
                <c:ptCount val="11"/>
                <c:pt idx="0">
                  <c:v>-1.1277183617355999</c:v>
                </c:pt>
                <c:pt idx="1">
                  <c:v>-1.0189034320944459</c:v>
                </c:pt>
                <c:pt idx="2">
                  <c:v>-0.6924586431709826</c:v>
                </c:pt>
                <c:pt idx="3">
                  <c:v>-0.6924586431709826</c:v>
                </c:pt>
                <c:pt idx="4">
                  <c:v>-0.58364371352982747</c:v>
                </c:pt>
                <c:pt idx="5">
                  <c:v>-0.47482878388867339</c:v>
                </c:pt>
                <c:pt idx="6">
                  <c:v>-0.25719892460636418</c:v>
                </c:pt>
                <c:pt idx="7">
                  <c:v>0.83095037180518083</c:v>
                </c:pt>
                <c:pt idx="8">
                  <c:v>1.2662100903697993</c:v>
                </c:pt>
                <c:pt idx="9">
                  <c:v>1.2662100903697993</c:v>
                </c:pt>
                <c:pt idx="10">
                  <c:v>1.4838399496521073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E-4044-9299-FCBE6BD1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3976360"/>
        <c:axId val="-2010008024"/>
      </c:scatterChart>
      <c:valAx>
        <c:axId val="-198397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10008024"/>
        <c:crosses val="autoZero"/>
        <c:crossBetween val="midCat"/>
      </c:valAx>
      <c:valAx>
        <c:axId val="-2010008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983976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91</xdr:row>
      <xdr:rowOff>63500</xdr:rowOff>
    </xdr:from>
    <xdr:to>
      <xdr:col>7</xdr:col>
      <xdr:colOff>0</xdr:colOff>
      <xdr:row>131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165100</xdr:colOff>
      <xdr:row>91</xdr:row>
      <xdr:rowOff>177800</xdr:rowOff>
    </xdr:from>
    <xdr:to>
      <xdr:col>24</xdr:col>
      <xdr:colOff>609600</xdr:colOff>
      <xdr:row>123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393700</xdr:colOff>
      <xdr:row>88</xdr:row>
      <xdr:rowOff>0</xdr:rowOff>
    </xdr:from>
    <xdr:to>
      <xdr:col>33</xdr:col>
      <xdr:colOff>12700</xdr:colOff>
      <xdr:row>102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101600</xdr:colOff>
      <xdr:row>92</xdr:row>
      <xdr:rowOff>1</xdr:rowOff>
    </xdr:from>
    <xdr:to>
      <xdr:col>20</xdr:col>
      <xdr:colOff>558801</xdr:colOff>
      <xdr:row>122</xdr:row>
      <xdr:rowOff>135466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800100</xdr:colOff>
      <xdr:row>96</xdr:row>
      <xdr:rowOff>12700</xdr:rowOff>
    </xdr:from>
    <xdr:to>
      <xdr:col>13</xdr:col>
      <xdr:colOff>774700</xdr:colOff>
      <xdr:row>134</xdr:row>
      <xdr:rowOff>63500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76</xdr:row>
      <xdr:rowOff>25401</xdr:rowOff>
    </xdr:from>
    <xdr:to>
      <xdr:col>1</xdr:col>
      <xdr:colOff>520700</xdr:colOff>
      <xdr:row>80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4503401"/>
          <a:ext cx="1092199" cy="774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50800</xdr:colOff>
      <xdr:row>81</xdr:row>
      <xdr:rowOff>25401</xdr:rowOff>
    </xdr:from>
    <xdr:to>
      <xdr:col>1</xdr:col>
      <xdr:colOff>508000</xdr:colOff>
      <xdr:row>84</xdr:row>
      <xdr:rowOff>139700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5455901"/>
          <a:ext cx="1028700" cy="68579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838200</xdr:colOff>
      <xdr:row>14</xdr:row>
      <xdr:rowOff>114300</xdr:rowOff>
    </xdr:from>
    <xdr:to>
      <xdr:col>11</xdr:col>
      <xdr:colOff>393700</xdr:colOff>
      <xdr:row>33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558800</xdr:colOff>
      <xdr:row>14</xdr:row>
      <xdr:rowOff>139700</xdr:rowOff>
    </xdr:from>
    <xdr:to>
      <xdr:col>15</xdr:col>
      <xdr:colOff>444500</xdr:colOff>
      <xdr:row>33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50800</xdr:colOff>
      <xdr:row>12</xdr:row>
      <xdr:rowOff>152400</xdr:rowOff>
    </xdr:from>
    <xdr:to>
      <xdr:col>29</xdr:col>
      <xdr:colOff>520700</xdr:colOff>
      <xdr:row>33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3"/>
  <sheetViews>
    <sheetView tabSelected="1" zoomScale="70" zoomScaleNormal="70" zoomScalePageLayoutView="75" workbookViewId="0"/>
  </sheetViews>
  <sheetFormatPr defaultColWidth="10.875" defaultRowHeight="15.75"/>
  <cols>
    <col min="1" max="1" width="10.875" style="1"/>
    <col min="2" max="2" width="10.875" style="4"/>
    <col min="3" max="7" width="10.875" style="12"/>
    <col min="8" max="12" width="10.875" style="13"/>
    <col min="13" max="17" width="10.875" style="12"/>
    <col min="18" max="18" width="10.875" style="19"/>
    <col min="19" max="29" width="10.875" style="12"/>
    <col min="30" max="16384" width="10.875" style="1"/>
  </cols>
  <sheetData>
    <row r="1" spans="1:29" s="2" customFormat="1">
      <c r="B1" s="20" t="s">
        <v>0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146" t="s">
        <v>155</v>
      </c>
      <c r="I1" s="146" t="s">
        <v>156</v>
      </c>
      <c r="J1" s="146" t="s">
        <v>157</v>
      </c>
      <c r="K1" s="146" t="s">
        <v>158</v>
      </c>
      <c r="L1" s="146" t="s">
        <v>159</v>
      </c>
      <c r="M1" s="22" t="s">
        <v>88</v>
      </c>
      <c r="N1" s="22" t="s">
        <v>89</v>
      </c>
      <c r="O1" s="22" t="s">
        <v>90</v>
      </c>
      <c r="P1" s="22" t="s">
        <v>91</v>
      </c>
      <c r="Q1" s="22" t="s">
        <v>92</v>
      </c>
      <c r="R1" s="21" t="s">
        <v>27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3" t="s">
        <v>26</v>
      </c>
      <c r="AC1" s="8"/>
    </row>
    <row r="2" spans="1:29">
      <c r="A2" s="405" t="s">
        <v>103</v>
      </c>
      <c r="B2" s="5" t="s">
        <v>1</v>
      </c>
      <c r="C2" s="144">
        <v>55</v>
      </c>
      <c r="D2" s="10">
        <v>28</v>
      </c>
      <c r="E2" s="10">
        <v>34</v>
      </c>
      <c r="F2" s="10">
        <v>48</v>
      </c>
      <c r="G2" s="10">
        <v>59</v>
      </c>
      <c r="H2" s="13">
        <v>5.4</v>
      </c>
      <c r="I2" s="13">
        <v>1.3</v>
      </c>
      <c r="J2" s="13">
        <v>8.1999999999999993</v>
      </c>
      <c r="K2" s="13">
        <v>5.6</v>
      </c>
      <c r="L2" s="13">
        <v>6.5</v>
      </c>
      <c r="M2" s="10">
        <v>334</v>
      </c>
      <c r="N2" s="10">
        <v>318</v>
      </c>
      <c r="O2" s="10">
        <v>171</v>
      </c>
      <c r="P2" s="10">
        <v>195</v>
      </c>
      <c r="Q2" s="10">
        <v>399</v>
      </c>
      <c r="R2" s="9">
        <v>5</v>
      </c>
      <c r="S2" s="10">
        <v>1</v>
      </c>
      <c r="T2" s="10">
        <v>0</v>
      </c>
      <c r="U2" s="10">
        <v>2</v>
      </c>
      <c r="V2" s="10">
        <v>0</v>
      </c>
      <c r="W2" s="10">
        <v>1</v>
      </c>
      <c r="X2" s="10">
        <v>2</v>
      </c>
      <c r="Y2" s="10">
        <v>1</v>
      </c>
      <c r="Z2" s="10">
        <v>0</v>
      </c>
      <c r="AA2" s="10">
        <v>1</v>
      </c>
      <c r="AB2" s="11">
        <v>0</v>
      </c>
    </row>
    <row r="3" spans="1:29">
      <c r="A3" s="406"/>
      <c r="B3" s="6" t="s">
        <v>2</v>
      </c>
      <c r="C3" s="145">
        <v>71</v>
      </c>
      <c r="D3" s="14">
        <v>12</v>
      </c>
      <c r="E3" s="14">
        <v>9</v>
      </c>
      <c r="F3" s="14">
        <v>24</v>
      </c>
      <c r="G3" s="14">
        <v>59</v>
      </c>
      <c r="H3" s="13">
        <v>4.9000000000000004</v>
      </c>
      <c r="I3" s="13">
        <v>9.6</v>
      </c>
      <c r="J3" s="13">
        <v>8.5</v>
      </c>
      <c r="K3" s="13">
        <v>5.8</v>
      </c>
      <c r="L3" s="13">
        <v>4.9000000000000004</v>
      </c>
      <c r="M3" s="14">
        <v>307</v>
      </c>
      <c r="N3" s="14">
        <v>360</v>
      </c>
      <c r="O3" s="14">
        <v>369</v>
      </c>
      <c r="P3" s="14">
        <v>355</v>
      </c>
      <c r="Q3" s="14">
        <v>272</v>
      </c>
      <c r="R3" s="13">
        <v>8</v>
      </c>
      <c r="S3" s="14">
        <v>2</v>
      </c>
      <c r="T3" s="14">
        <v>0</v>
      </c>
      <c r="U3" s="14">
        <v>1</v>
      </c>
      <c r="V3" s="14">
        <v>0</v>
      </c>
      <c r="W3" s="14">
        <v>2</v>
      </c>
      <c r="X3" s="14">
        <v>0</v>
      </c>
      <c r="Y3" s="14">
        <v>1</v>
      </c>
      <c r="Z3" s="14">
        <v>0</v>
      </c>
      <c r="AA3" s="14">
        <v>2</v>
      </c>
      <c r="AB3" s="15">
        <v>0</v>
      </c>
    </row>
    <row r="4" spans="1:29">
      <c r="A4" s="406"/>
      <c r="B4" s="6" t="s">
        <v>3</v>
      </c>
      <c r="C4" s="145">
        <v>73</v>
      </c>
      <c r="D4" s="14">
        <v>34</v>
      </c>
      <c r="E4" s="14">
        <v>25</v>
      </c>
      <c r="F4" s="14">
        <v>40</v>
      </c>
      <c r="G4" s="14">
        <v>64</v>
      </c>
      <c r="H4" s="13">
        <v>7.1</v>
      </c>
      <c r="I4" s="13">
        <v>9.4</v>
      </c>
      <c r="J4" s="13">
        <v>5.8</v>
      </c>
      <c r="K4" s="13">
        <v>5.6</v>
      </c>
      <c r="L4" s="13">
        <v>4.3</v>
      </c>
      <c r="M4" s="14">
        <v>473</v>
      </c>
      <c r="N4" s="14">
        <v>287</v>
      </c>
      <c r="O4" s="14">
        <v>116</v>
      </c>
      <c r="P4" s="14">
        <v>238</v>
      </c>
      <c r="Q4" s="14">
        <v>432</v>
      </c>
      <c r="R4" s="13">
        <v>6</v>
      </c>
      <c r="S4" s="14">
        <v>0</v>
      </c>
      <c r="T4" s="14">
        <v>0</v>
      </c>
      <c r="U4" s="14">
        <v>1</v>
      </c>
      <c r="V4" s="14">
        <v>1</v>
      </c>
      <c r="W4" s="14">
        <v>2</v>
      </c>
      <c r="X4" s="14">
        <v>0</v>
      </c>
      <c r="Y4" s="14">
        <v>1</v>
      </c>
      <c r="Z4" s="14">
        <v>1</v>
      </c>
      <c r="AA4" s="14">
        <v>0</v>
      </c>
      <c r="AB4" s="15">
        <v>0</v>
      </c>
    </row>
    <row r="5" spans="1:29">
      <c r="A5" s="406"/>
      <c r="B5" s="6" t="s">
        <v>4</v>
      </c>
      <c r="C5" s="145">
        <v>50</v>
      </c>
      <c r="D5" s="14">
        <v>35</v>
      </c>
      <c r="E5" s="14">
        <v>21</v>
      </c>
      <c r="F5" s="14">
        <v>43</v>
      </c>
      <c r="G5" s="14">
        <v>66</v>
      </c>
      <c r="H5" s="13">
        <v>1</v>
      </c>
      <c r="I5" s="13">
        <v>7.8</v>
      </c>
      <c r="J5" s="13">
        <v>8.1999999999999993</v>
      </c>
      <c r="K5" s="13">
        <v>5.2</v>
      </c>
      <c r="L5" s="13">
        <v>6.1</v>
      </c>
      <c r="M5" s="14">
        <v>371</v>
      </c>
      <c r="N5" s="14">
        <v>317</v>
      </c>
      <c r="O5" s="14">
        <v>232</v>
      </c>
      <c r="P5" s="14">
        <v>189</v>
      </c>
      <c r="Q5" s="14">
        <v>379</v>
      </c>
      <c r="R5" s="13">
        <v>3</v>
      </c>
      <c r="S5" s="14">
        <v>1</v>
      </c>
      <c r="T5" s="14">
        <v>0</v>
      </c>
      <c r="U5" s="14">
        <v>3</v>
      </c>
      <c r="V5" s="14">
        <v>0</v>
      </c>
      <c r="W5" s="14">
        <v>1</v>
      </c>
      <c r="X5" s="14">
        <v>0</v>
      </c>
      <c r="Y5" s="14">
        <v>2</v>
      </c>
      <c r="Z5" s="14">
        <v>0</v>
      </c>
      <c r="AA5" s="14">
        <v>0</v>
      </c>
      <c r="AB5" s="15">
        <v>0</v>
      </c>
    </row>
    <row r="6" spans="1:29">
      <c r="A6" s="406"/>
      <c r="B6" s="6" t="s">
        <v>5</v>
      </c>
      <c r="C6" s="145">
        <v>54</v>
      </c>
      <c r="D6" s="14">
        <v>15</v>
      </c>
      <c r="E6" s="14">
        <v>30</v>
      </c>
      <c r="F6" s="14">
        <v>40</v>
      </c>
      <c r="G6" s="14">
        <v>45</v>
      </c>
      <c r="H6" s="13">
        <v>1.1000000000000001</v>
      </c>
      <c r="I6" s="13">
        <v>6.1</v>
      </c>
      <c r="J6" s="13">
        <v>8.1999999999999993</v>
      </c>
      <c r="K6" s="13">
        <v>5.7</v>
      </c>
      <c r="L6" s="13">
        <v>6.4</v>
      </c>
      <c r="M6" s="14">
        <v>402</v>
      </c>
      <c r="N6" s="14">
        <v>256</v>
      </c>
      <c r="O6" s="14">
        <v>353</v>
      </c>
      <c r="P6" s="14">
        <v>243</v>
      </c>
      <c r="Q6" s="14">
        <v>491</v>
      </c>
      <c r="R6" s="13">
        <v>5</v>
      </c>
      <c r="S6" s="14">
        <v>0</v>
      </c>
      <c r="T6" s="14">
        <v>0</v>
      </c>
      <c r="U6" s="14">
        <v>0</v>
      </c>
      <c r="V6" s="14">
        <v>0</v>
      </c>
      <c r="W6" s="14">
        <v>1</v>
      </c>
      <c r="X6" s="14">
        <v>0</v>
      </c>
      <c r="Y6" s="14">
        <v>1</v>
      </c>
      <c r="Z6" s="14">
        <v>0</v>
      </c>
      <c r="AA6" s="14">
        <v>0</v>
      </c>
      <c r="AB6" s="15">
        <v>0</v>
      </c>
    </row>
    <row r="7" spans="1:29">
      <c r="A7" s="406"/>
      <c r="B7" s="6" t="s">
        <v>6</v>
      </c>
      <c r="C7" s="145">
        <v>55</v>
      </c>
      <c r="D7" s="14">
        <v>21</v>
      </c>
      <c r="E7" s="14">
        <v>25</v>
      </c>
      <c r="F7" s="14">
        <v>28</v>
      </c>
      <c r="G7" s="14">
        <v>58</v>
      </c>
      <c r="H7" s="13">
        <v>2.2000000000000002</v>
      </c>
      <c r="I7" s="13">
        <v>6.5</v>
      </c>
      <c r="J7" s="13">
        <v>7.8</v>
      </c>
      <c r="K7" s="13">
        <v>7.4</v>
      </c>
      <c r="L7" s="13">
        <v>7.4</v>
      </c>
      <c r="M7" s="14">
        <v>413</v>
      </c>
      <c r="N7" s="14">
        <v>241</v>
      </c>
      <c r="O7" s="14">
        <v>242</v>
      </c>
      <c r="P7" s="14">
        <v>312</v>
      </c>
      <c r="Q7" s="14">
        <v>298</v>
      </c>
      <c r="R7" s="13">
        <v>6</v>
      </c>
      <c r="S7" s="14">
        <v>2</v>
      </c>
      <c r="T7" s="14">
        <v>0</v>
      </c>
      <c r="U7" s="14">
        <v>2</v>
      </c>
      <c r="V7" s="14">
        <v>2</v>
      </c>
      <c r="W7" s="14">
        <v>0</v>
      </c>
      <c r="X7" s="14">
        <v>0</v>
      </c>
      <c r="Y7" s="14">
        <v>2</v>
      </c>
      <c r="Z7" s="14">
        <v>0</v>
      </c>
      <c r="AA7" s="14">
        <v>1</v>
      </c>
      <c r="AB7" s="15">
        <v>0</v>
      </c>
    </row>
    <row r="8" spans="1:29">
      <c r="A8" s="406"/>
      <c r="B8" s="6" t="s">
        <v>7</v>
      </c>
      <c r="C8" s="145">
        <v>55</v>
      </c>
      <c r="D8" s="14">
        <v>28</v>
      </c>
      <c r="E8" s="14">
        <v>40</v>
      </c>
      <c r="F8" s="14">
        <v>33</v>
      </c>
      <c r="G8" s="14">
        <v>67</v>
      </c>
      <c r="H8" s="13">
        <v>1.9</v>
      </c>
      <c r="I8" s="13">
        <v>4.2</v>
      </c>
      <c r="J8" s="13">
        <v>6.5</v>
      </c>
      <c r="K8" s="13">
        <v>7</v>
      </c>
      <c r="L8" s="13">
        <v>8</v>
      </c>
      <c r="M8" s="14">
        <v>224</v>
      </c>
      <c r="N8" s="14">
        <v>222</v>
      </c>
      <c r="O8" s="14">
        <v>370</v>
      </c>
      <c r="P8" s="14">
        <v>205</v>
      </c>
      <c r="Q8" s="14">
        <v>358</v>
      </c>
      <c r="R8" s="13">
        <v>5</v>
      </c>
      <c r="S8" s="14">
        <v>1</v>
      </c>
      <c r="T8" s="14">
        <v>0</v>
      </c>
      <c r="U8" s="14">
        <v>1</v>
      </c>
      <c r="V8" s="14">
        <v>0</v>
      </c>
      <c r="W8" s="14">
        <v>0</v>
      </c>
      <c r="X8" s="14">
        <v>0</v>
      </c>
      <c r="Y8" s="14">
        <v>1</v>
      </c>
      <c r="Z8" s="14">
        <v>0</v>
      </c>
      <c r="AA8" s="14">
        <v>0</v>
      </c>
      <c r="AB8" s="15">
        <v>0</v>
      </c>
    </row>
    <row r="9" spans="1:29">
      <c r="A9" s="406"/>
      <c r="B9" s="6" t="s">
        <v>8</v>
      </c>
      <c r="C9" s="145">
        <v>57</v>
      </c>
      <c r="D9" s="14">
        <v>34</v>
      </c>
      <c r="E9" s="14">
        <v>27</v>
      </c>
      <c r="F9" s="14">
        <v>37</v>
      </c>
      <c r="G9" s="14">
        <v>62</v>
      </c>
      <c r="H9" s="13">
        <v>5.3</v>
      </c>
      <c r="I9" s="13">
        <v>6.8</v>
      </c>
      <c r="J9" s="13">
        <v>8.1999999999999993</v>
      </c>
      <c r="K9" s="13">
        <v>6</v>
      </c>
      <c r="L9" s="13">
        <v>4.5999999999999996</v>
      </c>
      <c r="M9" s="14">
        <v>392</v>
      </c>
      <c r="N9" s="14">
        <v>192</v>
      </c>
      <c r="O9" s="14">
        <v>275</v>
      </c>
      <c r="P9" s="14">
        <v>392</v>
      </c>
      <c r="Q9" s="14">
        <v>356</v>
      </c>
      <c r="R9" s="13">
        <v>5</v>
      </c>
      <c r="S9" s="14">
        <v>0</v>
      </c>
      <c r="T9" s="14">
        <v>0</v>
      </c>
      <c r="U9" s="14">
        <v>1</v>
      </c>
      <c r="V9" s="14">
        <v>0</v>
      </c>
      <c r="W9" s="14">
        <v>1</v>
      </c>
      <c r="X9" s="14">
        <v>0</v>
      </c>
      <c r="Y9" s="14">
        <v>2</v>
      </c>
      <c r="Z9" s="14">
        <v>0</v>
      </c>
      <c r="AA9" s="14">
        <v>2</v>
      </c>
      <c r="AB9" s="15">
        <v>0</v>
      </c>
    </row>
    <row r="10" spans="1:29">
      <c r="A10" s="406"/>
      <c r="B10" s="6" t="s">
        <v>9</v>
      </c>
      <c r="C10" s="145">
        <v>50</v>
      </c>
      <c r="D10" s="14">
        <v>40</v>
      </c>
      <c r="E10" s="14">
        <v>19</v>
      </c>
      <c r="F10" s="14">
        <v>28</v>
      </c>
      <c r="G10" s="14">
        <v>70</v>
      </c>
      <c r="H10" s="13">
        <v>0</v>
      </c>
      <c r="I10" s="13">
        <v>9</v>
      </c>
      <c r="J10" s="13">
        <v>9</v>
      </c>
      <c r="K10" s="13">
        <v>5.3</v>
      </c>
      <c r="L10" s="13">
        <v>4.5999999999999996</v>
      </c>
      <c r="M10" s="14">
        <v>524</v>
      </c>
      <c r="N10" s="14">
        <v>452</v>
      </c>
      <c r="O10" s="14">
        <v>257</v>
      </c>
      <c r="P10" s="14">
        <v>385</v>
      </c>
      <c r="Q10" s="14">
        <v>325</v>
      </c>
      <c r="R10" s="13">
        <v>5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2</v>
      </c>
      <c r="Z10" s="14">
        <v>0</v>
      </c>
      <c r="AA10" s="14">
        <v>2</v>
      </c>
      <c r="AB10" s="15">
        <v>0</v>
      </c>
    </row>
    <row r="11" spans="1:29">
      <c r="A11" s="406"/>
      <c r="B11" s="6" t="s">
        <v>10</v>
      </c>
      <c r="C11" s="145">
        <v>60</v>
      </c>
      <c r="D11" s="14">
        <v>18</v>
      </c>
      <c r="E11" s="14">
        <v>23</v>
      </c>
      <c r="F11" s="14">
        <v>44</v>
      </c>
      <c r="G11" s="14">
        <v>41</v>
      </c>
      <c r="H11" s="13">
        <v>4.5999999999999996</v>
      </c>
      <c r="I11" s="13">
        <v>7.6</v>
      </c>
      <c r="J11" s="13">
        <v>3.8</v>
      </c>
      <c r="K11" s="13">
        <v>7.6</v>
      </c>
      <c r="L11" s="13">
        <v>10</v>
      </c>
      <c r="M11" s="14">
        <v>396</v>
      </c>
      <c r="N11" s="14">
        <v>218</v>
      </c>
      <c r="O11" s="14">
        <v>253</v>
      </c>
      <c r="P11" s="14">
        <v>291</v>
      </c>
      <c r="Q11" s="14">
        <v>324</v>
      </c>
      <c r="R11" s="13">
        <v>5</v>
      </c>
      <c r="S11" s="14">
        <v>1</v>
      </c>
      <c r="T11" s="14">
        <v>0</v>
      </c>
      <c r="U11" s="14">
        <v>2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</row>
    <row r="12" spans="1:29">
      <c r="A12" s="407"/>
      <c r="B12" s="7" t="s">
        <v>11</v>
      </c>
      <c r="C12" s="40">
        <v>64</v>
      </c>
      <c r="D12" s="17">
        <v>29</v>
      </c>
      <c r="E12" s="17">
        <v>41</v>
      </c>
      <c r="F12" s="17">
        <v>37</v>
      </c>
      <c r="G12" s="17">
        <v>63</v>
      </c>
      <c r="H12" s="16">
        <v>2.5</v>
      </c>
      <c r="I12" s="16">
        <v>4.5999999999999996</v>
      </c>
      <c r="J12" s="16">
        <v>9.6</v>
      </c>
      <c r="K12" s="16">
        <v>7.4</v>
      </c>
      <c r="L12" s="16">
        <v>7</v>
      </c>
      <c r="M12" s="17">
        <v>319</v>
      </c>
      <c r="N12" s="17">
        <v>165</v>
      </c>
      <c r="O12" s="17">
        <v>431</v>
      </c>
      <c r="P12" s="17">
        <v>336</v>
      </c>
      <c r="Q12" s="17">
        <v>297</v>
      </c>
      <c r="R12" s="16">
        <v>3</v>
      </c>
      <c r="S12" s="17">
        <v>3</v>
      </c>
      <c r="T12" s="17">
        <v>0</v>
      </c>
      <c r="U12" s="17">
        <v>1</v>
      </c>
      <c r="V12" s="17">
        <v>1</v>
      </c>
      <c r="W12" s="17">
        <v>1</v>
      </c>
      <c r="X12" s="17">
        <v>0</v>
      </c>
      <c r="Y12" s="17">
        <v>0</v>
      </c>
      <c r="Z12" s="17">
        <v>0</v>
      </c>
      <c r="AA12" s="17">
        <v>0</v>
      </c>
      <c r="AB12" s="18">
        <v>0</v>
      </c>
    </row>
    <row r="14" spans="1:29" s="2" customFormat="1">
      <c r="B14" s="20" t="s">
        <v>0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1" t="s">
        <v>160</v>
      </c>
      <c r="I14" s="21" t="s">
        <v>161</v>
      </c>
      <c r="J14" s="21" t="s">
        <v>162</v>
      </c>
      <c r="K14" s="21" t="s">
        <v>163</v>
      </c>
      <c r="L14" s="21" t="s">
        <v>164</v>
      </c>
      <c r="M14" s="22" t="s">
        <v>93</v>
      </c>
      <c r="N14" s="22" t="s">
        <v>94</v>
      </c>
      <c r="O14" s="22" t="s">
        <v>95</v>
      </c>
      <c r="P14" s="22" t="s">
        <v>96</v>
      </c>
      <c r="Q14" s="22" t="s">
        <v>97</v>
      </c>
      <c r="R14" s="21" t="s">
        <v>33</v>
      </c>
      <c r="S14" s="22" t="s">
        <v>78</v>
      </c>
      <c r="T14" s="22" t="s">
        <v>34</v>
      </c>
      <c r="U14" s="22" t="s">
        <v>35</v>
      </c>
      <c r="V14" s="22" t="s">
        <v>36</v>
      </c>
      <c r="W14" s="22" t="s">
        <v>37</v>
      </c>
      <c r="X14" s="22" t="s">
        <v>38</v>
      </c>
      <c r="Y14" s="22" t="s">
        <v>39</v>
      </c>
      <c r="Z14" s="22" t="s">
        <v>40</v>
      </c>
      <c r="AA14" s="22" t="s">
        <v>41</v>
      </c>
      <c r="AB14" s="23" t="s">
        <v>42</v>
      </c>
      <c r="AC14" s="8"/>
    </row>
    <row r="15" spans="1:29">
      <c r="A15" s="405" t="s">
        <v>104</v>
      </c>
      <c r="B15" s="5" t="s">
        <v>43</v>
      </c>
      <c r="C15" s="144">
        <v>9</v>
      </c>
      <c r="D15" s="10">
        <v>21</v>
      </c>
      <c r="E15" s="10">
        <v>38</v>
      </c>
      <c r="F15" s="10">
        <v>28</v>
      </c>
      <c r="G15" s="10">
        <v>57</v>
      </c>
      <c r="H15" s="13">
        <v>3.3</v>
      </c>
      <c r="I15" s="13">
        <v>4.9000000000000004</v>
      </c>
      <c r="J15" s="13">
        <v>6.2</v>
      </c>
      <c r="K15" s="13">
        <v>7.8</v>
      </c>
      <c r="L15" s="13">
        <v>6.2</v>
      </c>
      <c r="M15" s="10">
        <v>268</v>
      </c>
      <c r="N15" s="10">
        <v>255</v>
      </c>
      <c r="O15" s="10">
        <v>190</v>
      </c>
      <c r="P15" s="10">
        <v>347</v>
      </c>
      <c r="Q15" s="10">
        <v>323</v>
      </c>
      <c r="R15" s="9">
        <v>7</v>
      </c>
      <c r="S15" s="10">
        <v>3</v>
      </c>
      <c r="T15" s="10">
        <v>0</v>
      </c>
      <c r="U15" s="10">
        <v>3</v>
      </c>
      <c r="V15" s="10">
        <v>1</v>
      </c>
      <c r="W15" s="10">
        <v>2</v>
      </c>
      <c r="X15" s="10">
        <v>0</v>
      </c>
      <c r="Y15" s="10">
        <v>1</v>
      </c>
      <c r="Z15" s="10">
        <v>0</v>
      </c>
      <c r="AA15" s="10">
        <v>3</v>
      </c>
      <c r="AB15" s="11">
        <v>2</v>
      </c>
    </row>
    <row r="16" spans="1:29">
      <c r="A16" s="406"/>
      <c r="B16" s="6" t="s">
        <v>44</v>
      </c>
      <c r="C16" s="145">
        <v>20</v>
      </c>
      <c r="D16" s="14">
        <v>25</v>
      </c>
      <c r="E16" s="14">
        <v>9</v>
      </c>
      <c r="F16" s="14">
        <v>20</v>
      </c>
      <c r="G16" s="14">
        <v>50</v>
      </c>
      <c r="H16" s="13">
        <v>4.8</v>
      </c>
      <c r="I16" s="13">
        <v>3.8</v>
      </c>
      <c r="J16" s="13">
        <v>5.9</v>
      </c>
      <c r="K16" s="13">
        <v>6.6</v>
      </c>
      <c r="L16" s="13">
        <v>7.5</v>
      </c>
      <c r="M16" s="14">
        <v>179</v>
      </c>
      <c r="N16" s="14">
        <v>345</v>
      </c>
      <c r="O16" s="14">
        <v>447</v>
      </c>
      <c r="P16" s="14">
        <v>206</v>
      </c>
      <c r="Q16" s="14">
        <v>320</v>
      </c>
      <c r="R16" s="13">
        <v>6</v>
      </c>
      <c r="S16" s="14">
        <v>2</v>
      </c>
      <c r="T16" s="14">
        <v>0</v>
      </c>
      <c r="U16" s="14">
        <v>4</v>
      </c>
      <c r="V16" s="14">
        <v>3</v>
      </c>
      <c r="W16" s="14">
        <v>2</v>
      </c>
      <c r="X16" s="14">
        <v>0</v>
      </c>
      <c r="Y16" s="14">
        <v>3</v>
      </c>
      <c r="Z16" s="14">
        <v>0</v>
      </c>
      <c r="AA16" s="14">
        <v>3</v>
      </c>
      <c r="AB16" s="15">
        <v>0</v>
      </c>
    </row>
    <row r="17" spans="1:29">
      <c r="A17" s="406"/>
      <c r="B17" s="6" t="s">
        <v>45</v>
      </c>
      <c r="C17" s="145">
        <v>8</v>
      </c>
      <c r="D17" s="14">
        <v>6</v>
      </c>
      <c r="E17" s="14">
        <v>34</v>
      </c>
      <c r="F17" s="14">
        <v>24</v>
      </c>
      <c r="G17" s="14">
        <v>58</v>
      </c>
      <c r="H17" s="13">
        <v>8.1999999999999993</v>
      </c>
      <c r="I17" s="13">
        <v>9.4</v>
      </c>
      <c r="J17" s="13">
        <v>11.3</v>
      </c>
      <c r="K17" s="13">
        <v>10.7</v>
      </c>
      <c r="L17" s="13">
        <v>9.8000000000000007</v>
      </c>
      <c r="M17" s="14">
        <v>306</v>
      </c>
      <c r="N17" s="14">
        <v>379</v>
      </c>
      <c r="O17" s="14">
        <v>323</v>
      </c>
      <c r="P17" s="14">
        <v>281</v>
      </c>
      <c r="Q17" s="14">
        <v>419</v>
      </c>
      <c r="R17" s="13">
        <v>7</v>
      </c>
      <c r="S17" s="14">
        <v>4</v>
      </c>
      <c r="T17" s="14">
        <v>0</v>
      </c>
      <c r="U17" s="14">
        <v>4</v>
      </c>
      <c r="V17" s="14">
        <v>0</v>
      </c>
      <c r="W17" s="14">
        <v>2</v>
      </c>
      <c r="X17" s="14">
        <v>1</v>
      </c>
      <c r="Y17" s="14">
        <v>1</v>
      </c>
      <c r="Z17" s="14">
        <v>0</v>
      </c>
      <c r="AA17" s="14">
        <v>2</v>
      </c>
      <c r="AB17" s="15">
        <v>0</v>
      </c>
    </row>
    <row r="18" spans="1:29">
      <c r="A18" s="406"/>
      <c r="B18" s="6" t="s">
        <v>46</v>
      </c>
      <c r="C18" s="145">
        <v>44</v>
      </c>
      <c r="D18" s="14">
        <v>24</v>
      </c>
      <c r="E18" s="14">
        <v>21</v>
      </c>
      <c r="F18" s="14">
        <v>29</v>
      </c>
      <c r="G18" s="14">
        <v>49</v>
      </c>
      <c r="H18" s="13">
        <v>8.1999999999999993</v>
      </c>
      <c r="I18" s="13">
        <v>4.4000000000000004</v>
      </c>
      <c r="J18" s="13">
        <v>6.5</v>
      </c>
      <c r="K18" s="13">
        <v>9.6</v>
      </c>
      <c r="L18" s="13">
        <v>7.3</v>
      </c>
      <c r="M18" s="14">
        <v>327</v>
      </c>
      <c r="N18" s="14">
        <v>426</v>
      </c>
      <c r="O18" s="14">
        <v>203</v>
      </c>
      <c r="P18" s="14">
        <v>283</v>
      </c>
      <c r="Q18" s="14">
        <v>480</v>
      </c>
      <c r="R18" s="13">
        <v>7</v>
      </c>
      <c r="S18" s="14">
        <v>3</v>
      </c>
      <c r="T18" s="14">
        <v>0</v>
      </c>
      <c r="U18" s="14">
        <v>2</v>
      </c>
      <c r="V18" s="14">
        <v>0</v>
      </c>
      <c r="W18" s="14">
        <v>2</v>
      </c>
      <c r="X18" s="14">
        <v>1</v>
      </c>
      <c r="Y18" s="14">
        <v>1</v>
      </c>
      <c r="Z18" s="14">
        <v>0</v>
      </c>
      <c r="AA18" s="14">
        <v>3</v>
      </c>
      <c r="AB18" s="15">
        <v>2</v>
      </c>
    </row>
    <row r="19" spans="1:29">
      <c r="A19" s="406"/>
      <c r="B19" s="6" t="s">
        <v>47</v>
      </c>
      <c r="C19" s="145">
        <v>9</v>
      </c>
      <c r="D19" s="14">
        <v>42</v>
      </c>
      <c r="E19" s="14">
        <v>29</v>
      </c>
      <c r="F19" s="14">
        <v>27</v>
      </c>
      <c r="G19" s="14">
        <v>38</v>
      </c>
      <c r="H19" s="13">
        <v>7.7</v>
      </c>
      <c r="I19" s="13">
        <v>10.3</v>
      </c>
      <c r="J19" s="13">
        <v>9.1999999999999993</v>
      </c>
      <c r="K19" s="13">
        <v>9.1</v>
      </c>
      <c r="L19" s="13">
        <v>4.9000000000000004</v>
      </c>
      <c r="M19" s="14">
        <v>260</v>
      </c>
      <c r="N19" s="14">
        <v>120</v>
      </c>
      <c r="O19" s="14">
        <v>293</v>
      </c>
      <c r="P19" s="14">
        <v>436</v>
      </c>
      <c r="Q19" s="14">
        <v>232</v>
      </c>
      <c r="R19" s="13">
        <v>8</v>
      </c>
      <c r="S19" s="14">
        <v>3</v>
      </c>
      <c r="T19" s="14">
        <v>1</v>
      </c>
      <c r="U19" s="14">
        <v>1</v>
      </c>
      <c r="V19" s="14">
        <v>2</v>
      </c>
      <c r="W19" s="14">
        <v>2</v>
      </c>
      <c r="X19" s="14">
        <v>2</v>
      </c>
      <c r="Y19" s="14">
        <v>3</v>
      </c>
      <c r="Z19" s="14">
        <v>0</v>
      </c>
      <c r="AA19" s="14">
        <v>3</v>
      </c>
      <c r="AB19" s="15">
        <v>0</v>
      </c>
    </row>
    <row r="20" spans="1:29">
      <c r="A20" s="406"/>
      <c r="B20" s="6" t="s">
        <v>48</v>
      </c>
      <c r="C20" s="145">
        <v>29</v>
      </c>
      <c r="D20" s="14">
        <v>35</v>
      </c>
      <c r="E20" s="14">
        <v>26</v>
      </c>
      <c r="F20" s="14">
        <v>28</v>
      </c>
      <c r="G20" s="14">
        <v>59</v>
      </c>
      <c r="H20" s="13">
        <v>5.2</v>
      </c>
      <c r="I20" s="13">
        <v>6</v>
      </c>
      <c r="J20" s="13">
        <v>6.6</v>
      </c>
      <c r="K20" s="13">
        <v>7.7</v>
      </c>
      <c r="L20" s="13">
        <v>5.9</v>
      </c>
      <c r="M20" s="14">
        <v>356</v>
      </c>
      <c r="N20" s="14">
        <v>275</v>
      </c>
      <c r="O20" s="14">
        <v>279</v>
      </c>
      <c r="P20" s="14">
        <v>167</v>
      </c>
      <c r="Q20" s="14">
        <v>209</v>
      </c>
      <c r="R20" s="13">
        <v>6</v>
      </c>
      <c r="S20" s="14">
        <v>4</v>
      </c>
      <c r="T20" s="14">
        <v>1</v>
      </c>
      <c r="U20" s="14">
        <v>2</v>
      </c>
      <c r="V20" s="14">
        <v>1</v>
      </c>
      <c r="W20" s="14">
        <v>2</v>
      </c>
      <c r="X20" s="14">
        <v>1</v>
      </c>
      <c r="Y20" s="14">
        <v>4</v>
      </c>
      <c r="Z20" s="14">
        <v>1</v>
      </c>
      <c r="AA20" s="14">
        <v>2</v>
      </c>
      <c r="AB20" s="15">
        <v>2</v>
      </c>
    </row>
    <row r="21" spans="1:29">
      <c r="A21" s="406"/>
      <c r="B21" s="6" t="s">
        <v>49</v>
      </c>
      <c r="C21" s="145">
        <v>24</v>
      </c>
      <c r="D21" s="14">
        <v>46</v>
      </c>
      <c r="E21" s="14">
        <v>40</v>
      </c>
      <c r="F21" s="14">
        <v>51</v>
      </c>
      <c r="G21" s="14">
        <v>49</v>
      </c>
      <c r="H21" s="13">
        <v>6</v>
      </c>
      <c r="I21" s="13">
        <v>7.8</v>
      </c>
      <c r="J21" s="13">
        <v>4.9000000000000004</v>
      </c>
      <c r="K21" s="13">
        <v>8.3000000000000007</v>
      </c>
      <c r="L21" s="13">
        <v>7.1</v>
      </c>
      <c r="M21" s="14">
        <v>263</v>
      </c>
      <c r="N21" s="14">
        <v>281</v>
      </c>
      <c r="O21" s="14">
        <v>243</v>
      </c>
      <c r="P21" s="14">
        <v>172</v>
      </c>
      <c r="Q21" s="14">
        <v>313</v>
      </c>
      <c r="R21" s="13">
        <v>6</v>
      </c>
      <c r="S21" s="14">
        <v>3</v>
      </c>
      <c r="T21" s="14">
        <v>2</v>
      </c>
      <c r="U21" s="14">
        <v>1</v>
      </c>
      <c r="V21" s="14">
        <v>1</v>
      </c>
      <c r="W21" s="14">
        <v>2</v>
      </c>
      <c r="X21" s="14">
        <v>2</v>
      </c>
      <c r="Y21" s="14">
        <v>4</v>
      </c>
      <c r="Z21" s="14">
        <v>0</v>
      </c>
      <c r="AA21" s="14">
        <v>2</v>
      </c>
      <c r="AB21" s="15">
        <v>1</v>
      </c>
    </row>
    <row r="22" spans="1:29">
      <c r="A22" s="406"/>
      <c r="B22" s="6" t="s">
        <v>50</v>
      </c>
      <c r="C22" s="145">
        <v>30</v>
      </c>
      <c r="D22" s="14">
        <v>6</v>
      </c>
      <c r="E22" s="14">
        <v>11</v>
      </c>
      <c r="F22" s="14">
        <v>40</v>
      </c>
      <c r="G22" s="14">
        <v>43</v>
      </c>
      <c r="H22" s="13">
        <v>6.9</v>
      </c>
      <c r="I22" s="13">
        <v>6.8</v>
      </c>
      <c r="J22" s="13">
        <v>3.3</v>
      </c>
      <c r="K22" s="13">
        <v>8.6</v>
      </c>
      <c r="L22" s="13">
        <v>9</v>
      </c>
      <c r="M22" s="14">
        <v>266</v>
      </c>
      <c r="N22" s="14">
        <v>206</v>
      </c>
      <c r="O22" s="14">
        <v>229</v>
      </c>
      <c r="P22" s="14">
        <v>372</v>
      </c>
      <c r="Q22" s="14">
        <v>338</v>
      </c>
      <c r="R22" s="13">
        <v>7</v>
      </c>
      <c r="S22" s="14">
        <v>2</v>
      </c>
      <c r="T22" s="14">
        <v>1</v>
      </c>
      <c r="U22" s="14">
        <v>3</v>
      </c>
      <c r="V22" s="14">
        <v>0</v>
      </c>
      <c r="W22" s="14">
        <v>1</v>
      </c>
      <c r="X22" s="14">
        <v>1</v>
      </c>
      <c r="Y22" s="14">
        <v>1</v>
      </c>
      <c r="Z22" s="14">
        <v>1</v>
      </c>
      <c r="AA22" s="14">
        <v>4</v>
      </c>
      <c r="AB22" s="15">
        <v>1</v>
      </c>
    </row>
    <row r="23" spans="1:29">
      <c r="A23" s="406"/>
      <c r="B23" s="6" t="s">
        <v>51</v>
      </c>
      <c r="C23" s="145">
        <v>32</v>
      </c>
      <c r="D23" s="14">
        <v>22</v>
      </c>
      <c r="E23" s="14">
        <v>10</v>
      </c>
      <c r="F23" s="14">
        <v>39</v>
      </c>
      <c r="G23" s="14">
        <v>43</v>
      </c>
      <c r="H23" s="13">
        <v>4.4000000000000004</v>
      </c>
      <c r="I23" s="13">
        <v>9.6999999999999993</v>
      </c>
      <c r="J23" s="13">
        <v>6.3</v>
      </c>
      <c r="K23" s="13">
        <v>8.1</v>
      </c>
      <c r="L23" s="13">
        <v>2.9</v>
      </c>
      <c r="M23" s="14">
        <v>297</v>
      </c>
      <c r="N23" s="14">
        <v>175</v>
      </c>
      <c r="O23" s="14">
        <v>151</v>
      </c>
      <c r="P23" s="14">
        <v>218</v>
      </c>
      <c r="Q23" s="14">
        <v>274</v>
      </c>
      <c r="R23" s="13">
        <v>10</v>
      </c>
      <c r="S23" s="14">
        <v>2</v>
      </c>
      <c r="T23" s="14">
        <v>2</v>
      </c>
      <c r="U23" s="14">
        <v>4</v>
      </c>
      <c r="V23" s="14">
        <v>0</v>
      </c>
      <c r="W23" s="14">
        <v>2</v>
      </c>
      <c r="X23" s="14">
        <v>0</v>
      </c>
      <c r="Y23" s="14">
        <v>2</v>
      </c>
      <c r="Z23" s="14">
        <v>1</v>
      </c>
      <c r="AA23" s="14">
        <v>4</v>
      </c>
      <c r="AB23" s="15">
        <v>0</v>
      </c>
    </row>
    <row r="24" spans="1:29">
      <c r="A24" s="406"/>
      <c r="B24" s="6" t="s">
        <v>52</v>
      </c>
      <c r="C24" s="145">
        <v>30</v>
      </c>
      <c r="D24" s="14">
        <v>24</v>
      </c>
      <c r="E24" s="14">
        <v>18</v>
      </c>
      <c r="F24" s="14">
        <v>30</v>
      </c>
      <c r="G24" s="14">
        <v>47</v>
      </c>
      <c r="H24" s="13">
        <v>8.1999999999999993</v>
      </c>
      <c r="I24" s="13">
        <v>5.6</v>
      </c>
      <c r="J24" s="13">
        <v>5.7</v>
      </c>
      <c r="K24" s="13">
        <v>6.9</v>
      </c>
      <c r="L24" s="13">
        <v>10</v>
      </c>
      <c r="M24" s="14">
        <v>298</v>
      </c>
      <c r="N24" s="14">
        <v>241</v>
      </c>
      <c r="O24" s="14">
        <v>279</v>
      </c>
      <c r="P24" s="14">
        <v>279</v>
      </c>
      <c r="Q24" s="14">
        <v>389</v>
      </c>
      <c r="R24" s="13">
        <v>7</v>
      </c>
      <c r="S24" s="14">
        <v>2</v>
      </c>
      <c r="T24" s="14">
        <v>1</v>
      </c>
      <c r="U24" s="14">
        <v>1</v>
      </c>
      <c r="V24" s="14">
        <v>0</v>
      </c>
      <c r="W24" s="14">
        <v>2</v>
      </c>
      <c r="X24" s="14">
        <v>2</v>
      </c>
      <c r="Y24" s="14">
        <v>3</v>
      </c>
      <c r="Z24" s="14">
        <v>2</v>
      </c>
      <c r="AA24" s="14">
        <v>3</v>
      </c>
      <c r="AB24" s="15">
        <v>2</v>
      </c>
    </row>
    <row r="25" spans="1:29">
      <c r="A25" s="406"/>
      <c r="B25" s="6" t="s">
        <v>53</v>
      </c>
      <c r="C25" s="145">
        <v>20</v>
      </c>
      <c r="D25" s="14">
        <v>30</v>
      </c>
      <c r="E25" s="14">
        <v>11</v>
      </c>
      <c r="F25" s="14">
        <v>47</v>
      </c>
      <c r="G25" s="14">
        <v>50</v>
      </c>
      <c r="H25" s="13">
        <v>7.4</v>
      </c>
      <c r="I25" s="13">
        <v>8.1999999999999993</v>
      </c>
      <c r="J25" s="13">
        <v>6</v>
      </c>
      <c r="K25" s="13">
        <v>9.4</v>
      </c>
      <c r="L25" s="13">
        <v>8.6999999999999993</v>
      </c>
      <c r="M25" s="14">
        <v>182</v>
      </c>
      <c r="N25" s="14">
        <v>263</v>
      </c>
      <c r="O25" s="14">
        <v>286</v>
      </c>
      <c r="P25" s="14">
        <v>315</v>
      </c>
      <c r="Q25" s="14">
        <v>234</v>
      </c>
      <c r="R25" s="13">
        <v>5</v>
      </c>
      <c r="S25" s="14">
        <v>4</v>
      </c>
      <c r="T25" s="14">
        <v>1</v>
      </c>
      <c r="U25" s="14">
        <v>3</v>
      </c>
      <c r="V25" s="14">
        <v>0</v>
      </c>
      <c r="W25" s="14">
        <v>2</v>
      </c>
      <c r="X25" s="14">
        <v>0</v>
      </c>
      <c r="Y25" s="14">
        <v>3</v>
      </c>
      <c r="Z25" s="14">
        <v>0</v>
      </c>
      <c r="AA25" s="14">
        <v>2</v>
      </c>
      <c r="AB25" s="15">
        <v>1</v>
      </c>
    </row>
    <row r="26" spans="1:29">
      <c r="A26" s="407"/>
      <c r="B26" s="7" t="s">
        <v>54</v>
      </c>
      <c r="C26" s="40">
        <v>20</v>
      </c>
      <c r="D26" s="17">
        <v>30</v>
      </c>
      <c r="E26" s="17">
        <v>26</v>
      </c>
      <c r="F26" s="17">
        <v>26</v>
      </c>
      <c r="G26" s="17">
        <v>50</v>
      </c>
      <c r="H26" s="16">
        <v>7.3</v>
      </c>
      <c r="I26" s="16">
        <v>6.7</v>
      </c>
      <c r="J26" s="16">
        <v>9.4</v>
      </c>
      <c r="K26" s="16">
        <v>8.5</v>
      </c>
      <c r="L26" s="16">
        <v>8.1</v>
      </c>
      <c r="M26" s="17">
        <v>264</v>
      </c>
      <c r="N26" s="17">
        <v>334</v>
      </c>
      <c r="O26" s="17">
        <v>113</v>
      </c>
      <c r="P26" s="17">
        <v>307</v>
      </c>
      <c r="Q26" s="17">
        <v>455</v>
      </c>
      <c r="R26" s="16">
        <v>10</v>
      </c>
      <c r="S26" s="17">
        <v>2</v>
      </c>
      <c r="T26" s="17">
        <v>2</v>
      </c>
      <c r="U26" s="17">
        <v>4</v>
      </c>
      <c r="V26" s="17">
        <v>0</v>
      </c>
      <c r="W26" s="17">
        <v>2</v>
      </c>
      <c r="X26" s="17">
        <v>0</v>
      </c>
      <c r="Y26" s="17">
        <v>2</v>
      </c>
      <c r="Z26" s="17">
        <v>1</v>
      </c>
      <c r="AA26" s="17">
        <v>4</v>
      </c>
      <c r="AB26" s="18">
        <v>0</v>
      </c>
    </row>
    <row r="29" spans="1:29" s="2" customFormat="1">
      <c r="B29" s="20" t="s">
        <v>0</v>
      </c>
      <c r="C29" s="22" t="s">
        <v>69</v>
      </c>
      <c r="D29" s="22" t="s">
        <v>70</v>
      </c>
      <c r="E29" s="22" t="s">
        <v>71</v>
      </c>
      <c r="F29" s="22" t="s">
        <v>72</v>
      </c>
      <c r="G29" s="22" t="s">
        <v>73</v>
      </c>
      <c r="H29" s="21" t="s">
        <v>165</v>
      </c>
      <c r="I29" s="21" t="s">
        <v>166</v>
      </c>
      <c r="J29" s="21" t="s">
        <v>167</v>
      </c>
      <c r="K29" s="21" t="s">
        <v>168</v>
      </c>
      <c r="L29" s="21" t="s">
        <v>169</v>
      </c>
      <c r="M29" s="22" t="s">
        <v>98</v>
      </c>
      <c r="N29" s="22" t="s">
        <v>99</v>
      </c>
      <c r="O29" s="22" t="s">
        <v>100</v>
      </c>
      <c r="P29" s="22" t="s">
        <v>101</v>
      </c>
      <c r="Q29" s="22" t="s">
        <v>102</v>
      </c>
      <c r="R29" s="21" t="s">
        <v>74</v>
      </c>
      <c r="S29" s="22" t="s">
        <v>79</v>
      </c>
      <c r="T29" s="22" t="s">
        <v>75</v>
      </c>
      <c r="U29" s="22" t="s">
        <v>80</v>
      </c>
      <c r="V29" s="22" t="s">
        <v>81</v>
      </c>
      <c r="W29" s="22" t="s">
        <v>82</v>
      </c>
      <c r="X29" s="22" t="s">
        <v>83</v>
      </c>
      <c r="Y29" s="22" t="s">
        <v>84</v>
      </c>
      <c r="Z29" s="22" t="s">
        <v>85</v>
      </c>
      <c r="AA29" s="22" t="s">
        <v>86</v>
      </c>
      <c r="AB29" s="23" t="s">
        <v>87</v>
      </c>
      <c r="AC29" s="8"/>
    </row>
    <row r="30" spans="1:29">
      <c r="A30" s="405" t="s">
        <v>105</v>
      </c>
      <c r="B30" s="5" t="s">
        <v>55</v>
      </c>
      <c r="C30" s="144">
        <v>0</v>
      </c>
      <c r="D30" s="10">
        <v>15</v>
      </c>
      <c r="E30" s="10">
        <v>26</v>
      </c>
      <c r="F30" s="10">
        <v>28</v>
      </c>
      <c r="G30" s="10">
        <v>34</v>
      </c>
      <c r="H30" s="13">
        <v>10.1</v>
      </c>
      <c r="I30" s="13">
        <v>4.2</v>
      </c>
      <c r="J30" s="13">
        <v>7.3</v>
      </c>
      <c r="K30" s="13">
        <v>4.2</v>
      </c>
      <c r="L30" s="13">
        <v>7.3</v>
      </c>
      <c r="M30" s="10">
        <v>153</v>
      </c>
      <c r="N30" s="10">
        <v>176</v>
      </c>
      <c r="O30" s="10">
        <v>239</v>
      </c>
      <c r="P30" s="10">
        <v>230</v>
      </c>
      <c r="Q30" s="10">
        <v>246</v>
      </c>
      <c r="R30" s="9">
        <v>9</v>
      </c>
      <c r="S30" s="10">
        <v>4</v>
      </c>
      <c r="T30" s="10">
        <v>0</v>
      </c>
      <c r="U30" s="10">
        <v>2</v>
      </c>
      <c r="V30" s="10">
        <v>0</v>
      </c>
      <c r="W30" s="10">
        <v>4</v>
      </c>
      <c r="X30" s="10">
        <v>0</v>
      </c>
      <c r="Y30" s="10">
        <v>4</v>
      </c>
      <c r="Z30" s="10">
        <v>0</v>
      </c>
      <c r="AA30" s="10">
        <v>4</v>
      </c>
      <c r="AB30" s="11">
        <v>1</v>
      </c>
    </row>
    <row r="31" spans="1:29">
      <c r="A31" s="406"/>
      <c r="B31" s="6" t="s">
        <v>56</v>
      </c>
      <c r="C31" s="145">
        <v>7</v>
      </c>
      <c r="D31" s="14">
        <v>16</v>
      </c>
      <c r="E31" s="14">
        <v>20</v>
      </c>
      <c r="F31" s="14">
        <v>14</v>
      </c>
      <c r="G31" s="14">
        <v>32</v>
      </c>
      <c r="H31" s="13">
        <v>3.5</v>
      </c>
      <c r="I31" s="13">
        <v>5.6</v>
      </c>
      <c r="J31" s="13">
        <v>7.7</v>
      </c>
      <c r="K31" s="13">
        <v>7.1</v>
      </c>
      <c r="L31" s="13">
        <v>8.1</v>
      </c>
      <c r="M31" s="14">
        <v>212</v>
      </c>
      <c r="N31" s="14">
        <v>221</v>
      </c>
      <c r="O31" s="14">
        <v>223</v>
      </c>
      <c r="P31" s="14">
        <v>181</v>
      </c>
      <c r="Q31" s="14">
        <v>261</v>
      </c>
      <c r="R31" s="13">
        <v>7</v>
      </c>
      <c r="S31" s="14">
        <v>2</v>
      </c>
      <c r="T31" s="14">
        <v>0</v>
      </c>
      <c r="U31" s="14">
        <v>3</v>
      </c>
      <c r="V31" s="14">
        <v>2</v>
      </c>
      <c r="W31" s="14">
        <v>4</v>
      </c>
      <c r="X31" s="14">
        <v>0</v>
      </c>
      <c r="Y31" s="14">
        <v>4</v>
      </c>
      <c r="Z31" s="14">
        <v>0</v>
      </c>
      <c r="AA31" s="14">
        <v>1</v>
      </c>
      <c r="AB31" s="15">
        <v>1</v>
      </c>
    </row>
    <row r="32" spans="1:29">
      <c r="A32" s="406"/>
      <c r="B32" s="6" t="s">
        <v>57</v>
      </c>
      <c r="C32" s="145">
        <v>12</v>
      </c>
      <c r="D32" s="14">
        <v>24</v>
      </c>
      <c r="E32" s="14">
        <v>19</v>
      </c>
      <c r="F32" s="14">
        <v>21</v>
      </c>
      <c r="G32" s="14">
        <v>29</v>
      </c>
      <c r="H32" s="13">
        <v>8.6999999999999993</v>
      </c>
      <c r="I32" s="13">
        <v>7.7</v>
      </c>
      <c r="J32" s="13">
        <v>8.3000000000000007</v>
      </c>
      <c r="K32" s="13">
        <v>7.8</v>
      </c>
      <c r="L32" s="13">
        <v>6.9</v>
      </c>
      <c r="M32" s="14">
        <v>201</v>
      </c>
      <c r="N32" s="14">
        <v>274</v>
      </c>
      <c r="O32" s="14">
        <v>228</v>
      </c>
      <c r="P32" s="14">
        <v>320</v>
      </c>
      <c r="Q32" s="14">
        <v>313</v>
      </c>
      <c r="R32" s="13">
        <v>8</v>
      </c>
      <c r="S32" s="14">
        <v>2</v>
      </c>
      <c r="T32" s="14">
        <v>0</v>
      </c>
      <c r="U32" s="14">
        <v>4</v>
      </c>
      <c r="V32" s="14">
        <v>0</v>
      </c>
      <c r="W32" s="14">
        <v>4</v>
      </c>
      <c r="X32" s="14">
        <v>0</v>
      </c>
      <c r="Y32" s="14">
        <v>3</v>
      </c>
      <c r="Z32" s="14">
        <v>1</v>
      </c>
      <c r="AA32" s="14">
        <v>3</v>
      </c>
      <c r="AB32" s="15">
        <v>1</v>
      </c>
    </row>
    <row r="33" spans="1:28" s="1" customFormat="1">
      <c r="A33" s="406"/>
      <c r="B33" s="6" t="s">
        <v>58</v>
      </c>
      <c r="C33" s="145">
        <v>2</v>
      </c>
      <c r="D33" s="14">
        <v>23</v>
      </c>
      <c r="E33" s="14">
        <v>28</v>
      </c>
      <c r="F33" s="14">
        <v>40</v>
      </c>
      <c r="G33" s="14">
        <v>37</v>
      </c>
      <c r="H33" s="13">
        <v>9.1999999999999993</v>
      </c>
      <c r="I33" s="13">
        <v>6.1</v>
      </c>
      <c r="J33" s="13">
        <v>8.4</v>
      </c>
      <c r="K33" s="13">
        <v>6.4</v>
      </c>
      <c r="L33" s="13">
        <v>8.3000000000000007</v>
      </c>
      <c r="M33" s="14">
        <v>61</v>
      </c>
      <c r="N33" s="14">
        <v>138</v>
      </c>
      <c r="O33" s="14">
        <v>218</v>
      </c>
      <c r="P33" s="14">
        <v>331</v>
      </c>
      <c r="Q33" s="14">
        <v>234</v>
      </c>
      <c r="R33" s="13">
        <v>9</v>
      </c>
      <c r="S33" s="14">
        <v>4</v>
      </c>
      <c r="T33" s="14">
        <v>1</v>
      </c>
      <c r="U33" s="14">
        <v>4</v>
      </c>
      <c r="V33" s="14">
        <v>1</v>
      </c>
      <c r="W33" s="14">
        <v>4</v>
      </c>
      <c r="X33" s="14">
        <v>1</v>
      </c>
      <c r="Y33" s="14">
        <v>4</v>
      </c>
      <c r="Z33" s="14">
        <v>0</v>
      </c>
      <c r="AA33" s="14">
        <v>4</v>
      </c>
      <c r="AB33" s="15">
        <v>0</v>
      </c>
    </row>
    <row r="34" spans="1:28" s="1" customFormat="1">
      <c r="A34" s="406"/>
      <c r="B34" s="6" t="s">
        <v>59</v>
      </c>
      <c r="C34" s="145">
        <v>18</v>
      </c>
      <c r="D34" s="14">
        <v>4</v>
      </c>
      <c r="E34" s="14">
        <v>31</v>
      </c>
      <c r="F34" s="14">
        <v>37</v>
      </c>
      <c r="G34" s="14">
        <v>20</v>
      </c>
      <c r="H34" s="13">
        <v>6.5</v>
      </c>
      <c r="I34" s="13">
        <v>7.3</v>
      </c>
      <c r="J34" s="13">
        <v>9.1</v>
      </c>
      <c r="K34" s="13">
        <v>6.7</v>
      </c>
      <c r="L34" s="13">
        <v>7.2</v>
      </c>
      <c r="M34" s="14">
        <v>238</v>
      </c>
      <c r="N34" s="14">
        <v>31</v>
      </c>
      <c r="O34" s="14">
        <v>338</v>
      </c>
      <c r="P34" s="14">
        <v>194</v>
      </c>
      <c r="Q34" s="14">
        <v>238</v>
      </c>
      <c r="R34" s="13">
        <v>8</v>
      </c>
      <c r="S34" s="14">
        <v>4</v>
      </c>
      <c r="T34" s="14">
        <v>2</v>
      </c>
      <c r="U34" s="14">
        <v>4</v>
      </c>
      <c r="V34" s="14">
        <v>1</v>
      </c>
      <c r="W34" s="14">
        <v>4</v>
      </c>
      <c r="X34" s="14">
        <v>2</v>
      </c>
      <c r="Y34" s="14">
        <v>4</v>
      </c>
      <c r="Z34" s="14">
        <v>0</v>
      </c>
      <c r="AA34" s="14">
        <v>4</v>
      </c>
      <c r="AB34" s="15">
        <v>2</v>
      </c>
    </row>
    <row r="35" spans="1:28" s="1" customFormat="1">
      <c r="A35" s="406"/>
      <c r="B35" s="6" t="s">
        <v>60</v>
      </c>
      <c r="C35" s="145">
        <v>14</v>
      </c>
      <c r="D35" s="14">
        <v>20</v>
      </c>
      <c r="E35" s="14">
        <v>22</v>
      </c>
      <c r="F35" s="14">
        <v>56</v>
      </c>
      <c r="G35" s="14">
        <v>52</v>
      </c>
      <c r="H35" s="13">
        <v>6.4</v>
      </c>
      <c r="I35" s="13">
        <v>8</v>
      </c>
      <c r="J35" s="13">
        <v>8.1999999999999993</v>
      </c>
      <c r="K35" s="13">
        <v>8.1</v>
      </c>
      <c r="L35" s="13">
        <v>6.4</v>
      </c>
      <c r="M35" s="14">
        <v>193</v>
      </c>
      <c r="N35" s="14">
        <v>375</v>
      </c>
      <c r="O35" s="14">
        <v>216</v>
      </c>
      <c r="P35" s="14">
        <v>236</v>
      </c>
      <c r="Q35" s="14">
        <v>205</v>
      </c>
      <c r="R35" s="13">
        <v>7</v>
      </c>
      <c r="S35" s="14">
        <v>4</v>
      </c>
      <c r="T35" s="14">
        <v>1</v>
      </c>
      <c r="U35" s="14">
        <v>2</v>
      </c>
      <c r="V35" s="14">
        <v>0</v>
      </c>
      <c r="W35" s="14">
        <v>2</v>
      </c>
      <c r="X35" s="14">
        <v>0</v>
      </c>
      <c r="Y35" s="14">
        <v>1</v>
      </c>
      <c r="Z35" s="14">
        <v>0</v>
      </c>
      <c r="AA35" s="14">
        <v>2</v>
      </c>
      <c r="AB35" s="15">
        <v>0</v>
      </c>
    </row>
    <row r="36" spans="1:28" s="1" customFormat="1">
      <c r="A36" s="406"/>
      <c r="B36" s="6" t="s">
        <v>61</v>
      </c>
      <c r="C36" s="145">
        <v>22</v>
      </c>
      <c r="D36" s="14">
        <v>31</v>
      </c>
      <c r="E36" s="14">
        <v>26</v>
      </c>
      <c r="F36" s="14">
        <v>27</v>
      </c>
      <c r="G36" s="14">
        <v>40</v>
      </c>
      <c r="H36" s="13">
        <v>4</v>
      </c>
      <c r="I36" s="13">
        <v>3.2</v>
      </c>
      <c r="J36" s="13">
        <v>4.7</v>
      </c>
      <c r="K36" s="13">
        <v>5.8</v>
      </c>
      <c r="L36" s="13">
        <v>6.5</v>
      </c>
      <c r="M36" s="14">
        <v>66</v>
      </c>
      <c r="N36" s="14">
        <v>326</v>
      </c>
      <c r="O36" s="14">
        <v>217</v>
      </c>
      <c r="P36" s="14">
        <v>316</v>
      </c>
      <c r="Q36" s="14">
        <v>364</v>
      </c>
      <c r="R36" s="13">
        <v>9</v>
      </c>
      <c r="S36" s="14">
        <v>4</v>
      </c>
      <c r="T36" s="14">
        <v>0</v>
      </c>
      <c r="U36" s="14">
        <v>3</v>
      </c>
      <c r="V36" s="14">
        <v>0</v>
      </c>
      <c r="W36" s="14">
        <v>2</v>
      </c>
      <c r="X36" s="14">
        <v>0</v>
      </c>
      <c r="Y36" s="14">
        <v>4</v>
      </c>
      <c r="Z36" s="14">
        <v>0</v>
      </c>
      <c r="AA36" s="14">
        <v>2</v>
      </c>
      <c r="AB36" s="15">
        <v>0</v>
      </c>
    </row>
    <row r="37" spans="1:28" s="1" customFormat="1">
      <c r="A37" s="406"/>
      <c r="B37" s="6" t="s">
        <v>62</v>
      </c>
      <c r="C37" s="145">
        <v>17</v>
      </c>
      <c r="D37" s="14">
        <v>11</v>
      </c>
      <c r="E37" s="14">
        <v>16</v>
      </c>
      <c r="F37" s="14">
        <v>19</v>
      </c>
      <c r="G37" s="14">
        <v>23</v>
      </c>
      <c r="H37" s="13">
        <v>8.8000000000000007</v>
      </c>
      <c r="I37" s="13">
        <v>5.7</v>
      </c>
      <c r="J37" s="13">
        <v>8.1999999999999993</v>
      </c>
      <c r="K37" s="13">
        <v>6.7</v>
      </c>
      <c r="L37" s="13">
        <v>7.4</v>
      </c>
      <c r="M37" s="14">
        <v>167</v>
      </c>
      <c r="N37" s="14">
        <v>150</v>
      </c>
      <c r="O37" s="14">
        <v>204</v>
      </c>
      <c r="P37" s="14">
        <v>283</v>
      </c>
      <c r="Q37" s="14">
        <v>378</v>
      </c>
      <c r="R37" s="13">
        <v>8</v>
      </c>
      <c r="S37" s="14">
        <v>4</v>
      </c>
      <c r="T37" s="14">
        <v>1</v>
      </c>
      <c r="U37" s="14">
        <v>3</v>
      </c>
      <c r="V37" s="14">
        <v>0</v>
      </c>
      <c r="W37" s="14">
        <v>3</v>
      </c>
      <c r="X37" s="14">
        <v>2</v>
      </c>
      <c r="Y37" s="14">
        <v>4</v>
      </c>
      <c r="Z37" s="14">
        <v>1</v>
      </c>
      <c r="AA37" s="14">
        <v>4</v>
      </c>
      <c r="AB37" s="15">
        <v>1</v>
      </c>
    </row>
    <row r="38" spans="1:28" s="1" customFormat="1">
      <c r="A38" s="406"/>
      <c r="B38" s="6" t="s">
        <v>63</v>
      </c>
      <c r="C38" s="145">
        <v>0</v>
      </c>
      <c r="D38" s="14">
        <v>16</v>
      </c>
      <c r="E38" s="14">
        <v>30</v>
      </c>
      <c r="F38" s="14">
        <v>27</v>
      </c>
      <c r="G38" s="14">
        <v>39</v>
      </c>
      <c r="H38" s="13">
        <v>6.5</v>
      </c>
      <c r="I38" s="13">
        <v>2.2000000000000002</v>
      </c>
      <c r="J38" s="13">
        <v>11.7</v>
      </c>
      <c r="K38" s="13">
        <v>7.8</v>
      </c>
      <c r="L38" s="13">
        <v>6.6</v>
      </c>
      <c r="M38" s="14">
        <v>289</v>
      </c>
      <c r="N38" s="14">
        <v>367</v>
      </c>
      <c r="O38" s="14">
        <v>405</v>
      </c>
      <c r="P38" s="14">
        <v>189</v>
      </c>
      <c r="Q38" s="14">
        <v>133</v>
      </c>
      <c r="R38" s="13">
        <v>9</v>
      </c>
      <c r="S38" s="14">
        <v>3</v>
      </c>
      <c r="T38" s="14">
        <v>1</v>
      </c>
      <c r="U38" s="14">
        <v>4</v>
      </c>
      <c r="V38" s="14">
        <v>2</v>
      </c>
      <c r="W38" s="14">
        <v>4</v>
      </c>
      <c r="X38" s="14">
        <v>1</v>
      </c>
      <c r="Y38" s="14">
        <v>3</v>
      </c>
      <c r="Z38" s="14">
        <v>1</v>
      </c>
      <c r="AA38" s="14">
        <v>0</v>
      </c>
      <c r="AB38" s="15">
        <v>0</v>
      </c>
    </row>
    <row r="39" spans="1:28" s="1" customFormat="1">
      <c r="A39" s="406"/>
      <c r="B39" s="6" t="s">
        <v>64</v>
      </c>
      <c r="C39" s="145">
        <v>11</v>
      </c>
      <c r="D39" s="14">
        <v>27</v>
      </c>
      <c r="E39" s="14">
        <v>7</v>
      </c>
      <c r="F39" s="14">
        <v>45</v>
      </c>
      <c r="G39" s="14">
        <v>20</v>
      </c>
      <c r="H39" s="13">
        <v>6.5</v>
      </c>
      <c r="I39" s="13">
        <v>8.1999999999999993</v>
      </c>
      <c r="J39" s="13">
        <v>6.9</v>
      </c>
      <c r="K39" s="13">
        <v>5.4</v>
      </c>
      <c r="L39" s="13">
        <v>8.1</v>
      </c>
      <c r="M39" s="14">
        <v>297</v>
      </c>
      <c r="N39" s="14">
        <v>253</v>
      </c>
      <c r="O39" s="14">
        <v>199</v>
      </c>
      <c r="P39" s="14">
        <v>405</v>
      </c>
      <c r="Q39" s="14">
        <v>302</v>
      </c>
      <c r="R39" s="13">
        <v>7</v>
      </c>
      <c r="S39" s="14">
        <v>1</v>
      </c>
      <c r="T39" s="14">
        <v>0</v>
      </c>
      <c r="U39" s="14">
        <v>4</v>
      </c>
      <c r="V39" s="14">
        <v>2</v>
      </c>
      <c r="W39" s="14">
        <v>4</v>
      </c>
      <c r="X39" s="14">
        <v>2</v>
      </c>
      <c r="Y39" s="14">
        <v>4</v>
      </c>
      <c r="Z39" s="14">
        <v>0</v>
      </c>
      <c r="AA39" s="14">
        <v>2</v>
      </c>
      <c r="AB39" s="15">
        <v>2</v>
      </c>
    </row>
    <row r="40" spans="1:28" s="1" customFormat="1">
      <c r="A40" s="406"/>
      <c r="B40" s="6" t="s">
        <v>65</v>
      </c>
      <c r="C40" s="145">
        <v>6</v>
      </c>
      <c r="D40" s="14">
        <v>25</v>
      </c>
      <c r="E40" s="14">
        <v>6</v>
      </c>
      <c r="F40" s="14">
        <v>15</v>
      </c>
      <c r="G40" s="14">
        <v>15</v>
      </c>
      <c r="H40" s="13">
        <v>7.9</v>
      </c>
      <c r="I40" s="13">
        <v>6.8</v>
      </c>
      <c r="J40" s="13">
        <v>8.6</v>
      </c>
      <c r="K40" s="13">
        <v>6.3</v>
      </c>
      <c r="L40" s="13">
        <v>9</v>
      </c>
      <c r="M40" s="14">
        <v>385</v>
      </c>
      <c r="N40" s="14">
        <v>288</v>
      </c>
      <c r="O40" s="14">
        <v>215</v>
      </c>
      <c r="P40" s="14">
        <v>229</v>
      </c>
      <c r="Q40" s="14">
        <v>260</v>
      </c>
      <c r="R40" s="13">
        <v>9</v>
      </c>
      <c r="S40" s="14">
        <v>4</v>
      </c>
      <c r="T40" s="14">
        <v>3</v>
      </c>
      <c r="U40" s="14">
        <v>3</v>
      </c>
      <c r="V40" s="14">
        <v>0</v>
      </c>
      <c r="W40" s="14">
        <v>4</v>
      </c>
      <c r="X40" s="14">
        <v>1</v>
      </c>
      <c r="Y40" s="14">
        <v>3</v>
      </c>
      <c r="Z40" s="14">
        <v>0</v>
      </c>
      <c r="AA40" s="14">
        <v>4</v>
      </c>
      <c r="AB40" s="15">
        <v>0</v>
      </c>
    </row>
    <row r="41" spans="1:28" s="1" customFormat="1">
      <c r="A41" s="406"/>
      <c r="B41" s="6" t="s">
        <v>66</v>
      </c>
      <c r="C41" s="145">
        <v>1</v>
      </c>
      <c r="D41" s="14">
        <v>15</v>
      </c>
      <c r="E41" s="14">
        <v>24</v>
      </c>
      <c r="F41" s="14">
        <v>24</v>
      </c>
      <c r="G41" s="14">
        <v>27</v>
      </c>
      <c r="H41" s="13">
        <v>6.3</v>
      </c>
      <c r="I41" s="13">
        <v>4.7</v>
      </c>
      <c r="J41" s="13">
        <v>8.6999999999999993</v>
      </c>
      <c r="K41" s="13">
        <v>7.9</v>
      </c>
      <c r="L41" s="13">
        <v>5.9</v>
      </c>
      <c r="M41" s="14">
        <v>462</v>
      </c>
      <c r="N41" s="14">
        <v>273</v>
      </c>
      <c r="O41" s="14">
        <v>237</v>
      </c>
      <c r="P41" s="14">
        <v>230</v>
      </c>
      <c r="Q41" s="14">
        <v>341</v>
      </c>
      <c r="R41" s="13">
        <v>9</v>
      </c>
      <c r="S41" s="14">
        <v>4</v>
      </c>
      <c r="T41" s="14">
        <v>0</v>
      </c>
      <c r="U41" s="14">
        <v>3</v>
      </c>
      <c r="V41" s="14">
        <v>0</v>
      </c>
      <c r="W41" s="14">
        <v>2</v>
      </c>
      <c r="X41" s="14">
        <v>0</v>
      </c>
      <c r="Y41" s="14">
        <v>4</v>
      </c>
      <c r="Z41" s="14">
        <v>0</v>
      </c>
      <c r="AA41" s="14">
        <v>2</v>
      </c>
      <c r="AB41" s="15">
        <v>0</v>
      </c>
    </row>
    <row r="42" spans="1:28" s="1" customFormat="1">
      <c r="A42" s="406"/>
      <c r="B42" s="6" t="s">
        <v>67</v>
      </c>
      <c r="C42" s="145">
        <v>5</v>
      </c>
      <c r="D42" s="14">
        <v>11</v>
      </c>
      <c r="E42" s="14">
        <v>5</v>
      </c>
      <c r="F42" s="14">
        <v>41</v>
      </c>
      <c r="G42" s="14">
        <v>51</v>
      </c>
      <c r="H42" s="13">
        <v>7.4</v>
      </c>
      <c r="I42" s="13">
        <v>4.8</v>
      </c>
      <c r="J42" s="13">
        <v>5.2</v>
      </c>
      <c r="K42" s="13">
        <v>7.2</v>
      </c>
      <c r="L42" s="13">
        <v>7.5</v>
      </c>
      <c r="M42" s="14">
        <v>266</v>
      </c>
      <c r="N42" s="14">
        <v>242</v>
      </c>
      <c r="O42" s="14">
        <v>237</v>
      </c>
      <c r="P42" s="14">
        <v>253</v>
      </c>
      <c r="Q42" s="14">
        <v>328</v>
      </c>
      <c r="R42" s="13">
        <v>10</v>
      </c>
      <c r="S42" s="14">
        <v>4</v>
      </c>
      <c r="T42" s="14">
        <v>1</v>
      </c>
      <c r="U42" s="14">
        <v>3</v>
      </c>
      <c r="V42" s="14">
        <v>0</v>
      </c>
      <c r="W42" s="14">
        <v>3</v>
      </c>
      <c r="X42" s="14">
        <v>2</v>
      </c>
      <c r="Y42" s="14">
        <v>4</v>
      </c>
      <c r="Z42" s="14">
        <v>1</v>
      </c>
      <c r="AA42" s="14">
        <v>4</v>
      </c>
      <c r="AB42" s="15">
        <v>1</v>
      </c>
    </row>
    <row r="43" spans="1:28" s="1" customFormat="1">
      <c r="A43" s="407"/>
      <c r="B43" s="7" t="s">
        <v>68</v>
      </c>
      <c r="C43" s="40">
        <v>9</v>
      </c>
      <c r="D43" s="17">
        <v>16</v>
      </c>
      <c r="E43" s="17">
        <v>14</v>
      </c>
      <c r="F43" s="17">
        <v>31</v>
      </c>
      <c r="G43" s="17">
        <v>29</v>
      </c>
      <c r="H43" s="16">
        <v>7.2</v>
      </c>
      <c r="I43" s="16">
        <v>6.9</v>
      </c>
      <c r="J43" s="16">
        <v>7.6</v>
      </c>
      <c r="K43" s="16">
        <v>6.4</v>
      </c>
      <c r="L43" s="16">
        <v>10</v>
      </c>
      <c r="M43" s="17">
        <v>15</v>
      </c>
      <c r="N43" s="17">
        <v>323</v>
      </c>
      <c r="O43" s="17">
        <v>237</v>
      </c>
      <c r="P43" s="17">
        <v>220</v>
      </c>
      <c r="Q43" s="17">
        <v>258</v>
      </c>
      <c r="R43" s="16">
        <v>10</v>
      </c>
      <c r="S43" s="17">
        <v>3</v>
      </c>
      <c r="T43" s="17">
        <v>1</v>
      </c>
      <c r="U43" s="17">
        <v>4</v>
      </c>
      <c r="V43" s="17">
        <v>2</v>
      </c>
      <c r="W43" s="17">
        <v>4</v>
      </c>
      <c r="X43" s="17">
        <v>1</v>
      </c>
      <c r="Y43" s="17">
        <v>3</v>
      </c>
      <c r="Z43" s="17">
        <v>1</v>
      </c>
      <c r="AA43" s="17">
        <v>0</v>
      </c>
      <c r="AB43" s="18">
        <v>0</v>
      </c>
    </row>
  </sheetData>
  <mergeCells count="3">
    <mergeCell ref="A2:A12"/>
    <mergeCell ref="A15:A26"/>
    <mergeCell ref="A30:A4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187"/>
  <sheetViews>
    <sheetView topLeftCell="P78" zoomScale="75" zoomScaleNormal="75" zoomScalePageLayoutView="75" workbookViewId="0">
      <selection activeCell="U104" sqref="U104"/>
    </sheetView>
  </sheetViews>
  <sheetFormatPr defaultColWidth="10.875" defaultRowHeight="15.75"/>
  <cols>
    <col min="1" max="1" width="10.875" style="3"/>
    <col min="2" max="2" width="10.875" style="4"/>
    <col min="3" max="9" width="10.875" style="47"/>
    <col min="10" max="14" width="10.875" style="56"/>
    <col min="15" max="16" width="10.875" style="47"/>
    <col min="17" max="17" width="12.125" style="47" bestFit="1" customWidth="1"/>
    <col min="18" max="23" width="10.875" style="47"/>
    <col min="24" max="24" width="10.875" style="56"/>
    <col min="25" max="25" width="10.875" style="47"/>
    <col min="26" max="26" width="18.5" style="47" bestFit="1" customWidth="1"/>
    <col min="27" max="27" width="14.125" style="47" bestFit="1" customWidth="1"/>
    <col min="28" max="37" width="10.875" style="47"/>
    <col min="38" max="16384" width="10.875" style="3"/>
  </cols>
  <sheetData>
    <row r="1" spans="1:37" s="319" customFormat="1">
      <c r="B1" s="320" t="s">
        <v>0</v>
      </c>
      <c r="C1" s="90" t="s">
        <v>12</v>
      </c>
      <c r="D1" s="90" t="s">
        <v>13</v>
      </c>
      <c r="E1" s="90" t="s">
        <v>14</v>
      </c>
      <c r="F1" s="90" t="s">
        <v>15</v>
      </c>
      <c r="G1" s="90" t="s">
        <v>16</v>
      </c>
      <c r="H1" s="90"/>
      <c r="I1" s="90"/>
      <c r="J1" s="306" t="s">
        <v>155</v>
      </c>
      <c r="K1" s="306" t="s">
        <v>156</v>
      </c>
      <c r="L1" s="306" t="s">
        <v>157</v>
      </c>
      <c r="M1" s="306" t="s">
        <v>158</v>
      </c>
      <c r="N1" s="306" t="s">
        <v>159</v>
      </c>
      <c r="O1" s="330"/>
      <c r="P1" s="90"/>
      <c r="Q1" s="90" t="s">
        <v>88</v>
      </c>
      <c r="R1" s="90" t="s">
        <v>89</v>
      </c>
      <c r="S1" s="90" t="s">
        <v>90</v>
      </c>
      <c r="T1" s="90" t="s">
        <v>91</v>
      </c>
      <c r="U1" s="90" t="s">
        <v>92</v>
      </c>
      <c r="V1" s="90"/>
      <c r="W1" s="90"/>
      <c r="X1" s="313" t="s">
        <v>27</v>
      </c>
      <c r="Y1" s="90"/>
      <c r="Z1" s="90"/>
      <c r="AA1" s="90" t="s">
        <v>17</v>
      </c>
      <c r="AB1" s="90" t="s">
        <v>18</v>
      </c>
      <c r="AC1" s="90" t="s">
        <v>19</v>
      </c>
      <c r="AD1" s="90" t="s">
        <v>20</v>
      </c>
      <c r="AE1" s="90" t="s">
        <v>21</v>
      </c>
      <c r="AF1" s="90" t="s">
        <v>22</v>
      </c>
      <c r="AG1" s="90" t="s">
        <v>23</v>
      </c>
      <c r="AH1" s="90" t="s">
        <v>24</v>
      </c>
      <c r="AI1" s="90" t="s">
        <v>25</v>
      </c>
      <c r="AJ1" s="91" t="s">
        <v>26</v>
      </c>
      <c r="AK1" s="307"/>
    </row>
    <row r="2" spans="1:37" s="324" customFormat="1">
      <c r="A2" s="408" t="s">
        <v>103</v>
      </c>
      <c r="B2" s="322" t="s">
        <v>1</v>
      </c>
      <c r="C2" s="92">
        <v>55</v>
      </c>
      <c r="D2" s="93">
        <v>28</v>
      </c>
      <c r="E2" s="93">
        <v>34</v>
      </c>
      <c r="F2" s="93">
        <v>48</v>
      </c>
      <c r="G2" s="93">
        <v>59</v>
      </c>
      <c r="H2" s="93"/>
      <c r="I2" s="93"/>
      <c r="J2" s="230">
        <v>5.4</v>
      </c>
      <c r="K2" s="230">
        <v>1.3</v>
      </c>
      <c r="L2" s="230">
        <v>8.1999999999999993</v>
      </c>
      <c r="M2" s="230">
        <v>5.6</v>
      </c>
      <c r="N2" s="230">
        <v>6.5</v>
      </c>
      <c r="O2" s="37"/>
      <c r="P2" s="93"/>
      <c r="Q2" s="93">
        <v>334</v>
      </c>
      <c r="R2" s="93">
        <v>318</v>
      </c>
      <c r="S2" s="93">
        <v>171</v>
      </c>
      <c r="T2" s="93">
        <v>195</v>
      </c>
      <c r="U2" s="93">
        <v>399</v>
      </c>
      <c r="V2" s="93"/>
      <c r="W2" s="93"/>
      <c r="X2" s="331">
        <v>5</v>
      </c>
      <c r="Y2" s="93"/>
      <c r="Z2" s="93"/>
      <c r="AA2" s="93">
        <v>1</v>
      </c>
      <c r="AB2" s="93">
        <v>0</v>
      </c>
      <c r="AC2" s="93">
        <v>2</v>
      </c>
      <c r="AD2" s="93">
        <v>0</v>
      </c>
      <c r="AE2" s="93">
        <v>1</v>
      </c>
      <c r="AF2" s="93">
        <v>2</v>
      </c>
      <c r="AG2" s="93">
        <v>1</v>
      </c>
      <c r="AH2" s="93">
        <v>0</v>
      </c>
      <c r="AI2" s="93">
        <v>1</v>
      </c>
      <c r="AJ2" s="94">
        <v>0</v>
      </c>
      <c r="AK2" s="95"/>
    </row>
    <row r="3" spans="1:37" s="324" customFormat="1">
      <c r="A3" s="409"/>
      <c r="B3" s="325" t="s">
        <v>2</v>
      </c>
      <c r="C3" s="38">
        <v>71</v>
      </c>
      <c r="D3" s="37">
        <v>12</v>
      </c>
      <c r="E3" s="37">
        <v>9</v>
      </c>
      <c r="F3" s="37">
        <v>24</v>
      </c>
      <c r="G3" s="37">
        <v>59</v>
      </c>
      <c r="H3" s="37"/>
      <c r="I3" s="37"/>
      <c r="J3" s="230">
        <v>4.9000000000000004</v>
      </c>
      <c r="K3" s="230">
        <v>9.6</v>
      </c>
      <c r="L3" s="230">
        <v>8.5</v>
      </c>
      <c r="M3" s="230">
        <v>5.8</v>
      </c>
      <c r="N3" s="230">
        <v>4.9000000000000004</v>
      </c>
      <c r="O3" s="37"/>
      <c r="P3" s="37"/>
      <c r="Q3" s="37">
        <v>307</v>
      </c>
      <c r="R3" s="37">
        <v>360</v>
      </c>
      <c r="S3" s="37">
        <v>369</v>
      </c>
      <c r="T3" s="37">
        <v>355</v>
      </c>
      <c r="U3" s="37">
        <v>272</v>
      </c>
      <c r="V3" s="37"/>
      <c r="W3" s="37"/>
      <c r="X3" s="230">
        <v>8</v>
      </c>
      <c r="Y3" s="37"/>
      <c r="Z3" s="37"/>
      <c r="AA3" s="37">
        <v>2</v>
      </c>
      <c r="AB3" s="37">
        <v>0</v>
      </c>
      <c r="AC3" s="37">
        <v>1</v>
      </c>
      <c r="AD3" s="37">
        <v>0</v>
      </c>
      <c r="AE3" s="37">
        <v>2</v>
      </c>
      <c r="AF3" s="37">
        <v>0</v>
      </c>
      <c r="AG3" s="37">
        <v>1</v>
      </c>
      <c r="AH3" s="37">
        <v>0</v>
      </c>
      <c r="AI3" s="37">
        <v>2</v>
      </c>
      <c r="AJ3" s="39">
        <v>0</v>
      </c>
      <c r="AK3" s="95"/>
    </row>
    <row r="4" spans="1:37" s="324" customFormat="1">
      <c r="A4" s="409"/>
      <c r="B4" s="325" t="s">
        <v>3</v>
      </c>
      <c r="C4" s="38">
        <v>73</v>
      </c>
      <c r="D4" s="37">
        <v>34</v>
      </c>
      <c r="E4" s="37">
        <v>25</v>
      </c>
      <c r="F4" s="37">
        <v>40</v>
      </c>
      <c r="G4" s="37">
        <v>64</v>
      </c>
      <c r="H4" s="37"/>
      <c r="I4" s="37"/>
      <c r="J4" s="230">
        <v>7.1</v>
      </c>
      <c r="K4" s="230">
        <v>9.4</v>
      </c>
      <c r="L4" s="230">
        <v>5.8</v>
      </c>
      <c r="M4" s="230">
        <v>5.6</v>
      </c>
      <c r="N4" s="230">
        <v>4.3</v>
      </c>
      <c r="O4" s="37"/>
      <c r="P4" s="37"/>
      <c r="Q4" s="37">
        <v>473</v>
      </c>
      <c r="R4" s="37">
        <v>287</v>
      </c>
      <c r="S4" s="37">
        <v>116</v>
      </c>
      <c r="T4" s="37">
        <v>238</v>
      </c>
      <c r="U4" s="37">
        <v>432</v>
      </c>
      <c r="V4" s="37"/>
      <c r="W4" s="37"/>
      <c r="X4" s="230">
        <v>6</v>
      </c>
      <c r="Y4" s="37"/>
      <c r="Z4" s="37"/>
      <c r="AA4" s="37">
        <v>0</v>
      </c>
      <c r="AB4" s="37">
        <v>0</v>
      </c>
      <c r="AC4" s="37">
        <v>1</v>
      </c>
      <c r="AD4" s="37">
        <v>1</v>
      </c>
      <c r="AE4" s="37">
        <v>2</v>
      </c>
      <c r="AF4" s="37">
        <v>0</v>
      </c>
      <c r="AG4" s="37">
        <v>1</v>
      </c>
      <c r="AH4" s="37">
        <v>1</v>
      </c>
      <c r="AI4" s="37">
        <v>0</v>
      </c>
      <c r="AJ4" s="39">
        <v>0</v>
      </c>
      <c r="AK4" s="95"/>
    </row>
    <row r="5" spans="1:37" s="324" customFormat="1">
      <c r="A5" s="409"/>
      <c r="B5" s="325" t="s">
        <v>4</v>
      </c>
      <c r="C5" s="38">
        <v>50</v>
      </c>
      <c r="D5" s="37">
        <v>35</v>
      </c>
      <c r="E5" s="37">
        <v>21</v>
      </c>
      <c r="F5" s="37">
        <v>43</v>
      </c>
      <c r="G5" s="37">
        <v>66</v>
      </c>
      <c r="H5" s="37"/>
      <c r="I5" s="37"/>
      <c r="J5" s="230">
        <v>1</v>
      </c>
      <c r="K5" s="230">
        <v>7.8</v>
      </c>
      <c r="L5" s="230">
        <v>8.1999999999999993</v>
      </c>
      <c r="M5" s="230">
        <v>5.2</v>
      </c>
      <c r="N5" s="230">
        <v>6.1</v>
      </c>
      <c r="O5" s="37"/>
      <c r="P5" s="37"/>
      <c r="Q5" s="37">
        <v>371</v>
      </c>
      <c r="R5" s="37">
        <v>317</v>
      </c>
      <c r="S5" s="37">
        <v>232</v>
      </c>
      <c r="T5" s="37">
        <v>189</v>
      </c>
      <c r="U5" s="37">
        <v>379</v>
      </c>
      <c r="V5" s="37"/>
      <c r="W5" s="37"/>
      <c r="X5" s="230">
        <v>3</v>
      </c>
      <c r="Y5" s="37"/>
      <c r="Z5" s="37"/>
      <c r="AA5" s="37">
        <v>1</v>
      </c>
      <c r="AB5" s="37">
        <v>0</v>
      </c>
      <c r="AC5" s="37">
        <v>3</v>
      </c>
      <c r="AD5" s="37">
        <v>0</v>
      </c>
      <c r="AE5" s="37">
        <v>1</v>
      </c>
      <c r="AF5" s="37">
        <v>0</v>
      </c>
      <c r="AG5" s="37">
        <v>2</v>
      </c>
      <c r="AH5" s="37">
        <v>0</v>
      </c>
      <c r="AI5" s="37">
        <v>0</v>
      </c>
      <c r="AJ5" s="39">
        <v>0</v>
      </c>
      <c r="AK5" s="95"/>
    </row>
    <row r="6" spans="1:37" s="324" customFormat="1">
      <c r="A6" s="409"/>
      <c r="B6" s="325" t="s">
        <v>5</v>
      </c>
      <c r="C6" s="38">
        <v>54</v>
      </c>
      <c r="D6" s="37">
        <v>15</v>
      </c>
      <c r="E6" s="37">
        <v>30</v>
      </c>
      <c r="F6" s="37">
        <v>40</v>
      </c>
      <c r="G6" s="37">
        <v>45</v>
      </c>
      <c r="H6" s="37"/>
      <c r="I6" s="37"/>
      <c r="J6" s="230">
        <v>1.1000000000000001</v>
      </c>
      <c r="K6" s="230">
        <v>6.1</v>
      </c>
      <c r="L6" s="230">
        <v>8.1999999999999993</v>
      </c>
      <c r="M6" s="230">
        <v>5.7</v>
      </c>
      <c r="N6" s="230">
        <v>6.4</v>
      </c>
      <c r="O6" s="37"/>
      <c r="P6" s="37"/>
      <c r="Q6" s="37">
        <v>402</v>
      </c>
      <c r="R6" s="37">
        <v>256</v>
      </c>
      <c r="S6" s="37">
        <v>353</v>
      </c>
      <c r="T6" s="37">
        <v>243</v>
      </c>
      <c r="U6" s="37">
        <v>491</v>
      </c>
      <c r="V6" s="37"/>
      <c r="W6" s="37"/>
      <c r="X6" s="230">
        <v>5</v>
      </c>
      <c r="Y6" s="37"/>
      <c r="Z6" s="37"/>
      <c r="AA6" s="37">
        <v>0</v>
      </c>
      <c r="AB6" s="37">
        <v>0</v>
      </c>
      <c r="AC6" s="37">
        <v>0</v>
      </c>
      <c r="AD6" s="37">
        <v>0</v>
      </c>
      <c r="AE6" s="37">
        <v>1</v>
      </c>
      <c r="AF6" s="37">
        <v>0</v>
      </c>
      <c r="AG6" s="37">
        <v>1</v>
      </c>
      <c r="AH6" s="37">
        <v>0</v>
      </c>
      <c r="AI6" s="37">
        <v>0</v>
      </c>
      <c r="AJ6" s="39">
        <v>0</v>
      </c>
      <c r="AK6" s="95"/>
    </row>
    <row r="7" spans="1:37" s="324" customFormat="1">
      <c r="A7" s="409"/>
      <c r="B7" s="325" t="s">
        <v>6</v>
      </c>
      <c r="C7" s="38">
        <v>55</v>
      </c>
      <c r="D7" s="37">
        <v>21</v>
      </c>
      <c r="E7" s="37">
        <v>25</v>
      </c>
      <c r="F7" s="37">
        <v>28</v>
      </c>
      <c r="G7" s="37">
        <v>58</v>
      </c>
      <c r="H7" s="37"/>
      <c r="I7" s="37"/>
      <c r="J7" s="230">
        <v>2.2000000000000002</v>
      </c>
      <c r="K7" s="230">
        <v>6.5</v>
      </c>
      <c r="L7" s="230">
        <v>7.8</v>
      </c>
      <c r="M7" s="230">
        <v>7.4</v>
      </c>
      <c r="N7" s="230">
        <v>7.4</v>
      </c>
      <c r="O7" s="37"/>
      <c r="P7" s="37"/>
      <c r="Q7" s="37">
        <v>413</v>
      </c>
      <c r="R7" s="37">
        <v>241</v>
      </c>
      <c r="S7" s="37">
        <v>242</v>
      </c>
      <c r="T7" s="37">
        <v>312</v>
      </c>
      <c r="U7" s="37">
        <v>298</v>
      </c>
      <c r="V7" s="37"/>
      <c r="W7" s="37"/>
      <c r="X7" s="230">
        <v>6</v>
      </c>
      <c r="Y7" s="37"/>
      <c r="Z7" s="37"/>
      <c r="AA7" s="37">
        <v>2</v>
      </c>
      <c r="AB7" s="37">
        <v>0</v>
      </c>
      <c r="AC7" s="37">
        <v>2</v>
      </c>
      <c r="AD7" s="37">
        <v>2</v>
      </c>
      <c r="AE7" s="37">
        <v>0</v>
      </c>
      <c r="AF7" s="37">
        <v>0</v>
      </c>
      <c r="AG7" s="37">
        <v>2</v>
      </c>
      <c r="AH7" s="37">
        <v>0</v>
      </c>
      <c r="AI7" s="37">
        <v>1</v>
      </c>
      <c r="AJ7" s="39">
        <v>0</v>
      </c>
      <c r="AK7" s="95"/>
    </row>
    <row r="8" spans="1:37" s="324" customFormat="1">
      <c r="A8" s="409"/>
      <c r="B8" s="325" t="s">
        <v>7</v>
      </c>
      <c r="C8" s="38">
        <v>55</v>
      </c>
      <c r="D8" s="37">
        <v>28</v>
      </c>
      <c r="E8" s="37">
        <v>40</v>
      </c>
      <c r="F8" s="37">
        <v>33</v>
      </c>
      <c r="G8" s="37">
        <v>67</v>
      </c>
      <c r="H8" s="37"/>
      <c r="I8" s="37"/>
      <c r="J8" s="230">
        <v>1.9</v>
      </c>
      <c r="K8" s="230">
        <v>4.2</v>
      </c>
      <c r="L8" s="230">
        <v>6.5</v>
      </c>
      <c r="M8" s="230">
        <v>7</v>
      </c>
      <c r="N8" s="230">
        <v>8</v>
      </c>
      <c r="O8" s="37"/>
      <c r="P8" s="37"/>
      <c r="Q8" s="37">
        <v>224</v>
      </c>
      <c r="R8" s="37">
        <v>222</v>
      </c>
      <c r="S8" s="37">
        <v>370</v>
      </c>
      <c r="T8" s="37">
        <v>205</v>
      </c>
      <c r="U8" s="37">
        <v>358</v>
      </c>
      <c r="V8" s="37"/>
      <c r="W8" s="37"/>
      <c r="X8" s="230">
        <v>5</v>
      </c>
      <c r="Y8" s="37"/>
      <c r="Z8" s="37"/>
      <c r="AA8" s="37">
        <v>1</v>
      </c>
      <c r="AB8" s="37">
        <v>0</v>
      </c>
      <c r="AC8" s="37">
        <v>1</v>
      </c>
      <c r="AD8" s="37">
        <v>0</v>
      </c>
      <c r="AE8" s="37">
        <v>0</v>
      </c>
      <c r="AF8" s="37">
        <v>0</v>
      </c>
      <c r="AG8" s="37">
        <v>1</v>
      </c>
      <c r="AH8" s="37">
        <v>0</v>
      </c>
      <c r="AI8" s="37">
        <v>0</v>
      </c>
      <c r="AJ8" s="39">
        <v>0</v>
      </c>
      <c r="AK8" s="95"/>
    </row>
    <row r="9" spans="1:37" s="324" customFormat="1">
      <c r="A9" s="409"/>
      <c r="B9" s="325" t="s">
        <v>8</v>
      </c>
      <c r="C9" s="38">
        <v>57</v>
      </c>
      <c r="D9" s="37">
        <v>34</v>
      </c>
      <c r="E9" s="37">
        <v>27</v>
      </c>
      <c r="F9" s="37">
        <v>37</v>
      </c>
      <c r="G9" s="37">
        <v>62</v>
      </c>
      <c r="H9" s="37"/>
      <c r="I9" s="37"/>
      <c r="J9" s="230">
        <v>5.3</v>
      </c>
      <c r="K9" s="230">
        <v>6.8</v>
      </c>
      <c r="L9" s="230">
        <v>8.1999999999999993</v>
      </c>
      <c r="M9" s="230">
        <v>6</v>
      </c>
      <c r="N9" s="230">
        <v>4.5999999999999996</v>
      </c>
      <c r="O9" s="37"/>
      <c r="P9" s="37"/>
      <c r="Q9" s="37">
        <v>392</v>
      </c>
      <c r="R9" s="37">
        <v>192</v>
      </c>
      <c r="S9" s="37">
        <v>275</v>
      </c>
      <c r="T9" s="37">
        <v>392</v>
      </c>
      <c r="U9" s="37">
        <v>356</v>
      </c>
      <c r="V9" s="37"/>
      <c r="W9" s="37"/>
      <c r="X9" s="230">
        <v>5</v>
      </c>
      <c r="Y9" s="37"/>
      <c r="Z9" s="37"/>
      <c r="AA9" s="37">
        <v>0</v>
      </c>
      <c r="AB9" s="37">
        <v>0</v>
      </c>
      <c r="AC9" s="37">
        <v>1</v>
      </c>
      <c r="AD9" s="37">
        <v>0</v>
      </c>
      <c r="AE9" s="37">
        <v>1</v>
      </c>
      <c r="AF9" s="37">
        <v>0</v>
      </c>
      <c r="AG9" s="37">
        <v>2</v>
      </c>
      <c r="AH9" s="37">
        <v>0</v>
      </c>
      <c r="AI9" s="37">
        <v>2</v>
      </c>
      <c r="AJ9" s="39">
        <v>0</v>
      </c>
      <c r="AK9" s="95"/>
    </row>
    <row r="10" spans="1:37" s="324" customFormat="1">
      <c r="A10" s="409"/>
      <c r="B10" s="325" t="s">
        <v>9</v>
      </c>
      <c r="C10" s="38">
        <v>50</v>
      </c>
      <c r="D10" s="37">
        <v>40</v>
      </c>
      <c r="E10" s="37">
        <v>19</v>
      </c>
      <c r="F10" s="37">
        <v>28</v>
      </c>
      <c r="G10" s="37">
        <v>70</v>
      </c>
      <c r="H10" s="37"/>
      <c r="I10" s="37"/>
      <c r="J10" s="230">
        <v>0</v>
      </c>
      <c r="K10" s="230">
        <v>9</v>
      </c>
      <c r="L10" s="230">
        <v>9</v>
      </c>
      <c r="M10" s="230">
        <v>5.3</v>
      </c>
      <c r="N10" s="230">
        <v>4.5999999999999996</v>
      </c>
      <c r="O10" s="37"/>
      <c r="P10" s="37"/>
      <c r="Q10" s="37">
        <v>524</v>
      </c>
      <c r="R10" s="37">
        <v>452</v>
      </c>
      <c r="S10" s="37">
        <v>257</v>
      </c>
      <c r="T10" s="37">
        <v>385</v>
      </c>
      <c r="U10" s="37">
        <v>325</v>
      </c>
      <c r="V10" s="37"/>
      <c r="W10" s="37"/>
      <c r="X10" s="230">
        <v>5</v>
      </c>
      <c r="Y10" s="37"/>
      <c r="Z10" s="37"/>
      <c r="AA10" s="37">
        <v>1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2</v>
      </c>
      <c r="AH10" s="37">
        <v>0</v>
      </c>
      <c r="AI10" s="37">
        <v>2</v>
      </c>
      <c r="AJ10" s="39">
        <v>0</v>
      </c>
      <c r="AK10" s="95"/>
    </row>
    <row r="11" spans="1:37" s="324" customFormat="1">
      <c r="A11" s="409"/>
      <c r="B11" s="325" t="s">
        <v>10</v>
      </c>
      <c r="C11" s="38">
        <v>60</v>
      </c>
      <c r="D11" s="37">
        <v>18</v>
      </c>
      <c r="E11" s="37">
        <v>23</v>
      </c>
      <c r="F11" s="37">
        <v>44</v>
      </c>
      <c r="G11" s="37">
        <v>41</v>
      </c>
      <c r="H11" s="37"/>
      <c r="I11" s="37"/>
      <c r="J11" s="230">
        <v>4.5999999999999996</v>
      </c>
      <c r="K11" s="230">
        <v>7.6</v>
      </c>
      <c r="L11" s="230">
        <v>3.8</v>
      </c>
      <c r="M11" s="230">
        <v>7.6</v>
      </c>
      <c r="N11" s="230">
        <v>10</v>
      </c>
      <c r="O11" s="37"/>
      <c r="P11" s="37"/>
      <c r="Q11" s="37">
        <v>396</v>
      </c>
      <c r="R11" s="37">
        <v>218</v>
      </c>
      <c r="S11" s="37">
        <v>253</v>
      </c>
      <c r="T11" s="37">
        <v>291</v>
      </c>
      <c r="U11" s="37">
        <v>324</v>
      </c>
      <c r="V11" s="37"/>
      <c r="W11" s="37"/>
      <c r="X11" s="230">
        <v>5</v>
      </c>
      <c r="Y11" s="37"/>
      <c r="Z11" s="37"/>
      <c r="AA11" s="37">
        <v>1</v>
      </c>
      <c r="AB11" s="37">
        <v>0</v>
      </c>
      <c r="AC11" s="37">
        <v>2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9">
        <v>0</v>
      </c>
      <c r="AK11" s="95"/>
    </row>
    <row r="12" spans="1:37" s="324" customFormat="1">
      <c r="A12" s="410"/>
      <c r="B12" s="327" t="s">
        <v>11</v>
      </c>
      <c r="C12" s="74">
        <v>64</v>
      </c>
      <c r="D12" s="72">
        <v>29</v>
      </c>
      <c r="E12" s="72">
        <v>41</v>
      </c>
      <c r="F12" s="72">
        <v>37</v>
      </c>
      <c r="G12" s="72">
        <v>63</v>
      </c>
      <c r="H12" s="72"/>
      <c r="I12" s="72"/>
      <c r="J12" s="311">
        <v>2.5</v>
      </c>
      <c r="K12" s="311">
        <v>4.5999999999999996</v>
      </c>
      <c r="L12" s="311">
        <v>9.6</v>
      </c>
      <c r="M12" s="311">
        <v>7.4</v>
      </c>
      <c r="N12" s="311">
        <v>7</v>
      </c>
      <c r="O12" s="72"/>
      <c r="P12" s="72"/>
      <c r="Q12" s="72">
        <v>319</v>
      </c>
      <c r="R12" s="72">
        <v>165</v>
      </c>
      <c r="S12" s="72">
        <v>431</v>
      </c>
      <c r="T12" s="72">
        <v>336</v>
      </c>
      <c r="U12" s="72">
        <v>297</v>
      </c>
      <c r="V12" s="72"/>
      <c r="W12" s="72"/>
      <c r="X12" s="311">
        <v>3</v>
      </c>
      <c r="Y12" s="72"/>
      <c r="Z12" s="72"/>
      <c r="AA12" s="72">
        <v>3</v>
      </c>
      <c r="AB12" s="72">
        <v>0</v>
      </c>
      <c r="AC12" s="72">
        <v>1</v>
      </c>
      <c r="AD12" s="72">
        <v>1</v>
      </c>
      <c r="AE12" s="72">
        <v>1</v>
      </c>
      <c r="AF12" s="72">
        <v>0</v>
      </c>
      <c r="AG12" s="72">
        <v>0</v>
      </c>
      <c r="AH12" s="72">
        <v>0</v>
      </c>
      <c r="AI12" s="72">
        <v>0</v>
      </c>
      <c r="AJ12" s="73">
        <v>0</v>
      </c>
      <c r="AK12" s="95"/>
    </row>
    <row r="13" spans="1:37" s="324" customFormat="1">
      <c r="B13" s="329"/>
      <c r="C13" s="95"/>
      <c r="D13" s="95"/>
      <c r="E13" s="95"/>
      <c r="F13" s="95"/>
      <c r="G13" s="95"/>
      <c r="H13" s="95"/>
      <c r="I13" s="95"/>
      <c r="J13" s="230"/>
      <c r="K13" s="230"/>
      <c r="L13" s="230"/>
      <c r="M13" s="230"/>
      <c r="N13" s="230"/>
      <c r="O13" s="37"/>
      <c r="P13" s="95"/>
      <c r="Q13" s="95"/>
      <c r="R13" s="95"/>
      <c r="S13" s="95"/>
      <c r="T13" s="95"/>
      <c r="U13" s="95"/>
      <c r="V13" s="95"/>
      <c r="W13" s="95"/>
      <c r="X13" s="231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</row>
    <row r="14" spans="1:37" s="319" customFormat="1">
      <c r="B14" s="320" t="s">
        <v>0</v>
      </c>
      <c r="C14" s="90" t="s">
        <v>28</v>
      </c>
      <c r="D14" s="90" t="s">
        <v>29</v>
      </c>
      <c r="E14" s="90" t="s">
        <v>30</v>
      </c>
      <c r="F14" s="90" t="s">
        <v>31</v>
      </c>
      <c r="G14" s="90" t="s">
        <v>32</v>
      </c>
      <c r="H14" s="90"/>
      <c r="I14" s="90"/>
      <c r="J14" s="313" t="s">
        <v>160</v>
      </c>
      <c r="K14" s="313" t="s">
        <v>161</v>
      </c>
      <c r="L14" s="313" t="s">
        <v>162</v>
      </c>
      <c r="M14" s="313" t="s">
        <v>163</v>
      </c>
      <c r="N14" s="313" t="s">
        <v>164</v>
      </c>
      <c r="O14" s="90"/>
      <c r="P14" s="90"/>
      <c r="Q14" s="90" t="s">
        <v>93</v>
      </c>
      <c r="R14" s="90" t="s">
        <v>94</v>
      </c>
      <c r="S14" s="90" t="s">
        <v>95</v>
      </c>
      <c r="T14" s="90" t="s">
        <v>96</v>
      </c>
      <c r="U14" s="90" t="s">
        <v>97</v>
      </c>
      <c r="V14" s="90"/>
      <c r="W14" s="90"/>
      <c r="X14" s="313" t="s">
        <v>33</v>
      </c>
      <c r="Y14" s="90"/>
      <c r="Z14" s="90"/>
      <c r="AA14" s="90" t="s">
        <v>78</v>
      </c>
      <c r="AB14" s="90" t="s">
        <v>34</v>
      </c>
      <c r="AC14" s="90" t="s">
        <v>35</v>
      </c>
      <c r="AD14" s="90" t="s">
        <v>36</v>
      </c>
      <c r="AE14" s="90" t="s">
        <v>37</v>
      </c>
      <c r="AF14" s="90" t="s">
        <v>38</v>
      </c>
      <c r="AG14" s="90" t="s">
        <v>39</v>
      </c>
      <c r="AH14" s="90" t="s">
        <v>40</v>
      </c>
      <c r="AI14" s="90" t="s">
        <v>41</v>
      </c>
      <c r="AJ14" s="91" t="s">
        <v>42</v>
      </c>
      <c r="AK14" s="307"/>
    </row>
    <row r="15" spans="1:37" s="324" customFormat="1">
      <c r="A15" s="408" t="s">
        <v>104</v>
      </c>
      <c r="B15" s="322" t="s">
        <v>43</v>
      </c>
      <c r="C15" s="92">
        <v>9</v>
      </c>
      <c r="D15" s="93">
        <v>21</v>
      </c>
      <c r="E15" s="93">
        <v>38</v>
      </c>
      <c r="F15" s="93">
        <v>28</v>
      </c>
      <c r="G15" s="93">
        <v>57</v>
      </c>
      <c r="H15" s="93"/>
      <c r="I15" s="93"/>
      <c r="J15" s="230">
        <v>3.3</v>
      </c>
      <c r="K15" s="230">
        <v>4.9000000000000004</v>
      </c>
      <c r="L15" s="230">
        <v>6.2</v>
      </c>
      <c r="M15" s="230">
        <v>7.8</v>
      </c>
      <c r="N15" s="230">
        <v>6.2</v>
      </c>
      <c r="O15" s="37"/>
      <c r="P15" s="93"/>
      <c r="Q15" s="93">
        <v>268</v>
      </c>
      <c r="R15" s="93">
        <v>255</v>
      </c>
      <c r="S15" s="93">
        <v>190</v>
      </c>
      <c r="T15" s="93">
        <v>347</v>
      </c>
      <c r="U15" s="93">
        <v>323</v>
      </c>
      <c r="V15" s="93"/>
      <c r="W15" s="93"/>
      <c r="X15" s="331">
        <v>7</v>
      </c>
      <c r="Y15" s="93"/>
      <c r="Z15" s="93"/>
      <c r="AA15" s="93">
        <v>3</v>
      </c>
      <c r="AB15" s="93">
        <v>0</v>
      </c>
      <c r="AC15" s="93">
        <v>3</v>
      </c>
      <c r="AD15" s="93">
        <v>1</v>
      </c>
      <c r="AE15" s="93">
        <v>2</v>
      </c>
      <c r="AF15" s="93">
        <v>0</v>
      </c>
      <c r="AG15" s="93">
        <v>1</v>
      </c>
      <c r="AH15" s="93">
        <v>0</v>
      </c>
      <c r="AI15" s="93">
        <v>3</v>
      </c>
      <c r="AJ15" s="94">
        <v>2</v>
      </c>
      <c r="AK15" s="95"/>
    </row>
    <row r="16" spans="1:37" s="324" customFormat="1">
      <c r="A16" s="409"/>
      <c r="B16" s="325" t="s">
        <v>44</v>
      </c>
      <c r="C16" s="38">
        <v>20</v>
      </c>
      <c r="D16" s="37">
        <v>25</v>
      </c>
      <c r="E16" s="37">
        <v>9</v>
      </c>
      <c r="F16" s="37">
        <v>20</v>
      </c>
      <c r="G16" s="37">
        <v>50</v>
      </c>
      <c r="H16" s="37"/>
      <c r="I16" s="37"/>
      <c r="J16" s="230">
        <v>4.8</v>
      </c>
      <c r="K16" s="230">
        <v>3.8</v>
      </c>
      <c r="L16" s="230">
        <v>5.9</v>
      </c>
      <c r="M16" s="230">
        <v>6.6</v>
      </c>
      <c r="N16" s="230">
        <v>7.5</v>
      </c>
      <c r="O16" s="37"/>
      <c r="P16" s="37"/>
      <c r="Q16" s="37">
        <v>179</v>
      </c>
      <c r="R16" s="37">
        <v>345</v>
      </c>
      <c r="S16" s="37">
        <v>447</v>
      </c>
      <c r="T16" s="37">
        <v>206</v>
      </c>
      <c r="U16" s="37">
        <v>320</v>
      </c>
      <c r="V16" s="37"/>
      <c r="W16" s="37"/>
      <c r="X16" s="230">
        <v>6</v>
      </c>
      <c r="Y16" s="37"/>
      <c r="Z16" s="37"/>
      <c r="AA16" s="37">
        <v>2</v>
      </c>
      <c r="AB16" s="37">
        <v>0</v>
      </c>
      <c r="AC16" s="37">
        <v>4</v>
      </c>
      <c r="AD16" s="37">
        <v>3</v>
      </c>
      <c r="AE16" s="37">
        <v>2</v>
      </c>
      <c r="AF16" s="37">
        <v>0</v>
      </c>
      <c r="AG16" s="37">
        <v>3</v>
      </c>
      <c r="AH16" s="37">
        <v>0</v>
      </c>
      <c r="AI16" s="37">
        <v>3</v>
      </c>
      <c r="AJ16" s="39">
        <v>0</v>
      </c>
      <c r="AK16" s="95"/>
    </row>
    <row r="17" spans="1:37" s="324" customFormat="1">
      <c r="A17" s="409"/>
      <c r="B17" s="325" t="s">
        <v>45</v>
      </c>
      <c r="C17" s="38">
        <v>8</v>
      </c>
      <c r="D17" s="37">
        <v>6</v>
      </c>
      <c r="E17" s="37">
        <v>34</v>
      </c>
      <c r="F17" s="37">
        <v>24</v>
      </c>
      <c r="G17" s="37">
        <v>58</v>
      </c>
      <c r="H17" s="37"/>
      <c r="I17" s="37"/>
      <c r="J17" s="230">
        <v>8.1999999999999993</v>
      </c>
      <c r="K17" s="230">
        <v>9.4</v>
      </c>
      <c r="L17" s="230">
        <v>11.3</v>
      </c>
      <c r="M17" s="230">
        <v>10.7</v>
      </c>
      <c r="N17" s="230">
        <v>9.8000000000000007</v>
      </c>
      <c r="O17" s="37"/>
      <c r="P17" s="37"/>
      <c r="Q17" s="37">
        <v>306</v>
      </c>
      <c r="R17" s="37">
        <v>379</v>
      </c>
      <c r="S17" s="37">
        <v>323</v>
      </c>
      <c r="T17" s="37">
        <v>281</v>
      </c>
      <c r="U17" s="37">
        <v>419</v>
      </c>
      <c r="V17" s="37"/>
      <c r="W17" s="37"/>
      <c r="X17" s="230">
        <v>7</v>
      </c>
      <c r="Y17" s="37"/>
      <c r="Z17" s="37"/>
      <c r="AA17" s="37">
        <v>4</v>
      </c>
      <c r="AB17" s="37">
        <v>0</v>
      </c>
      <c r="AC17" s="37">
        <v>4</v>
      </c>
      <c r="AD17" s="37">
        <v>0</v>
      </c>
      <c r="AE17" s="37">
        <v>2</v>
      </c>
      <c r="AF17" s="37">
        <v>1</v>
      </c>
      <c r="AG17" s="37">
        <v>1</v>
      </c>
      <c r="AH17" s="37">
        <v>0</v>
      </c>
      <c r="AI17" s="37">
        <v>2</v>
      </c>
      <c r="AJ17" s="39">
        <v>0</v>
      </c>
      <c r="AK17" s="95"/>
    </row>
    <row r="18" spans="1:37" s="324" customFormat="1">
      <c r="A18" s="409"/>
      <c r="B18" s="325" t="s">
        <v>46</v>
      </c>
      <c r="C18" s="38">
        <v>44</v>
      </c>
      <c r="D18" s="37">
        <v>24</v>
      </c>
      <c r="E18" s="37">
        <v>21</v>
      </c>
      <c r="F18" s="37">
        <v>29</v>
      </c>
      <c r="G18" s="37">
        <v>49</v>
      </c>
      <c r="H18" s="37"/>
      <c r="I18" s="37"/>
      <c r="J18" s="230">
        <v>8.1999999999999993</v>
      </c>
      <c r="K18" s="230">
        <v>4.4000000000000004</v>
      </c>
      <c r="L18" s="230">
        <v>6.5</v>
      </c>
      <c r="M18" s="230">
        <v>9.6</v>
      </c>
      <c r="N18" s="230">
        <v>7.3</v>
      </c>
      <c r="O18" s="37"/>
      <c r="P18" s="37"/>
      <c r="Q18" s="37">
        <v>327</v>
      </c>
      <c r="R18" s="37">
        <v>426</v>
      </c>
      <c r="S18" s="37">
        <v>203</v>
      </c>
      <c r="T18" s="37">
        <v>283</v>
      </c>
      <c r="U18" s="37">
        <v>480</v>
      </c>
      <c r="V18" s="37"/>
      <c r="W18" s="37"/>
      <c r="X18" s="230">
        <v>7</v>
      </c>
      <c r="Y18" s="37"/>
      <c r="Z18" s="37"/>
      <c r="AA18" s="37">
        <v>3</v>
      </c>
      <c r="AB18" s="37">
        <v>0</v>
      </c>
      <c r="AC18" s="37">
        <v>2</v>
      </c>
      <c r="AD18" s="37">
        <v>0</v>
      </c>
      <c r="AE18" s="37">
        <v>2</v>
      </c>
      <c r="AF18" s="37">
        <v>1</v>
      </c>
      <c r="AG18" s="37">
        <v>1</v>
      </c>
      <c r="AH18" s="37">
        <v>0</v>
      </c>
      <c r="AI18" s="37">
        <v>3</v>
      </c>
      <c r="AJ18" s="39">
        <v>2</v>
      </c>
      <c r="AK18" s="95"/>
    </row>
    <row r="19" spans="1:37" s="324" customFormat="1">
      <c r="A19" s="409"/>
      <c r="B19" s="325" t="s">
        <v>47</v>
      </c>
      <c r="C19" s="38">
        <v>9</v>
      </c>
      <c r="D19" s="37">
        <v>42</v>
      </c>
      <c r="E19" s="37">
        <v>29</v>
      </c>
      <c r="F19" s="37">
        <v>27</v>
      </c>
      <c r="G19" s="37">
        <v>38</v>
      </c>
      <c r="H19" s="37"/>
      <c r="I19" s="37"/>
      <c r="J19" s="230">
        <v>7.7</v>
      </c>
      <c r="K19" s="230">
        <v>10.3</v>
      </c>
      <c r="L19" s="230">
        <v>9.1999999999999993</v>
      </c>
      <c r="M19" s="230">
        <v>9.1</v>
      </c>
      <c r="N19" s="230">
        <v>4.9000000000000004</v>
      </c>
      <c r="O19" s="37"/>
      <c r="P19" s="37"/>
      <c r="Q19" s="37">
        <v>260</v>
      </c>
      <c r="R19" s="37">
        <v>120</v>
      </c>
      <c r="S19" s="37">
        <v>293</v>
      </c>
      <c r="T19" s="37">
        <v>436</v>
      </c>
      <c r="U19" s="37">
        <v>232</v>
      </c>
      <c r="V19" s="37"/>
      <c r="W19" s="37"/>
      <c r="X19" s="230">
        <v>8</v>
      </c>
      <c r="Y19" s="37"/>
      <c r="Z19" s="37"/>
      <c r="AA19" s="37">
        <v>3</v>
      </c>
      <c r="AB19" s="37">
        <v>1</v>
      </c>
      <c r="AC19" s="37">
        <v>1</v>
      </c>
      <c r="AD19" s="37">
        <v>2</v>
      </c>
      <c r="AE19" s="37">
        <v>2</v>
      </c>
      <c r="AF19" s="37">
        <v>2</v>
      </c>
      <c r="AG19" s="37">
        <v>3</v>
      </c>
      <c r="AH19" s="37">
        <v>0</v>
      </c>
      <c r="AI19" s="37">
        <v>3</v>
      </c>
      <c r="AJ19" s="39">
        <v>0</v>
      </c>
      <c r="AK19" s="95"/>
    </row>
    <row r="20" spans="1:37" s="324" customFormat="1">
      <c r="A20" s="409"/>
      <c r="B20" s="325" t="s">
        <v>48</v>
      </c>
      <c r="C20" s="38">
        <v>29</v>
      </c>
      <c r="D20" s="37">
        <v>35</v>
      </c>
      <c r="E20" s="37">
        <v>26</v>
      </c>
      <c r="F20" s="37">
        <v>28</v>
      </c>
      <c r="G20" s="37">
        <v>59</v>
      </c>
      <c r="H20" s="37"/>
      <c r="I20" s="37"/>
      <c r="J20" s="230">
        <v>5.2</v>
      </c>
      <c r="K20" s="230">
        <v>6</v>
      </c>
      <c r="L20" s="230">
        <v>6.6</v>
      </c>
      <c r="M20" s="230">
        <v>7.7</v>
      </c>
      <c r="N20" s="230">
        <v>5.9</v>
      </c>
      <c r="O20" s="37"/>
      <c r="P20" s="37"/>
      <c r="Q20" s="37">
        <v>356</v>
      </c>
      <c r="R20" s="37">
        <v>275</v>
      </c>
      <c r="S20" s="37">
        <v>279</v>
      </c>
      <c r="T20" s="37">
        <v>167</v>
      </c>
      <c r="U20" s="37">
        <v>209</v>
      </c>
      <c r="V20" s="37"/>
      <c r="W20" s="37"/>
      <c r="X20" s="230">
        <v>6</v>
      </c>
      <c r="Y20" s="37"/>
      <c r="Z20" s="37"/>
      <c r="AA20" s="37">
        <v>4</v>
      </c>
      <c r="AB20" s="37">
        <v>1</v>
      </c>
      <c r="AC20" s="37">
        <v>2</v>
      </c>
      <c r="AD20" s="37">
        <v>1</v>
      </c>
      <c r="AE20" s="37">
        <v>2</v>
      </c>
      <c r="AF20" s="37">
        <v>1</v>
      </c>
      <c r="AG20" s="37">
        <v>4</v>
      </c>
      <c r="AH20" s="37">
        <v>1</v>
      </c>
      <c r="AI20" s="37">
        <v>2</v>
      </c>
      <c r="AJ20" s="39">
        <v>2</v>
      </c>
      <c r="AK20" s="95"/>
    </row>
    <row r="21" spans="1:37" s="324" customFormat="1">
      <c r="A21" s="409"/>
      <c r="B21" s="325" t="s">
        <v>49</v>
      </c>
      <c r="C21" s="38">
        <v>24</v>
      </c>
      <c r="D21" s="37">
        <v>46</v>
      </c>
      <c r="E21" s="37">
        <v>40</v>
      </c>
      <c r="F21" s="37">
        <v>51</v>
      </c>
      <c r="G21" s="37">
        <v>49</v>
      </c>
      <c r="H21" s="37"/>
      <c r="I21" s="37"/>
      <c r="J21" s="230">
        <v>6</v>
      </c>
      <c r="K21" s="230">
        <v>7.8</v>
      </c>
      <c r="L21" s="230">
        <v>4.9000000000000004</v>
      </c>
      <c r="M21" s="230">
        <v>8.3000000000000007</v>
      </c>
      <c r="N21" s="230">
        <v>7.1</v>
      </c>
      <c r="O21" s="37"/>
      <c r="P21" s="37"/>
      <c r="Q21" s="37">
        <v>263</v>
      </c>
      <c r="R21" s="37">
        <v>281</v>
      </c>
      <c r="S21" s="37">
        <v>243</v>
      </c>
      <c r="T21" s="37">
        <v>172</v>
      </c>
      <c r="U21" s="37">
        <v>313</v>
      </c>
      <c r="V21" s="37"/>
      <c r="W21" s="37"/>
      <c r="X21" s="230">
        <v>6</v>
      </c>
      <c r="Y21" s="37"/>
      <c r="Z21" s="37"/>
      <c r="AA21" s="37">
        <v>3</v>
      </c>
      <c r="AB21" s="37">
        <v>2</v>
      </c>
      <c r="AC21" s="37">
        <v>1</v>
      </c>
      <c r="AD21" s="37">
        <v>1</v>
      </c>
      <c r="AE21" s="37">
        <v>2</v>
      </c>
      <c r="AF21" s="37">
        <v>2</v>
      </c>
      <c r="AG21" s="37">
        <v>4</v>
      </c>
      <c r="AH21" s="37">
        <v>0</v>
      </c>
      <c r="AI21" s="37">
        <v>2</v>
      </c>
      <c r="AJ21" s="39">
        <v>1</v>
      </c>
      <c r="AK21" s="95"/>
    </row>
    <row r="22" spans="1:37" s="324" customFormat="1">
      <c r="A22" s="409"/>
      <c r="B22" s="325" t="s">
        <v>50</v>
      </c>
      <c r="C22" s="38">
        <v>30</v>
      </c>
      <c r="D22" s="37">
        <v>6</v>
      </c>
      <c r="E22" s="37">
        <v>11</v>
      </c>
      <c r="F22" s="37">
        <v>40</v>
      </c>
      <c r="G22" s="37">
        <v>43</v>
      </c>
      <c r="H22" s="37"/>
      <c r="I22" s="37"/>
      <c r="J22" s="230">
        <v>6.9</v>
      </c>
      <c r="K22" s="230">
        <v>6.8</v>
      </c>
      <c r="L22" s="230">
        <v>3.3</v>
      </c>
      <c r="M22" s="230">
        <v>8.6</v>
      </c>
      <c r="N22" s="230">
        <v>9</v>
      </c>
      <c r="O22" s="37"/>
      <c r="P22" s="37"/>
      <c r="Q22" s="37">
        <v>266</v>
      </c>
      <c r="R22" s="37">
        <v>206</v>
      </c>
      <c r="S22" s="37">
        <v>229</v>
      </c>
      <c r="T22" s="37">
        <v>372</v>
      </c>
      <c r="U22" s="37">
        <v>338</v>
      </c>
      <c r="V22" s="37"/>
      <c r="W22" s="37"/>
      <c r="X22" s="230">
        <v>7</v>
      </c>
      <c r="Y22" s="37"/>
      <c r="Z22" s="37"/>
      <c r="AA22" s="37">
        <v>2</v>
      </c>
      <c r="AB22" s="37">
        <v>1</v>
      </c>
      <c r="AC22" s="37">
        <v>3</v>
      </c>
      <c r="AD22" s="37">
        <v>0</v>
      </c>
      <c r="AE22" s="37">
        <v>1</v>
      </c>
      <c r="AF22" s="37">
        <v>1</v>
      </c>
      <c r="AG22" s="37">
        <v>1</v>
      </c>
      <c r="AH22" s="37">
        <v>1</v>
      </c>
      <c r="AI22" s="37">
        <v>4</v>
      </c>
      <c r="AJ22" s="39">
        <v>1</v>
      </c>
      <c r="AK22" s="95"/>
    </row>
    <row r="23" spans="1:37" s="324" customFormat="1">
      <c r="A23" s="409"/>
      <c r="B23" s="325" t="s">
        <v>51</v>
      </c>
      <c r="C23" s="38">
        <v>32</v>
      </c>
      <c r="D23" s="37">
        <v>22</v>
      </c>
      <c r="E23" s="37">
        <v>10</v>
      </c>
      <c r="F23" s="37">
        <v>39</v>
      </c>
      <c r="G23" s="37">
        <v>43</v>
      </c>
      <c r="H23" s="37"/>
      <c r="I23" s="37"/>
      <c r="J23" s="230">
        <v>4.4000000000000004</v>
      </c>
      <c r="K23" s="230">
        <v>9.6999999999999993</v>
      </c>
      <c r="L23" s="230">
        <v>6.3</v>
      </c>
      <c r="M23" s="230">
        <v>8.1</v>
      </c>
      <c r="N23" s="230">
        <v>2.9</v>
      </c>
      <c r="O23" s="37"/>
      <c r="P23" s="37"/>
      <c r="Q23" s="37">
        <v>297</v>
      </c>
      <c r="R23" s="37">
        <v>175</v>
      </c>
      <c r="S23" s="37">
        <v>151</v>
      </c>
      <c r="T23" s="37">
        <v>218</v>
      </c>
      <c r="U23" s="37">
        <v>274</v>
      </c>
      <c r="V23" s="37"/>
      <c r="W23" s="37"/>
      <c r="X23" s="230">
        <v>10</v>
      </c>
      <c r="Y23" s="37"/>
      <c r="Z23" s="37"/>
      <c r="AA23" s="37">
        <v>2</v>
      </c>
      <c r="AB23" s="37">
        <v>2</v>
      </c>
      <c r="AC23" s="37">
        <v>4</v>
      </c>
      <c r="AD23" s="37">
        <v>0</v>
      </c>
      <c r="AE23" s="37">
        <v>2</v>
      </c>
      <c r="AF23" s="37">
        <v>0</v>
      </c>
      <c r="AG23" s="37">
        <v>2</v>
      </c>
      <c r="AH23" s="37">
        <v>1</v>
      </c>
      <c r="AI23" s="37">
        <v>4</v>
      </c>
      <c r="AJ23" s="39">
        <v>0</v>
      </c>
      <c r="AK23" s="95"/>
    </row>
    <row r="24" spans="1:37" s="324" customFormat="1">
      <c r="A24" s="409"/>
      <c r="B24" s="325" t="s">
        <v>52</v>
      </c>
      <c r="C24" s="38">
        <v>30</v>
      </c>
      <c r="D24" s="37">
        <v>24</v>
      </c>
      <c r="E24" s="37">
        <v>18</v>
      </c>
      <c r="F24" s="37">
        <v>30</v>
      </c>
      <c r="G24" s="37">
        <v>47</v>
      </c>
      <c r="H24" s="37"/>
      <c r="I24" s="37"/>
      <c r="J24" s="230">
        <v>8.1999999999999993</v>
      </c>
      <c r="K24" s="230">
        <v>5.6</v>
      </c>
      <c r="L24" s="230">
        <v>5.7</v>
      </c>
      <c r="M24" s="230">
        <v>6.9</v>
      </c>
      <c r="N24" s="230">
        <v>10</v>
      </c>
      <c r="O24" s="37"/>
      <c r="P24" s="37"/>
      <c r="Q24" s="37">
        <v>298</v>
      </c>
      <c r="R24" s="37">
        <v>241</v>
      </c>
      <c r="S24" s="37">
        <v>279</v>
      </c>
      <c r="T24" s="37">
        <v>279</v>
      </c>
      <c r="U24" s="37">
        <v>389</v>
      </c>
      <c r="V24" s="37"/>
      <c r="W24" s="37"/>
      <c r="X24" s="230">
        <v>7</v>
      </c>
      <c r="Y24" s="37"/>
      <c r="Z24" s="37"/>
      <c r="AA24" s="37">
        <v>2</v>
      </c>
      <c r="AB24" s="37">
        <v>1</v>
      </c>
      <c r="AC24" s="37">
        <v>1</v>
      </c>
      <c r="AD24" s="37">
        <v>0</v>
      </c>
      <c r="AE24" s="37">
        <v>2</v>
      </c>
      <c r="AF24" s="37">
        <v>2</v>
      </c>
      <c r="AG24" s="37">
        <v>3</v>
      </c>
      <c r="AH24" s="37">
        <v>2</v>
      </c>
      <c r="AI24" s="37">
        <v>3</v>
      </c>
      <c r="AJ24" s="39">
        <v>2</v>
      </c>
      <c r="AK24" s="95"/>
    </row>
    <row r="25" spans="1:37" s="324" customFormat="1">
      <c r="A25" s="409"/>
      <c r="B25" s="325" t="s">
        <v>53</v>
      </c>
      <c r="C25" s="38">
        <v>20</v>
      </c>
      <c r="D25" s="37">
        <v>30</v>
      </c>
      <c r="E25" s="37">
        <v>11</v>
      </c>
      <c r="F25" s="37">
        <v>47</v>
      </c>
      <c r="G25" s="37">
        <v>50</v>
      </c>
      <c r="H25" s="37"/>
      <c r="I25" s="37"/>
      <c r="J25" s="230">
        <v>7.4</v>
      </c>
      <c r="K25" s="230">
        <v>8.1999999999999993</v>
      </c>
      <c r="L25" s="230">
        <v>6</v>
      </c>
      <c r="M25" s="230">
        <v>9.4</v>
      </c>
      <c r="N25" s="230">
        <v>8.6999999999999993</v>
      </c>
      <c r="O25" s="37"/>
      <c r="P25" s="37"/>
      <c r="Q25" s="37">
        <v>182</v>
      </c>
      <c r="R25" s="37">
        <v>263</v>
      </c>
      <c r="S25" s="37">
        <v>286</v>
      </c>
      <c r="T25" s="37">
        <v>315</v>
      </c>
      <c r="U25" s="37">
        <v>234</v>
      </c>
      <c r="V25" s="37"/>
      <c r="W25" s="37"/>
      <c r="X25" s="230">
        <v>5</v>
      </c>
      <c r="Y25" s="37"/>
      <c r="Z25" s="37"/>
      <c r="AA25" s="37">
        <v>4</v>
      </c>
      <c r="AB25" s="37">
        <v>1</v>
      </c>
      <c r="AC25" s="37">
        <v>3</v>
      </c>
      <c r="AD25" s="37">
        <v>0</v>
      </c>
      <c r="AE25" s="37">
        <v>2</v>
      </c>
      <c r="AF25" s="37">
        <v>0</v>
      </c>
      <c r="AG25" s="37">
        <v>3</v>
      </c>
      <c r="AH25" s="37">
        <v>0</v>
      </c>
      <c r="AI25" s="37">
        <v>2</v>
      </c>
      <c r="AJ25" s="39">
        <v>1</v>
      </c>
      <c r="AK25" s="95"/>
    </row>
    <row r="26" spans="1:37" s="324" customFormat="1">
      <c r="A26" s="410"/>
      <c r="B26" s="327" t="s">
        <v>54</v>
      </c>
      <c r="C26" s="74">
        <v>20</v>
      </c>
      <c r="D26" s="72">
        <v>30</v>
      </c>
      <c r="E26" s="72">
        <v>26</v>
      </c>
      <c r="F26" s="72">
        <v>26</v>
      </c>
      <c r="G26" s="72">
        <v>50</v>
      </c>
      <c r="H26" s="72"/>
      <c r="I26" s="72"/>
      <c r="J26" s="311">
        <v>7.3</v>
      </c>
      <c r="K26" s="311">
        <v>6.7</v>
      </c>
      <c r="L26" s="311">
        <v>9.4</v>
      </c>
      <c r="M26" s="311">
        <v>8.5</v>
      </c>
      <c r="N26" s="311">
        <v>8.1</v>
      </c>
      <c r="O26" s="72"/>
      <c r="P26" s="72"/>
      <c r="Q26" s="72">
        <v>264</v>
      </c>
      <c r="R26" s="72">
        <v>334</v>
      </c>
      <c r="S26" s="72">
        <v>113</v>
      </c>
      <c r="T26" s="72">
        <v>307</v>
      </c>
      <c r="U26" s="72">
        <v>455</v>
      </c>
      <c r="V26" s="72"/>
      <c r="W26" s="72"/>
      <c r="X26" s="311">
        <v>10</v>
      </c>
      <c r="Y26" s="72"/>
      <c r="Z26" s="72"/>
      <c r="AA26" s="72">
        <v>2</v>
      </c>
      <c r="AB26" s="72">
        <v>2</v>
      </c>
      <c r="AC26" s="72">
        <v>4</v>
      </c>
      <c r="AD26" s="72">
        <v>0</v>
      </c>
      <c r="AE26" s="72">
        <v>2</v>
      </c>
      <c r="AF26" s="72">
        <v>0</v>
      </c>
      <c r="AG26" s="72">
        <v>2</v>
      </c>
      <c r="AH26" s="72">
        <v>1</v>
      </c>
      <c r="AI26" s="72">
        <v>4</v>
      </c>
      <c r="AJ26" s="73">
        <v>0</v>
      </c>
      <c r="AK26" s="95"/>
    </row>
    <row r="27" spans="1:37" s="324" customFormat="1">
      <c r="B27" s="329"/>
      <c r="C27" s="95"/>
      <c r="D27" s="95"/>
      <c r="E27" s="95"/>
      <c r="F27" s="95"/>
      <c r="G27" s="95"/>
      <c r="H27" s="95"/>
      <c r="I27" s="95"/>
      <c r="J27" s="230"/>
      <c r="K27" s="230"/>
      <c r="L27" s="230"/>
      <c r="M27" s="230"/>
      <c r="N27" s="230"/>
      <c r="O27" s="37"/>
      <c r="P27" s="95"/>
      <c r="Q27" s="95"/>
      <c r="R27" s="95"/>
      <c r="S27" s="95"/>
      <c r="T27" s="95"/>
      <c r="U27" s="95"/>
      <c r="V27" s="95"/>
      <c r="W27" s="95"/>
      <c r="X27" s="231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</row>
    <row r="28" spans="1:37" s="324" customFormat="1">
      <c r="B28" s="329"/>
      <c r="C28" s="95"/>
      <c r="D28" s="95"/>
      <c r="E28" s="95"/>
      <c r="F28" s="95"/>
      <c r="G28" s="95"/>
      <c r="H28" s="95"/>
      <c r="I28" s="95"/>
      <c r="J28" s="230"/>
      <c r="K28" s="230"/>
      <c r="L28" s="230"/>
      <c r="M28" s="230"/>
      <c r="N28" s="230"/>
      <c r="O28" s="37"/>
      <c r="P28" s="95"/>
      <c r="Q28" s="95"/>
      <c r="R28" s="95"/>
      <c r="S28" s="95"/>
      <c r="T28" s="95"/>
      <c r="U28" s="95"/>
      <c r="V28" s="95"/>
      <c r="W28" s="95"/>
      <c r="X28" s="231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</row>
    <row r="29" spans="1:37" s="319" customFormat="1">
      <c r="B29" s="320" t="s">
        <v>0</v>
      </c>
      <c r="C29" s="90" t="s">
        <v>69</v>
      </c>
      <c r="D29" s="90" t="s">
        <v>70</v>
      </c>
      <c r="E29" s="90" t="s">
        <v>71</v>
      </c>
      <c r="F29" s="90" t="s">
        <v>72</v>
      </c>
      <c r="G29" s="90" t="s">
        <v>73</v>
      </c>
      <c r="H29" s="90"/>
      <c r="I29" s="90"/>
      <c r="J29" s="313" t="s">
        <v>165</v>
      </c>
      <c r="K29" s="313" t="s">
        <v>166</v>
      </c>
      <c r="L29" s="313" t="s">
        <v>167</v>
      </c>
      <c r="M29" s="313" t="s">
        <v>168</v>
      </c>
      <c r="N29" s="313" t="s">
        <v>169</v>
      </c>
      <c r="O29" s="90"/>
      <c r="P29" s="90"/>
      <c r="Q29" s="90" t="s">
        <v>98</v>
      </c>
      <c r="R29" s="90" t="s">
        <v>99</v>
      </c>
      <c r="S29" s="90" t="s">
        <v>100</v>
      </c>
      <c r="T29" s="90" t="s">
        <v>101</v>
      </c>
      <c r="U29" s="90" t="s">
        <v>102</v>
      </c>
      <c r="V29" s="90"/>
      <c r="W29" s="90"/>
      <c r="X29" s="313" t="s">
        <v>74</v>
      </c>
      <c r="Y29" s="90"/>
      <c r="Z29" s="90"/>
      <c r="AA29" s="90" t="s">
        <v>79</v>
      </c>
      <c r="AB29" s="90" t="s">
        <v>75</v>
      </c>
      <c r="AC29" s="90" t="s">
        <v>80</v>
      </c>
      <c r="AD29" s="90" t="s">
        <v>81</v>
      </c>
      <c r="AE29" s="90" t="s">
        <v>82</v>
      </c>
      <c r="AF29" s="90" t="s">
        <v>83</v>
      </c>
      <c r="AG29" s="90" t="s">
        <v>84</v>
      </c>
      <c r="AH29" s="90" t="s">
        <v>85</v>
      </c>
      <c r="AI29" s="90" t="s">
        <v>86</v>
      </c>
      <c r="AJ29" s="91" t="s">
        <v>87</v>
      </c>
      <c r="AK29" s="307"/>
    </row>
    <row r="30" spans="1:37" s="324" customFormat="1">
      <c r="A30" s="408" t="s">
        <v>105</v>
      </c>
      <c r="B30" s="322" t="s">
        <v>55</v>
      </c>
      <c r="C30" s="92">
        <v>0</v>
      </c>
      <c r="D30" s="93">
        <v>15</v>
      </c>
      <c r="E30" s="93">
        <v>26</v>
      </c>
      <c r="F30" s="93">
        <v>28</v>
      </c>
      <c r="G30" s="93">
        <v>34</v>
      </c>
      <c r="H30" s="93"/>
      <c r="I30" s="93"/>
      <c r="J30" s="230">
        <v>10.1</v>
      </c>
      <c r="K30" s="230">
        <v>4.2</v>
      </c>
      <c r="L30" s="230">
        <v>7.3</v>
      </c>
      <c r="M30" s="230">
        <v>4.2</v>
      </c>
      <c r="N30" s="230">
        <v>7.3</v>
      </c>
      <c r="O30" s="37"/>
      <c r="P30" s="93"/>
      <c r="Q30" s="93">
        <v>153</v>
      </c>
      <c r="R30" s="93">
        <v>176</v>
      </c>
      <c r="S30" s="93">
        <v>239</v>
      </c>
      <c r="T30" s="93">
        <v>230</v>
      </c>
      <c r="U30" s="93">
        <v>246</v>
      </c>
      <c r="V30" s="93"/>
      <c r="W30" s="93"/>
      <c r="X30" s="331">
        <v>9</v>
      </c>
      <c r="Y30" s="93"/>
      <c r="Z30" s="93"/>
      <c r="AA30" s="93">
        <v>4</v>
      </c>
      <c r="AB30" s="93">
        <v>0</v>
      </c>
      <c r="AC30" s="93">
        <v>2</v>
      </c>
      <c r="AD30" s="93">
        <v>0</v>
      </c>
      <c r="AE30" s="93">
        <v>4</v>
      </c>
      <c r="AF30" s="93">
        <v>0</v>
      </c>
      <c r="AG30" s="93">
        <v>4</v>
      </c>
      <c r="AH30" s="93">
        <v>0</v>
      </c>
      <c r="AI30" s="93">
        <v>4</v>
      </c>
      <c r="AJ30" s="94">
        <v>1</v>
      </c>
      <c r="AK30" s="95"/>
    </row>
    <row r="31" spans="1:37" s="324" customFormat="1">
      <c r="A31" s="409"/>
      <c r="B31" s="325" t="s">
        <v>56</v>
      </c>
      <c r="C31" s="38">
        <v>7</v>
      </c>
      <c r="D31" s="37">
        <v>16</v>
      </c>
      <c r="E31" s="37">
        <v>20</v>
      </c>
      <c r="F31" s="37">
        <v>14</v>
      </c>
      <c r="G31" s="37">
        <v>32</v>
      </c>
      <c r="H31" s="37"/>
      <c r="I31" s="37"/>
      <c r="J31" s="230">
        <v>3.5</v>
      </c>
      <c r="K31" s="230">
        <v>5.6</v>
      </c>
      <c r="L31" s="230">
        <v>7.7</v>
      </c>
      <c r="M31" s="230">
        <v>7.1</v>
      </c>
      <c r="N31" s="230">
        <v>8.1</v>
      </c>
      <c r="O31" s="37"/>
      <c r="P31" s="37"/>
      <c r="Q31" s="37">
        <v>212</v>
      </c>
      <c r="R31" s="37">
        <v>221</v>
      </c>
      <c r="S31" s="37">
        <v>223</v>
      </c>
      <c r="T31" s="37">
        <v>181</v>
      </c>
      <c r="U31" s="37">
        <v>261</v>
      </c>
      <c r="V31" s="37"/>
      <c r="W31" s="37"/>
      <c r="X31" s="230">
        <v>7</v>
      </c>
      <c r="Y31" s="37"/>
      <c r="Z31" s="37"/>
      <c r="AA31" s="37">
        <v>2</v>
      </c>
      <c r="AB31" s="37">
        <v>0</v>
      </c>
      <c r="AC31" s="37">
        <v>3</v>
      </c>
      <c r="AD31" s="37">
        <v>2</v>
      </c>
      <c r="AE31" s="37">
        <v>4</v>
      </c>
      <c r="AF31" s="37">
        <v>0</v>
      </c>
      <c r="AG31" s="37">
        <v>4</v>
      </c>
      <c r="AH31" s="37">
        <v>0</v>
      </c>
      <c r="AI31" s="37">
        <v>1</v>
      </c>
      <c r="AJ31" s="39">
        <v>1</v>
      </c>
      <c r="AK31" s="95"/>
    </row>
    <row r="32" spans="1:37" s="324" customFormat="1">
      <c r="A32" s="409"/>
      <c r="B32" s="325" t="s">
        <v>57</v>
      </c>
      <c r="C32" s="38">
        <v>12</v>
      </c>
      <c r="D32" s="37">
        <v>24</v>
      </c>
      <c r="E32" s="37">
        <v>19</v>
      </c>
      <c r="F32" s="37">
        <v>21</v>
      </c>
      <c r="G32" s="37">
        <v>29</v>
      </c>
      <c r="H32" s="37"/>
      <c r="I32" s="37"/>
      <c r="J32" s="230">
        <v>8.6999999999999993</v>
      </c>
      <c r="K32" s="230">
        <v>7.7</v>
      </c>
      <c r="L32" s="230">
        <v>8.3000000000000007</v>
      </c>
      <c r="M32" s="230">
        <v>7.8</v>
      </c>
      <c r="N32" s="230">
        <v>6.9</v>
      </c>
      <c r="O32" s="37"/>
      <c r="P32" s="37"/>
      <c r="Q32" s="37">
        <v>201</v>
      </c>
      <c r="R32" s="37">
        <v>274</v>
      </c>
      <c r="S32" s="37">
        <v>228</v>
      </c>
      <c r="T32" s="37">
        <v>320</v>
      </c>
      <c r="U32" s="37">
        <v>313</v>
      </c>
      <c r="V32" s="37"/>
      <c r="W32" s="37"/>
      <c r="X32" s="230">
        <v>8</v>
      </c>
      <c r="Y32" s="37"/>
      <c r="Z32" s="37"/>
      <c r="AA32" s="37">
        <v>2</v>
      </c>
      <c r="AB32" s="37">
        <v>0</v>
      </c>
      <c r="AC32" s="37">
        <v>4</v>
      </c>
      <c r="AD32" s="37">
        <v>0</v>
      </c>
      <c r="AE32" s="37">
        <v>4</v>
      </c>
      <c r="AF32" s="37">
        <v>0</v>
      </c>
      <c r="AG32" s="37">
        <v>3</v>
      </c>
      <c r="AH32" s="37">
        <v>1</v>
      </c>
      <c r="AI32" s="37">
        <v>3</v>
      </c>
      <c r="AJ32" s="39">
        <v>1</v>
      </c>
      <c r="AK32" s="95"/>
    </row>
    <row r="33" spans="1:36" s="95" customFormat="1">
      <c r="A33" s="409"/>
      <c r="B33" s="325" t="s">
        <v>58</v>
      </c>
      <c r="C33" s="38">
        <v>2</v>
      </c>
      <c r="D33" s="37">
        <v>23</v>
      </c>
      <c r="E33" s="37">
        <v>28</v>
      </c>
      <c r="F33" s="37">
        <v>40</v>
      </c>
      <c r="G33" s="37">
        <v>37</v>
      </c>
      <c r="H33" s="37"/>
      <c r="I33" s="37"/>
      <c r="J33" s="230">
        <v>9.1999999999999993</v>
      </c>
      <c r="K33" s="230">
        <v>6.1</v>
      </c>
      <c r="L33" s="230">
        <v>8.4</v>
      </c>
      <c r="M33" s="230">
        <v>6.4</v>
      </c>
      <c r="N33" s="230">
        <v>8.3000000000000007</v>
      </c>
      <c r="O33" s="37"/>
      <c r="P33" s="37"/>
      <c r="Q33" s="37">
        <v>61</v>
      </c>
      <c r="R33" s="37">
        <v>138</v>
      </c>
      <c r="S33" s="37">
        <v>218</v>
      </c>
      <c r="T33" s="37">
        <v>331</v>
      </c>
      <c r="U33" s="37">
        <v>234</v>
      </c>
      <c r="V33" s="37"/>
      <c r="W33" s="37"/>
      <c r="X33" s="230">
        <v>9</v>
      </c>
      <c r="Y33" s="37"/>
      <c r="Z33" s="37"/>
      <c r="AA33" s="37">
        <v>4</v>
      </c>
      <c r="AB33" s="37">
        <v>1</v>
      </c>
      <c r="AC33" s="37">
        <v>4</v>
      </c>
      <c r="AD33" s="37">
        <v>1</v>
      </c>
      <c r="AE33" s="37">
        <v>4</v>
      </c>
      <c r="AF33" s="37">
        <v>1</v>
      </c>
      <c r="AG33" s="37">
        <v>4</v>
      </c>
      <c r="AH33" s="37">
        <v>0</v>
      </c>
      <c r="AI33" s="37">
        <v>4</v>
      </c>
      <c r="AJ33" s="39">
        <v>0</v>
      </c>
    </row>
    <row r="34" spans="1:36" s="95" customFormat="1">
      <c r="A34" s="409"/>
      <c r="B34" s="325" t="s">
        <v>59</v>
      </c>
      <c r="C34" s="38">
        <v>18</v>
      </c>
      <c r="D34" s="37">
        <v>4</v>
      </c>
      <c r="E34" s="37">
        <v>31</v>
      </c>
      <c r="F34" s="37">
        <v>37</v>
      </c>
      <c r="G34" s="37">
        <v>20</v>
      </c>
      <c r="H34" s="37"/>
      <c r="I34" s="37"/>
      <c r="J34" s="230">
        <v>6.5</v>
      </c>
      <c r="K34" s="230">
        <v>7.3</v>
      </c>
      <c r="L34" s="230">
        <v>9.1</v>
      </c>
      <c r="M34" s="230">
        <v>6.7</v>
      </c>
      <c r="N34" s="230">
        <v>7.2</v>
      </c>
      <c r="O34" s="37"/>
      <c r="P34" s="37"/>
      <c r="Q34" s="37">
        <v>238</v>
      </c>
      <c r="R34" s="37">
        <v>31</v>
      </c>
      <c r="S34" s="37">
        <v>338</v>
      </c>
      <c r="T34" s="37">
        <v>194</v>
      </c>
      <c r="U34" s="37">
        <v>238</v>
      </c>
      <c r="V34" s="37"/>
      <c r="W34" s="37"/>
      <c r="X34" s="230">
        <v>8</v>
      </c>
      <c r="Y34" s="37"/>
      <c r="Z34" s="37"/>
      <c r="AA34" s="37">
        <v>4</v>
      </c>
      <c r="AB34" s="37">
        <v>2</v>
      </c>
      <c r="AC34" s="37">
        <v>4</v>
      </c>
      <c r="AD34" s="37">
        <v>1</v>
      </c>
      <c r="AE34" s="37">
        <v>4</v>
      </c>
      <c r="AF34" s="37">
        <v>2</v>
      </c>
      <c r="AG34" s="37">
        <v>4</v>
      </c>
      <c r="AH34" s="37">
        <v>0</v>
      </c>
      <c r="AI34" s="37">
        <v>4</v>
      </c>
      <c r="AJ34" s="39">
        <v>2</v>
      </c>
    </row>
    <row r="35" spans="1:36" s="95" customFormat="1">
      <c r="A35" s="409"/>
      <c r="B35" s="325" t="s">
        <v>60</v>
      </c>
      <c r="C35" s="38">
        <v>14</v>
      </c>
      <c r="D35" s="37">
        <v>20</v>
      </c>
      <c r="E35" s="37">
        <v>22</v>
      </c>
      <c r="F35" s="37">
        <v>56</v>
      </c>
      <c r="G35" s="37">
        <v>52</v>
      </c>
      <c r="H35" s="37"/>
      <c r="I35" s="37"/>
      <c r="J35" s="230">
        <v>6.4</v>
      </c>
      <c r="K35" s="230">
        <v>8</v>
      </c>
      <c r="L35" s="230">
        <v>8.1999999999999993</v>
      </c>
      <c r="M35" s="230">
        <v>8.1</v>
      </c>
      <c r="N35" s="230">
        <v>6.4</v>
      </c>
      <c r="O35" s="37"/>
      <c r="P35" s="37"/>
      <c r="Q35" s="37">
        <v>193</v>
      </c>
      <c r="R35" s="37">
        <v>375</v>
      </c>
      <c r="S35" s="37">
        <v>216</v>
      </c>
      <c r="T35" s="37">
        <v>236</v>
      </c>
      <c r="U35" s="37">
        <v>205</v>
      </c>
      <c r="V35" s="37"/>
      <c r="W35" s="37"/>
      <c r="X35" s="230">
        <v>7</v>
      </c>
      <c r="Y35" s="37"/>
      <c r="Z35" s="37"/>
      <c r="AA35" s="37">
        <v>4</v>
      </c>
      <c r="AB35" s="37">
        <v>1</v>
      </c>
      <c r="AC35" s="37">
        <v>2</v>
      </c>
      <c r="AD35" s="37">
        <v>0</v>
      </c>
      <c r="AE35" s="37">
        <v>2</v>
      </c>
      <c r="AF35" s="37">
        <v>0</v>
      </c>
      <c r="AG35" s="37">
        <v>1</v>
      </c>
      <c r="AH35" s="37">
        <v>0</v>
      </c>
      <c r="AI35" s="37">
        <v>2</v>
      </c>
      <c r="AJ35" s="39">
        <v>0</v>
      </c>
    </row>
    <row r="36" spans="1:36" s="95" customFormat="1">
      <c r="A36" s="409"/>
      <c r="B36" s="325" t="s">
        <v>61</v>
      </c>
      <c r="C36" s="38">
        <v>22</v>
      </c>
      <c r="D36" s="37">
        <v>31</v>
      </c>
      <c r="E36" s="37">
        <v>26</v>
      </c>
      <c r="F36" s="37">
        <v>27</v>
      </c>
      <c r="G36" s="37">
        <v>40</v>
      </c>
      <c r="H36" s="37"/>
      <c r="I36" s="37"/>
      <c r="J36" s="230">
        <v>4</v>
      </c>
      <c r="K36" s="230">
        <v>3.2</v>
      </c>
      <c r="L36" s="230">
        <v>4.7</v>
      </c>
      <c r="M36" s="230">
        <v>5.8</v>
      </c>
      <c r="N36" s="230">
        <v>6.5</v>
      </c>
      <c r="O36" s="37"/>
      <c r="P36" s="37"/>
      <c r="Q36" s="37">
        <v>66</v>
      </c>
      <c r="R36" s="37">
        <v>326</v>
      </c>
      <c r="S36" s="37">
        <v>217</v>
      </c>
      <c r="T36" s="37">
        <v>316</v>
      </c>
      <c r="U36" s="37">
        <v>364</v>
      </c>
      <c r="V36" s="37"/>
      <c r="W36" s="37"/>
      <c r="X36" s="230">
        <v>9</v>
      </c>
      <c r="Y36" s="37"/>
      <c r="Z36" s="37"/>
      <c r="AA36" s="37">
        <v>4</v>
      </c>
      <c r="AB36" s="37">
        <v>0</v>
      </c>
      <c r="AC36" s="37">
        <v>3</v>
      </c>
      <c r="AD36" s="37">
        <v>0</v>
      </c>
      <c r="AE36" s="37">
        <v>2</v>
      </c>
      <c r="AF36" s="37">
        <v>0</v>
      </c>
      <c r="AG36" s="37">
        <v>4</v>
      </c>
      <c r="AH36" s="37">
        <v>0</v>
      </c>
      <c r="AI36" s="37">
        <v>2</v>
      </c>
      <c r="AJ36" s="39">
        <v>0</v>
      </c>
    </row>
    <row r="37" spans="1:36" s="95" customFormat="1">
      <c r="A37" s="409"/>
      <c r="B37" s="325" t="s">
        <v>62</v>
      </c>
      <c r="C37" s="38">
        <v>17</v>
      </c>
      <c r="D37" s="37">
        <v>11</v>
      </c>
      <c r="E37" s="37">
        <v>16</v>
      </c>
      <c r="F37" s="37">
        <v>19</v>
      </c>
      <c r="G37" s="37">
        <v>23</v>
      </c>
      <c r="H37" s="37"/>
      <c r="I37" s="37"/>
      <c r="J37" s="230">
        <v>8.8000000000000007</v>
      </c>
      <c r="K37" s="230">
        <v>5.7</v>
      </c>
      <c r="L37" s="230">
        <v>8.1999999999999993</v>
      </c>
      <c r="M37" s="230">
        <v>6.7</v>
      </c>
      <c r="N37" s="230">
        <v>7.4</v>
      </c>
      <c r="O37" s="37"/>
      <c r="P37" s="37"/>
      <c r="Q37" s="37">
        <v>167</v>
      </c>
      <c r="R37" s="37">
        <v>150</v>
      </c>
      <c r="S37" s="37">
        <v>204</v>
      </c>
      <c r="T37" s="37">
        <v>283</v>
      </c>
      <c r="U37" s="37">
        <v>378</v>
      </c>
      <c r="V37" s="37"/>
      <c r="W37" s="37"/>
      <c r="X37" s="230">
        <v>8</v>
      </c>
      <c r="Y37" s="37"/>
      <c r="Z37" s="37"/>
      <c r="AA37" s="37">
        <v>4</v>
      </c>
      <c r="AB37" s="37">
        <v>1</v>
      </c>
      <c r="AC37" s="37">
        <v>3</v>
      </c>
      <c r="AD37" s="37">
        <v>0</v>
      </c>
      <c r="AE37" s="37">
        <v>3</v>
      </c>
      <c r="AF37" s="37">
        <v>2</v>
      </c>
      <c r="AG37" s="37">
        <v>4</v>
      </c>
      <c r="AH37" s="37">
        <v>1</v>
      </c>
      <c r="AI37" s="37">
        <v>4</v>
      </c>
      <c r="AJ37" s="39">
        <v>1</v>
      </c>
    </row>
    <row r="38" spans="1:36" s="95" customFormat="1">
      <c r="A38" s="409"/>
      <c r="B38" s="325" t="s">
        <v>63</v>
      </c>
      <c r="C38" s="38">
        <v>0</v>
      </c>
      <c r="D38" s="37">
        <v>16</v>
      </c>
      <c r="E38" s="37">
        <v>30</v>
      </c>
      <c r="F38" s="37">
        <v>27</v>
      </c>
      <c r="G38" s="37">
        <v>39</v>
      </c>
      <c r="H38" s="37"/>
      <c r="I38" s="37"/>
      <c r="J38" s="230">
        <v>6.5</v>
      </c>
      <c r="K38" s="230">
        <v>2.2000000000000002</v>
      </c>
      <c r="L38" s="230">
        <v>11.7</v>
      </c>
      <c r="M38" s="230">
        <v>7.8</v>
      </c>
      <c r="N38" s="230">
        <v>6.6</v>
      </c>
      <c r="O38" s="37"/>
      <c r="P38" s="37"/>
      <c r="Q38" s="37">
        <v>289</v>
      </c>
      <c r="R38" s="37">
        <v>367</v>
      </c>
      <c r="S38" s="37">
        <v>405</v>
      </c>
      <c r="T38" s="37">
        <v>189</v>
      </c>
      <c r="U38" s="37">
        <v>133</v>
      </c>
      <c r="V38" s="37"/>
      <c r="W38" s="37"/>
      <c r="X38" s="230">
        <v>9</v>
      </c>
      <c r="Y38" s="37"/>
      <c r="Z38" s="37"/>
      <c r="AA38" s="37">
        <v>3</v>
      </c>
      <c r="AB38" s="37">
        <v>1</v>
      </c>
      <c r="AC38" s="37">
        <v>4</v>
      </c>
      <c r="AD38" s="37">
        <v>2</v>
      </c>
      <c r="AE38" s="37">
        <v>4</v>
      </c>
      <c r="AF38" s="37">
        <v>1</v>
      </c>
      <c r="AG38" s="37">
        <v>3</v>
      </c>
      <c r="AH38" s="37">
        <v>1</v>
      </c>
      <c r="AI38" s="37">
        <v>0</v>
      </c>
      <c r="AJ38" s="39">
        <v>0</v>
      </c>
    </row>
    <row r="39" spans="1:36" s="95" customFormat="1">
      <c r="A39" s="409"/>
      <c r="B39" s="325" t="s">
        <v>64</v>
      </c>
      <c r="C39" s="38">
        <v>11</v>
      </c>
      <c r="D39" s="37">
        <v>27</v>
      </c>
      <c r="E39" s="37">
        <v>7</v>
      </c>
      <c r="F39" s="37">
        <v>45</v>
      </c>
      <c r="G39" s="37">
        <v>20</v>
      </c>
      <c r="H39" s="37"/>
      <c r="I39" s="37"/>
      <c r="J39" s="230">
        <v>6.5</v>
      </c>
      <c r="K39" s="230">
        <v>8.1999999999999993</v>
      </c>
      <c r="L39" s="230">
        <v>6.9</v>
      </c>
      <c r="M39" s="230">
        <v>5.4</v>
      </c>
      <c r="N39" s="230">
        <v>8.1</v>
      </c>
      <c r="O39" s="37"/>
      <c r="P39" s="37"/>
      <c r="Q39" s="37">
        <v>297</v>
      </c>
      <c r="R39" s="37">
        <v>253</v>
      </c>
      <c r="S39" s="37">
        <v>199</v>
      </c>
      <c r="T39" s="37">
        <v>405</v>
      </c>
      <c r="U39" s="37">
        <v>302</v>
      </c>
      <c r="V39" s="37"/>
      <c r="W39" s="37"/>
      <c r="X39" s="230">
        <v>7</v>
      </c>
      <c r="Y39" s="37"/>
      <c r="Z39" s="37"/>
      <c r="AA39" s="37">
        <v>1</v>
      </c>
      <c r="AB39" s="37">
        <v>0</v>
      </c>
      <c r="AC39" s="37">
        <v>4</v>
      </c>
      <c r="AD39" s="37">
        <v>2</v>
      </c>
      <c r="AE39" s="37">
        <v>4</v>
      </c>
      <c r="AF39" s="37">
        <v>2</v>
      </c>
      <c r="AG39" s="37">
        <v>4</v>
      </c>
      <c r="AH39" s="37">
        <v>0</v>
      </c>
      <c r="AI39" s="37">
        <v>2</v>
      </c>
      <c r="AJ39" s="39">
        <v>2</v>
      </c>
    </row>
    <row r="40" spans="1:36" s="95" customFormat="1">
      <c r="A40" s="409"/>
      <c r="B40" s="325" t="s">
        <v>65</v>
      </c>
      <c r="C40" s="38">
        <v>6</v>
      </c>
      <c r="D40" s="37">
        <v>25</v>
      </c>
      <c r="E40" s="37">
        <v>6</v>
      </c>
      <c r="F40" s="37">
        <v>15</v>
      </c>
      <c r="G40" s="37">
        <v>15</v>
      </c>
      <c r="H40" s="37"/>
      <c r="I40" s="37"/>
      <c r="J40" s="230">
        <v>7.9</v>
      </c>
      <c r="K40" s="230">
        <v>6.8</v>
      </c>
      <c r="L40" s="230">
        <v>8.6</v>
      </c>
      <c r="M40" s="230">
        <v>6.3</v>
      </c>
      <c r="N40" s="230">
        <v>9</v>
      </c>
      <c r="O40" s="37"/>
      <c r="P40" s="37"/>
      <c r="Q40" s="37">
        <v>385</v>
      </c>
      <c r="R40" s="37">
        <v>288</v>
      </c>
      <c r="S40" s="37">
        <v>215</v>
      </c>
      <c r="T40" s="37">
        <v>229</v>
      </c>
      <c r="U40" s="37">
        <v>260</v>
      </c>
      <c r="V40" s="37"/>
      <c r="W40" s="37"/>
      <c r="X40" s="230">
        <v>9</v>
      </c>
      <c r="Y40" s="37"/>
      <c r="Z40" s="37"/>
      <c r="AA40" s="37">
        <v>4</v>
      </c>
      <c r="AB40" s="37">
        <v>3</v>
      </c>
      <c r="AC40" s="37">
        <v>3</v>
      </c>
      <c r="AD40" s="37">
        <v>0</v>
      </c>
      <c r="AE40" s="37">
        <v>4</v>
      </c>
      <c r="AF40" s="37">
        <v>1</v>
      </c>
      <c r="AG40" s="37">
        <v>3</v>
      </c>
      <c r="AH40" s="37">
        <v>0</v>
      </c>
      <c r="AI40" s="37">
        <v>4</v>
      </c>
      <c r="AJ40" s="39">
        <v>0</v>
      </c>
    </row>
    <row r="41" spans="1:36" s="95" customFormat="1">
      <c r="A41" s="409"/>
      <c r="B41" s="325" t="s">
        <v>66</v>
      </c>
      <c r="C41" s="38">
        <v>1</v>
      </c>
      <c r="D41" s="37">
        <v>15</v>
      </c>
      <c r="E41" s="37">
        <v>24</v>
      </c>
      <c r="F41" s="37">
        <v>24</v>
      </c>
      <c r="G41" s="37">
        <v>27</v>
      </c>
      <c r="H41" s="37"/>
      <c r="I41" s="37"/>
      <c r="J41" s="230">
        <v>6.3</v>
      </c>
      <c r="K41" s="230">
        <v>4.7</v>
      </c>
      <c r="L41" s="230">
        <v>8.6999999999999993</v>
      </c>
      <c r="M41" s="230">
        <v>7.9</v>
      </c>
      <c r="N41" s="230">
        <v>5.9</v>
      </c>
      <c r="O41" s="37"/>
      <c r="P41" s="37"/>
      <c r="Q41" s="37">
        <v>462</v>
      </c>
      <c r="R41" s="37">
        <v>273</v>
      </c>
      <c r="S41" s="37">
        <v>237</v>
      </c>
      <c r="T41" s="37">
        <v>230</v>
      </c>
      <c r="U41" s="37">
        <v>341</v>
      </c>
      <c r="V41" s="37"/>
      <c r="W41" s="37"/>
      <c r="X41" s="230">
        <v>9</v>
      </c>
      <c r="Y41" s="37"/>
      <c r="Z41" s="37"/>
      <c r="AA41" s="37">
        <v>4</v>
      </c>
      <c r="AB41" s="37">
        <v>0</v>
      </c>
      <c r="AC41" s="37">
        <v>3</v>
      </c>
      <c r="AD41" s="37">
        <v>0</v>
      </c>
      <c r="AE41" s="37">
        <v>2</v>
      </c>
      <c r="AF41" s="37">
        <v>0</v>
      </c>
      <c r="AG41" s="37">
        <v>4</v>
      </c>
      <c r="AH41" s="37">
        <v>0</v>
      </c>
      <c r="AI41" s="37">
        <v>2</v>
      </c>
      <c r="AJ41" s="39">
        <v>0</v>
      </c>
    </row>
    <row r="42" spans="1:36" s="95" customFormat="1">
      <c r="A42" s="409"/>
      <c r="B42" s="325" t="s">
        <v>67</v>
      </c>
      <c r="C42" s="38">
        <v>5</v>
      </c>
      <c r="D42" s="37">
        <v>11</v>
      </c>
      <c r="E42" s="37">
        <v>5</v>
      </c>
      <c r="F42" s="37">
        <v>41</v>
      </c>
      <c r="G42" s="37">
        <v>51</v>
      </c>
      <c r="H42" s="37"/>
      <c r="I42" s="37"/>
      <c r="J42" s="230">
        <v>7.4</v>
      </c>
      <c r="K42" s="230">
        <v>4.8</v>
      </c>
      <c r="L42" s="230">
        <v>5.2</v>
      </c>
      <c r="M42" s="230">
        <v>7.2</v>
      </c>
      <c r="N42" s="230">
        <v>7.5</v>
      </c>
      <c r="O42" s="37"/>
      <c r="P42" s="37"/>
      <c r="Q42" s="37">
        <v>266</v>
      </c>
      <c r="R42" s="37">
        <v>242</v>
      </c>
      <c r="S42" s="37">
        <v>237</v>
      </c>
      <c r="T42" s="37">
        <v>253</v>
      </c>
      <c r="U42" s="37">
        <v>328</v>
      </c>
      <c r="V42" s="37"/>
      <c r="W42" s="37"/>
      <c r="X42" s="230">
        <v>10</v>
      </c>
      <c r="Y42" s="37"/>
      <c r="Z42" s="37"/>
      <c r="AA42" s="37">
        <v>4</v>
      </c>
      <c r="AB42" s="37">
        <v>1</v>
      </c>
      <c r="AC42" s="37">
        <v>3</v>
      </c>
      <c r="AD42" s="37">
        <v>0</v>
      </c>
      <c r="AE42" s="37">
        <v>3</v>
      </c>
      <c r="AF42" s="37">
        <v>2</v>
      </c>
      <c r="AG42" s="37">
        <v>4</v>
      </c>
      <c r="AH42" s="37">
        <v>1</v>
      </c>
      <c r="AI42" s="37">
        <v>4</v>
      </c>
      <c r="AJ42" s="39">
        <v>1</v>
      </c>
    </row>
    <row r="43" spans="1:36" s="95" customFormat="1">
      <c r="A43" s="410"/>
      <c r="B43" s="327" t="s">
        <v>68</v>
      </c>
      <c r="C43" s="74">
        <v>9</v>
      </c>
      <c r="D43" s="72">
        <v>16</v>
      </c>
      <c r="E43" s="72">
        <v>14</v>
      </c>
      <c r="F43" s="72">
        <v>31</v>
      </c>
      <c r="G43" s="72">
        <v>29</v>
      </c>
      <c r="H43" s="72"/>
      <c r="I43" s="72"/>
      <c r="J43" s="311">
        <v>7.2</v>
      </c>
      <c r="K43" s="311">
        <v>6.9</v>
      </c>
      <c r="L43" s="311">
        <v>7.6</v>
      </c>
      <c r="M43" s="311">
        <v>6.4</v>
      </c>
      <c r="N43" s="311">
        <v>10</v>
      </c>
      <c r="O43" s="72"/>
      <c r="P43" s="72"/>
      <c r="Q43" s="72">
        <v>15</v>
      </c>
      <c r="R43" s="72">
        <v>323</v>
      </c>
      <c r="S43" s="72">
        <v>237</v>
      </c>
      <c r="T43" s="72">
        <v>220</v>
      </c>
      <c r="U43" s="72">
        <v>258</v>
      </c>
      <c r="V43" s="72"/>
      <c r="W43" s="72"/>
      <c r="X43" s="311">
        <v>10</v>
      </c>
      <c r="Y43" s="72"/>
      <c r="Z43" s="72"/>
      <c r="AA43" s="72">
        <v>3</v>
      </c>
      <c r="AB43" s="72">
        <v>1</v>
      </c>
      <c r="AC43" s="72">
        <v>4</v>
      </c>
      <c r="AD43" s="72">
        <v>2</v>
      </c>
      <c r="AE43" s="72">
        <v>4</v>
      </c>
      <c r="AF43" s="72">
        <v>1</v>
      </c>
      <c r="AG43" s="72">
        <v>3</v>
      </c>
      <c r="AH43" s="72">
        <v>1</v>
      </c>
      <c r="AI43" s="72">
        <v>0</v>
      </c>
      <c r="AJ43" s="73">
        <v>0</v>
      </c>
    </row>
    <row r="46" spans="1:36">
      <c r="C46" s="411" t="s">
        <v>103</v>
      </c>
      <c r="D46" s="412"/>
      <c r="E46" s="412"/>
      <c r="F46" s="412"/>
      <c r="G46" s="413"/>
      <c r="H46" s="32"/>
      <c r="I46" s="4"/>
      <c r="J46" s="421" t="s">
        <v>103</v>
      </c>
      <c r="K46" s="422"/>
      <c r="L46" s="422"/>
      <c r="M46" s="422"/>
      <c r="N46" s="423"/>
      <c r="O46" s="32"/>
      <c r="P46" s="32"/>
      <c r="Q46" s="411" t="s">
        <v>103</v>
      </c>
      <c r="R46" s="412"/>
      <c r="S46" s="412"/>
      <c r="T46" s="412"/>
      <c r="U46" s="413"/>
      <c r="X46" s="61" t="s">
        <v>103</v>
      </c>
      <c r="Y46" s="50"/>
      <c r="Z46" s="50"/>
      <c r="AA46" s="417" t="s">
        <v>103</v>
      </c>
      <c r="AB46" s="418"/>
      <c r="AC46" s="418"/>
      <c r="AD46" s="418"/>
      <c r="AE46" s="418"/>
      <c r="AF46" s="418"/>
      <c r="AG46" s="418"/>
      <c r="AH46" s="418"/>
      <c r="AI46" s="418"/>
      <c r="AJ46" s="419"/>
    </row>
    <row r="47" spans="1:36">
      <c r="C47" s="41" t="s">
        <v>109</v>
      </c>
      <c r="D47" s="22" t="s">
        <v>110</v>
      </c>
      <c r="E47" s="22" t="s">
        <v>111</v>
      </c>
      <c r="F47" s="22" t="s">
        <v>112</v>
      </c>
      <c r="G47" s="23" t="s">
        <v>113</v>
      </c>
      <c r="H47" s="32"/>
      <c r="I47" s="4"/>
      <c r="J47" s="139" t="s">
        <v>155</v>
      </c>
      <c r="K47" s="21" t="s">
        <v>156</v>
      </c>
      <c r="L47" s="21" t="s">
        <v>157</v>
      </c>
      <c r="M47" s="21" t="s">
        <v>158</v>
      </c>
      <c r="N47" s="140" t="s">
        <v>159</v>
      </c>
      <c r="O47" s="32"/>
      <c r="Q47" s="41" t="s">
        <v>88</v>
      </c>
      <c r="R47" s="22" t="s">
        <v>89</v>
      </c>
      <c r="S47" s="22" t="s">
        <v>90</v>
      </c>
      <c r="T47" s="22" t="s">
        <v>91</v>
      </c>
      <c r="U47" s="23" t="s">
        <v>92</v>
      </c>
      <c r="W47" s="75" t="s">
        <v>108</v>
      </c>
      <c r="X47" s="63">
        <f>COUNT(X2:X12)</f>
        <v>11</v>
      </c>
      <c r="Z47" s="101" t="s">
        <v>76</v>
      </c>
      <c r="AA47" s="45">
        <f>ROUND(AVERAGE(SUM(AA111:AJ111), SUM(AA112:AJ112), SUM(AA113:AJ113), SUM(AA114:AJ114), SUM(AA115:AJ115), SUM(AA116:AJ116), SUM(AA117:AJ117), SUM(AA118:AJ118), SUM(AA119:AJ119), SUM(AA120:AJ120), SUM(AA121:AJ121)),3)</f>
        <v>61.136000000000003</v>
      </c>
      <c r="AB47" s="45"/>
      <c r="AC47" s="45"/>
      <c r="AD47" s="45"/>
      <c r="AE47" s="45"/>
      <c r="AF47" s="45"/>
      <c r="AG47" s="45"/>
      <c r="AH47" s="45"/>
      <c r="AI47" s="45"/>
      <c r="AJ47" s="46"/>
    </row>
    <row r="48" spans="1:36">
      <c r="B48" s="5" t="s">
        <v>76</v>
      </c>
      <c r="C48" s="167">
        <f>ROUND(AVERAGE(C2:C12),3)</f>
        <v>58.545000000000002</v>
      </c>
      <c r="D48" s="168">
        <f t="shared" ref="D48:G48" si="0">ROUND(AVERAGE(D2:D12),3)</f>
        <v>26.727</v>
      </c>
      <c r="E48" s="168">
        <f t="shared" si="0"/>
        <v>26.727</v>
      </c>
      <c r="F48" s="168">
        <f t="shared" si="0"/>
        <v>36.545000000000002</v>
      </c>
      <c r="G48" s="169">
        <f t="shared" si="0"/>
        <v>59.454999999999998</v>
      </c>
      <c r="H48" s="33"/>
      <c r="I48" s="5" t="s">
        <v>76</v>
      </c>
      <c r="J48" s="164">
        <f>ROUND(AVERAGE(J2:J12),3)</f>
        <v>3.2730000000000001</v>
      </c>
      <c r="K48" s="165">
        <f t="shared" ref="K48:N48" si="1">ROUND(AVERAGE(K2:K12),3)</f>
        <v>6.6269999999999998</v>
      </c>
      <c r="L48" s="165">
        <f t="shared" si="1"/>
        <v>7.6180000000000003</v>
      </c>
      <c r="M48" s="165">
        <f t="shared" si="1"/>
        <v>6.2359999999999998</v>
      </c>
      <c r="N48" s="166">
        <f t="shared" si="1"/>
        <v>6.3449999999999998</v>
      </c>
      <c r="O48" s="33"/>
      <c r="P48" s="66" t="s">
        <v>121</v>
      </c>
      <c r="Q48" s="123">
        <f t="array" ref="Q48">ROUND(EXP(AVERAGE(LN(Q2:Q12))),3)</f>
        <v>369.18200000000002</v>
      </c>
      <c r="R48" s="124">
        <f t="array" ref="R48">ROUND(EXP(AVERAGE(LN(R2:R12))),3)</f>
        <v>264.61</v>
      </c>
      <c r="S48" s="124">
        <f t="array" ref="S48">ROUND(EXP(AVERAGE(LN(S2:S12))),3)</f>
        <v>262.84100000000001</v>
      </c>
      <c r="T48" s="124">
        <f t="array" ref="T48">ROUND(EXP(AVERAGE(LN(T2:T12))),3)</f>
        <v>276.21899999999999</v>
      </c>
      <c r="U48" s="125">
        <f t="array" ref="U48">ROUND(EXP(AVERAGE(LN(U2:U12))),3)</f>
        <v>352.25900000000001</v>
      </c>
      <c r="W48" s="76" t="s">
        <v>126</v>
      </c>
      <c r="X48" s="64">
        <f>COUNTIF(X2:X12, "&gt;8")</f>
        <v>0</v>
      </c>
      <c r="Z48" s="102" t="s">
        <v>77</v>
      </c>
      <c r="AA48" s="50">
        <f>ROUND(_xlfn.STDEV.S(SUM(AA112:AJ112), SUM(AA113:AJ113), SUM(AA114:AJ114), SUM(AA115:AJ115), SUM(AA116:AJ116), SUM(AA117:AJ117), SUM(AA118:AJ118), SUM(AA119:AJ119), SUM(AA120:AJ120), SUM(AA121:AJ121), SUM(AA111:AJ111)),3)</f>
        <v>4.92</v>
      </c>
      <c r="AB48" s="50"/>
      <c r="AC48" s="50"/>
      <c r="AD48" s="50"/>
      <c r="AE48" s="50"/>
      <c r="AF48" s="50"/>
      <c r="AG48" s="50"/>
      <c r="AH48" s="50"/>
      <c r="AI48" s="50"/>
      <c r="AJ48" s="51"/>
    </row>
    <row r="49" spans="2:36">
      <c r="B49" s="6" t="s">
        <v>77</v>
      </c>
      <c r="C49" s="71">
        <f>ROUND(_xlfn.STDEV.S(C2:C12),3)</f>
        <v>7.7640000000000002</v>
      </c>
      <c r="D49" s="50">
        <f t="shared" ref="D49:G49" si="2">ROUND(_xlfn.STDEV.S(D2:D12),3)</f>
        <v>9.0670000000000002</v>
      </c>
      <c r="E49" s="50">
        <f t="shared" si="2"/>
        <v>9.3279999999999994</v>
      </c>
      <c r="F49" s="50">
        <f t="shared" si="2"/>
        <v>7.5410000000000004</v>
      </c>
      <c r="G49" s="51">
        <f t="shared" si="2"/>
        <v>8.9600000000000009</v>
      </c>
      <c r="H49" s="50"/>
      <c r="I49" s="6" t="s">
        <v>77</v>
      </c>
      <c r="J49" s="48">
        <f>ROUND(_xlfn.STDEV.S(J2:J12),3)</f>
        <v>2.2789999999999999</v>
      </c>
      <c r="K49" s="49">
        <f t="shared" ref="K49:N49" si="3">ROUND(_xlfn.STDEV.S(K2:K12),3)</f>
        <v>2.5139999999999998</v>
      </c>
      <c r="L49" s="49">
        <f t="shared" si="3"/>
        <v>1.647</v>
      </c>
      <c r="M49" s="49">
        <f t="shared" si="3"/>
        <v>0.91900000000000004</v>
      </c>
      <c r="N49" s="57">
        <f t="shared" si="3"/>
        <v>1.7350000000000001</v>
      </c>
      <c r="O49" s="50"/>
      <c r="P49" s="67" t="s">
        <v>122</v>
      </c>
      <c r="Q49" s="126">
        <f t="array" ref="Q49">ROUND(EXP(_xlfn.STDEV.S(LN(Q2:Q12))),3)</f>
        <v>1.258</v>
      </c>
      <c r="R49" s="127">
        <f t="array" ref="R49">ROUND(EXP(_xlfn.STDEV.S(LN(R2:R12))),3)</f>
        <v>1.34</v>
      </c>
      <c r="S49" s="127">
        <f t="array" ref="S49">ROUND(EXP(_xlfn.STDEV.S(LN(S2:S12))),3)</f>
        <v>1.462</v>
      </c>
      <c r="T49" s="127">
        <f t="array" ref="T49">ROUND(EXP(_xlfn.STDEV.S(LN(T2:T12))),3)</f>
        <v>1.3140000000000001</v>
      </c>
      <c r="U49" s="128">
        <f t="array" ref="U49">ROUND(EXP(_xlfn.STDEV.S(LN(U2:U12))),3)</f>
        <v>1.1930000000000001</v>
      </c>
      <c r="W49" s="76" t="s">
        <v>127</v>
      </c>
      <c r="X49" s="64">
        <f>COUNTIF(X2:X12, "&lt;7")</f>
        <v>10</v>
      </c>
      <c r="Z49" s="102" t="s">
        <v>108</v>
      </c>
      <c r="AA49" s="50">
        <f>COUNT(AA2:AA12)</f>
        <v>11</v>
      </c>
      <c r="AB49" s="50"/>
      <c r="AC49" s="50"/>
      <c r="AD49" s="50"/>
      <c r="AE49" s="50"/>
      <c r="AF49" s="50"/>
      <c r="AG49" s="50"/>
      <c r="AH49" s="50"/>
      <c r="AI49" s="50"/>
      <c r="AJ49" s="51"/>
    </row>
    <row r="50" spans="2:36">
      <c r="B50" s="6" t="s">
        <v>108</v>
      </c>
      <c r="C50" s="71">
        <f>COUNT(C2:C12)</f>
        <v>11</v>
      </c>
      <c r="D50" s="50"/>
      <c r="E50" s="50"/>
      <c r="F50" s="50"/>
      <c r="G50" s="51"/>
      <c r="H50" s="50"/>
      <c r="I50" s="6" t="s">
        <v>108</v>
      </c>
      <c r="J50" s="48">
        <f>COUNT(J2:J12)</f>
        <v>11</v>
      </c>
      <c r="K50" s="49"/>
      <c r="L50" s="49"/>
      <c r="M50" s="49"/>
      <c r="N50" s="57"/>
      <c r="O50" s="50"/>
      <c r="P50" s="68" t="s">
        <v>108</v>
      </c>
      <c r="Q50" s="126">
        <f>COUNT(Q2:Q12)</f>
        <v>11</v>
      </c>
      <c r="R50" s="127"/>
      <c r="S50" s="127"/>
      <c r="T50" s="127"/>
      <c r="U50" s="128"/>
      <c r="W50" s="76" t="s">
        <v>129</v>
      </c>
      <c r="X50" s="64">
        <f>X47-X48-X49</f>
        <v>1</v>
      </c>
      <c r="Z50" s="102" t="s">
        <v>106</v>
      </c>
      <c r="AA50" s="50">
        <f>ROUND(TINV(0.05,AA49-1),3)</f>
        <v>2.2280000000000002</v>
      </c>
      <c r="AB50" s="50"/>
      <c r="AC50" s="50"/>
      <c r="AD50" s="50"/>
      <c r="AE50" s="50"/>
      <c r="AF50" s="50"/>
      <c r="AG50" s="50"/>
      <c r="AH50" s="50"/>
      <c r="AI50" s="50"/>
      <c r="AJ50" s="51"/>
    </row>
    <row r="51" spans="2:36">
      <c r="B51" s="6" t="s">
        <v>107</v>
      </c>
      <c r="C51" s="71">
        <v>0.05</v>
      </c>
      <c r="D51" s="50"/>
      <c r="E51" s="50"/>
      <c r="F51" s="50"/>
      <c r="G51" s="51"/>
      <c r="H51" s="50"/>
      <c r="I51" s="6" t="s">
        <v>107</v>
      </c>
      <c r="J51" s="48">
        <v>0.05</v>
      </c>
      <c r="K51" s="49"/>
      <c r="L51" s="49"/>
      <c r="M51" s="49"/>
      <c r="N51" s="57"/>
      <c r="O51" s="50"/>
      <c r="P51" s="67" t="s">
        <v>107</v>
      </c>
      <c r="Q51" s="129">
        <v>0.05</v>
      </c>
      <c r="R51" s="130"/>
      <c r="S51" s="130"/>
      <c r="T51" s="130"/>
      <c r="U51" s="131"/>
      <c r="W51" s="76" t="s">
        <v>128</v>
      </c>
      <c r="X51" s="64">
        <f>ROUND((X48-X49)/X47,3)</f>
        <v>-0.90900000000000003</v>
      </c>
      <c r="Z51" s="102" t="s">
        <v>114</v>
      </c>
      <c r="AA51" s="50">
        <f>ROUND(AA50*AA48/SQRT(AA49),3)</f>
        <v>3.3050000000000002</v>
      </c>
      <c r="AB51" s="50"/>
      <c r="AC51" s="50"/>
      <c r="AD51" s="50"/>
      <c r="AE51" s="50"/>
      <c r="AF51" s="50"/>
      <c r="AG51" s="50"/>
      <c r="AH51" s="50"/>
      <c r="AI51" s="50"/>
      <c r="AJ51" s="51"/>
    </row>
    <row r="52" spans="2:36">
      <c r="B52" s="6" t="s">
        <v>106</v>
      </c>
      <c r="C52" s="71">
        <f>ROUND(TINV(0.05,C50-1),3)</f>
        <v>2.2280000000000002</v>
      </c>
      <c r="D52" s="50"/>
      <c r="E52" s="50"/>
      <c r="F52" s="50"/>
      <c r="G52" s="51"/>
      <c r="H52" s="50"/>
      <c r="I52" s="6" t="s">
        <v>106</v>
      </c>
      <c r="J52" s="48">
        <f>ROUND(TINV(0.05,J50-1),3)</f>
        <v>2.2280000000000002</v>
      </c>
      <c r="K52" s="49"/>
      <c r="L52" s="49"/>
      <c r="M52" s="49"/>
      <c r="N52" s="57"/>
      <c r="O52" s="50"/>
      <c r="P52" s="67" t="s">
        <v>106</v>
      </c>
      <c r="Q52" s="129">
        <f>ROUND(TINV(0.05,Q50-1),3)</f>
        <v>2.2280000000000002</v>
      </c>
      <c r="R52" s="130"/>
      <c r="S52" s="130"/>
      <c r="T52" s="130"/>
      <c r="U52" s="131"/>
      <c r="W52" s="76" t="s">
        <v>106</v>
      </c>
      <c r="X52" s="64">
        <f>ROUND(TINV(0.05, X47-1),3)</f>
        <v>2.2280000000000002</v>
      </c>
      <c r="Z52" s="102" t="s">
        <v>138</v>
      </c>
      <c r="AA52" s="50">
        <f>AA47+AA51</f>
        <v>64.441000000000003</v>
      </c>
      <c r="AB52" s="50"/>
      <c r="AC52" s="50"/>
      <c r="AD52" s="50"/>
      <c r="AE52" s="50"/>
      <c r="AF52" s="50"/>
      <c r="AG52" s="50"/>
      <c r="AH52" s="50"/>
      <c r="AI52" s="50"/>
      <c r="AJ52" s="51"/>
    </row>
    <row r="53" spans="2:36">
      <c r="B53" s="162" t="s">
        <v>114</v>
      </c>
      <c r="C53" s="71">
        <f>ROUND($C52*C49/SQRT($C50),3)</f>
        <v>5.2160000000000002</v>
      </c>
      <c r="D53" s="50">
        <f t="shared" ref="D53:G53" si="4">ROUND($C52*D49/SQRT($C50),3)</f>
        <v>6.0910000000000002</v>
      </c>
      <c r="E53" s="50">
        <f t="shared" si="4"/>
        <v>6.266</v>
      </c>
      <c r="F53" s="50">
        <f t="shared" si="4"/>
        <v>5.0659999999999998</v>
      </c>
      <c r="G53" s="51">
        <f t="shared" si="4"/>
        <v>6.0190000000000001</v>
      </c>
      <c r="H53" s="50"/>
      <c r="I53" s="162" t="s">
        <v>114</v>
      </c>
      <c r="J53" s="48">
        <f>ROUND($J52*J49/SQRT($J50),3)</f>
        <v>1.5309999999999999</v>
      </c>
      <c r="K53" s="49">
        <f t="shared" ref="K53:N53" si="5">ROUND($J52*K49/SQRT($J50),3)</f>
        <v>1.6890000000000001</v>
      </c>
      <c r="L53" s="49">
        <f t="shared" si="5"/>
        <v>1.1060000000000001</v>
      </c>
      <c r="M53" s="49">
        <f t="shared" si="5"/>
        <v>0.61699999999999999</v>
      </c>
      <c r="N53" s="57">
        <f t="shared" si="5"/>
        <v>1.1659999999999999</v>
      </c>
      <c r="O53" s="50"/>
      <c r="P53" s="67" t="s">
        <v>138</v>
      </c>
      <c r="Q53" s="129">
        <f t="array" ref="Q53">ROUND(EXP(AVERAGE(LN(Q2:Q12)+$Q52*_xlfn.STDEV.S(LN(Q2:Q12))/SQRT($Q50))),0)</f>
        <v>431</v>
      </c>
      <c r="R53" s="130">
        <f t="array" ref="R53">ROUND(EXP(AVERAGE(LN(R2:R12)+$Q52*_xlfn.STDEV.S(LN(R2:R12))/SQRT($Q50))),0)</f>
        <v>322</v>
      </c>
      <c r="S53" s="130">
        <f t="array" ref="S53">ROUND(EXP(AVERAGE(LN(S2:S12)+$Q52*_xlfn.STDEV.S(LN(S2:S12))/SQRT($Q50))),0)</f>
        <v>339</v>
      </c>
      <c r="T53" s="130">
        <f t="array" ref="T53">ROUND(EXP(AVERAGE(LN(T2:T12)+$Q52*_xlfn.STDEV.S(LN(T2:T12))/SQRT($Q50))),0)</f>
        <v>332</v>
      </c>
      <c r="U53" s="131">
        <f t="array" ref="U53">ROUND(EXP(AVERAGE(LN(U2:U12)+$Q52*_xlfn.STDEV.S(LN(U2:U12))/SQRT($Q50))),0)</f>
        <v>397</v>
      </c>
      <c r="W53" s="77" t="s">
        <v>114</v>
      </c>
      <c r="X53" s="65">
        <f>ROUND(X52*((1-X51)^2*(X48/X47)+(0-X51)^2*(X50/X47) +(-1-X51)^2 *(X49/X47))/SQRT(X47),3)</f>
        <v>5.6000000000000001E-2</v>
      </c>
      <c r="Z53" s="102" t="s">
        <v>139</v>
      </c>
      <c r="AA53" s="50">
        <f>AA47-AA51</f>
        <v>57.831000000000003</v>
      </c>
      <c r="AB53" s="50"/>
      <c r="AC53" s="50"/>
      <c r="AD53" s="50"/>
      <c r="AE53" s="50"/>
      <c r="AF53" s="50"/>
      <c r="AG53" s="50"/>
      <c r="AH53" s="50"/>
      <c r="AI53" s="50"/>
      <c r="AJ53" s="51"/>
    </row>
    <row r="54" spans="2:36">
      <c r="B54" s="6" t="s">
        <v>115</v>
      </c>
      <c r="C54" s="147">
        <f>ROUND(C48+$C53,3)</f>
        <v>63.761000000000003</v>
      </c>
      <c r="D54" s="33">
        <f t="shared" ref="D54:G54" si="6">ROUND(D48+$C53,3)</f>
        <v>31.943000000000001</v>
      </c>
      <c r="E54" s="33">
        <f t="shared" si="6"/>
        <v>31.943000000000001</v>
      </c>
      <c r="F54" s="33">
        <f t="shared" si="6"/>
        <v>41.761000000000003</v>
      </c>
      <c r="G54" s="148">
        <f t="shared" si="6"/>
        <v>64.671000000000006</v>
      </c>
      <c r="H54" s="33"/>
      <c r="I54" s="6" t="s">
        <v>115</v>
      </c>
      <c r="J54" s="25">
        <f>ROUND(J48+$C53,3)</f>
        <v>8.4890000000000008</v>
      </c>
      <c r="K54" s="26">
        <f t="shared" ref="K54" si="7">ROUND(K48+$C53,3)</f>
        <v>11.843</v>
      </c>
      <c r="L54" s="26">
        <f t="shared" ref="L54" si="8">ROUND(L48+$C53,3)</f>
        <v>12.834</v>
      </c>
      <c r="M54" s="26">
        <f t="shared" ref="M54" si="9">ROUND(M48+$C53,3)</f>
        <v>11.452</v>
      </c>
      <c r="N54" s="27">
        <f t="shared" ref="N54" si="10">ROUND(N48+$C53,3)</f>
        <v>11.561</v>
      </c>
      <c r="O54" s="33"/>
      <c r="P54" s="71" t="s">
        <v>139</v>
      </c>
      <c r="Q54" s="129">
        <f t="array" ref="Q54">ROUND(EXP(AVERAGE(LN(Q2:Q12)-$Q52*_xlfn.STDEV.S(LN(Q2:Q12))/SQRT($Q50))),0)</f>
        <v>316</v>
      </c>
      <c r="R54" s="130">
        <f t="array" ref="R54">ROUND(EXP(AVERAGE(LN(R2:R12)-$Q52*_xlfn.STDEV.S(LN(R2:R12))/SQRT($Q50))),0)</f>
        <v>217</v>
      </c>
      <c r="S54" s="130">
        <f t="array" ref="S54">ROUND(EXP(AVERAGE(LN(S2:S12)-$Q52*_xlfn.STDEV.S(LN(S2:S12))/SQRT($Q50))),0)</f>
        <v>204</v>
      </c>
      <c r="T54" s="130">
        <f t="array" ref="T54">ROUND(EXP(AVERAGE(LN(T2:T12)-$Q52*_xlfn.STDEV.S(LN(T2:T12))/SQRT($Q50))),0)</f>
        <v>230</v>
      </c>
      <c r="U54" s="131">
        <f t="array" ref="U54">ROUND(EXP(AVERAGE(LN(U2:U12)-$Q52*_xlfn.STDEV.S(LN(U2:U12))/SQRT($Q50))),0)</f>
        <v>313</v>
      </c>
      <c r="Z54" s="102" t="s">
        <v>140</v>
      </c>
      <c r="AA54" s="115">
        <v>0.19</v>
      </c>
      <c r="AB54" s="118" t="s">
        <v>149</v>
      </c>
      <c r="AC54" s="50"/>
      <c r="AD54" s="50"/>
      <c r="AE54" s="50"/>
      <c r="AF54" s="50"/>
      <c r="AG54" s="50"/>
      <c r="AH54" s="50"/>
      <c r="AI54" s="50"/>
      <c r="AJ54" s="51"/>
    </row>
    <row r="55" spans="2:36">
      <c r="B55" s="7" t="s">
        <v>116</v>
      </c>
      <c r="C55" s="122">
        <f>ROUND(C48-$C53, 3)</f>
        <v>53.329000000000001</v>
      </c>
      <c r="D55" s="149">
        <f t="shared" ref="D55:G55" si="11">ROUND(D48-$C53, 3)</f>
        <v>21.510999999999999</v>
      </c>
      <c r="E55" s="149">
        <f t="shared" si="11"/>
        <v>21.510999999999999</v>
      </c>
      <c r="F55" s="149">
        <f t="shared" si="11"/>
        <v>31.329000000000001</v>
      </c>
      <c r="G55" s="150">
        <f t="shared" si="11"/>
        <v>54.238999999999997</v>
      </c>
      <c r="H55" s="33"/>
      <c r="I55" s="7" t="s">
        <v>116</v>
      </c>
      <c r="J55" s="29">
        <f>ROUND(J48-$C53, 3)</f>
        <v>-1.9430000000000001</v>
      </c>
      <c r="K55" s="30">
        <f t="shared" ref="K55:N55" si="12">ROUND(K48-$C53, 3)</f>
        <v>1.411</v>
      </c>
      <c r="L55" s="30">
        <f t="shared" si="12"/>
        <v>2.4020000000000001</v>
      </c>
      <c r="M55" s="30">
        <f t="shared" si="12"/>
        <v>1.02</v>
      </c>
      <c r="N55" s="31">
        <f t="shared" si="12"/>
        <v>1.129</v>
      </c>
      <c r="O55" s="33"/>
      <c r="P55" s="67" t="s">
        <v>150</v>
      </c>
      <c r="Q55" s="129">
        <f>(Q53-Q54)/2</f>
        <v>57.5</v>
      </c>
      <c r="R55" s="130">
        <f t="shared" ref="R55:U55" si="13">(R53-R54)/2</f>
        <v>52.5</v>
      </c>
      <c r="S55" s="130">
        <f t="shared" si="13"/>
        <v>67.5</v>
      </c>
      <c r="T55" s="130">
        <f t="shared" si="13"/>
        <v>51</v>
      </c>
      <c r="U55" s="131">
        <f t="shared" si="13"/>
        <v>42</v>
      </c>
      <c r="Z55" s="102" t="s">
        <v>141</v>
      </c>
      <c r="AA55" s="115">
        <v>0.41</v>
      </c>
      <c r="AB55" s="118" t="s">
        <v>149</v>
      </c>
      <c r="AC55" s="50"/>
      <c r="AD55" s="50"/>
      <c r="AE55" s="50"/>
      <c r="AF55" s="50"/>
      <c r="AG55" s="50"/>
      <c r="AH55" s="50"/>
      <c r="AI55" s="50"/>
      <c r="AJ55" s="51"/>
    </row>
    <row r="56" spans="2:36">
      <c r="I56" s="4"/>
      <c r="P56" s="152" t="s">
        <v>151</v>
      </c>
      <c r="Q56" s="132">
        <f>0.5*(Q53-Q54)+Q54</f>
        <v>373.5</v>
      </c>
      <c r="R56" s="133">
        <f t="shared" ref="R56:U56" si="14">0.5*(R53-R54)+R54</f>
        <v>269.5</v>
      </c>
      <c r="S56" s="133">
        <f t="shared" si="14"/>
        <v>271.5</v>
      </c>
      <c r="T56" s="133">
        <f t="shared" si="14"/>
        <v>281</v>
      </c>
      <c r="U56" s="134">
        <f t="shared" si="14"/>
        <v>355</v>
      </c>
      <c r="Z56" s="102" t="s">
        <v>144</v>
      </c>
      <c r="AA56" s="115">
        <f>(AA55-AA54)/2</f>
        <v>0.10999999999999999</v>
      </c>
      <c r="AB56" s="50"/>
      <c r="AC56" s="50"/>
      <c r="AD56" s="50"/>
      <c r="AE56" s="50"/>
      <c r="AF56" s="50"/>
      <c r="AG56" s="50"/>
      <c r="AH56" s="50"/>
      <c r="AI56" s="50"/>
      <c r="AJ56" s="51"/>
    </row>
    <row r="57" spans="2:36">
      <c r="I57" s="4"/>
      <c r="P57" s="8"/>
      <c r="Q57" s="135"/>
      <c r="R57" s="135"/>
      <c r="S57" s="135"/>
      <c r="T57" s="135"/>
      <c r="U57" s="135"/>
      <c r="Z57" s="104" t="s">
        <v>145</v>
      </c>
      <c r="AA57" s="116">
        <f>AA54+AA56</f>
        <v>0.3</v>
      </c>
      <c r="AB57" s="54"/>
      <c r="AC57" s="54"/>
      <c r="AD57" s="54"/>
      <c r="AE57" s="54"/>
      <c r="AF57" s="54"/>
      <c r="AG57" s="54"/>
      <c r="AH57" s="54"/>
      <c r="AI57" s="54"/>
      <c r="AJ57" s="55"/>
    </row>
    <row r="58" spans="2:36">
      <c r="C58" s="414" t="s">
        <v>104</v>
      </c>
      <c r="D58" s="415"/>
      <c r="E58" s="415"/>
      <c r="F58" s="415"/>
      <c r="G58" s="416"/>
      <c r="H58" s="50"/>
      <c r="I58" s="4"/>
      <c r="J58" s="424" t="s">
        <v>104</v>
      </c>
      <c r="K58" s="425"/>
      <c r="L58" s="425"/>
      <c r="M58" s="425"/>
      <c r="N58" s="426"/>
      <c r="O58" s="50"/>
      <c r="P58" s="32"/>
      <c r="Q58" s="427" t="s">
        <v>104</v>
      </c>
      <c r="R58" s="428"/>
      <c r="S58" s="428"/>
      <c r="T58" s="428"/>
      <c r="U58" s="429"/>
      <c r="X58" s="61" t="s">
        <v>104</v>
      </c>
      <c r="Y58" s="50"/>
    </row>
    <row r="59" spans="2:36">
      <c r="C59" s="41" t="s">
        <v>109</v>
      </c>
      <c r="D59" s="22" t="s">
        <v>110</v>
      </c>
      <c r="E59" s="22" t="s">
        <v>111</v>
      </c>
      <c r="F59" s="22" t="s">
        <v>112</v>
      </c>
      <c r="G59" s="23" t="s">
        <v>113</v>
      </c>
      <c r="H59" s="32"/>
      <c r="I59" s="4"/>
      <c r="J59" s="139" t="s">
        <v>160</v>
      </c>
      <c r="K59" s="21" t="s">
        <v>161</v>
      </c>
      <c r="L59" s="21" t="s">
        <v>162</v>
      </c>
      <c r="M59" s="21" t="s">
        <v>163</v>
      </c>
      <c r="N59" s="140" t="s">
        <v>164</v>
      </c>
      <c r="O59" s="32"/>
      <c r="Q59" s="41" t="s">
        <v>93</v>
      </c>
      <c r="R59" s="22" t="s">
        <v>94</v>
      </c>
      <c r="S59" s="22" t="s">
        <v>95</v>
      </c>
      <c r="T59" s="22" t="s">
        <v>96</v>
      </c>
      <c r="U59" s="23" t="s">
        <v>97</v>
      </c>
      <c r="W59" s="66" t="s">
        <v>108</v>
      </c>
      <c r="X59" s="63">
        <f>COUNT(X15:X26)</f>
        <v>12</v>
      </c>
    </row>
    <row r="60" spans="2:36">
      <c r="B60" s="5" t="s">
        <v>76</v>
      </c>
      <c r="C60" s="147">
        <f>ROUND(AVERAGE(C15:C26),3)</f>
        <v>22.917000000000002</v>
      </c>
      <c r="D60" s="33">
        <f t="shared" ref="D60:F60" si="15">ROUND(AVERAGE(D15:D26),3)</f>
        <v>25.917000000000002</v>
      </c>
      <c r="E60" s="33">
        <f t="shared" si="15"/>
        <v>22.75</v>
      </c>
      <c r="F60" s="33">
        <f t="shared" si="15"/>
        <v>32.417000000000002</v>
      </c>
      <c r="G60" s="148">
        <f>ROUND(AVERAGE(G15:G26),3)</f>
        <v>49.417000000000002</v>
      </c>
      <c r="H60" s="33"/>
      <c r="I60" s="5" t="s">
        <v>76</v>
      </c>
      <c r="J60" s="164">
        <f>ROUND(AVERAGE(J15:J26),3)</f>
        <v>6.4669999999999996</v>
      </c>
      <c r="K60" s="165">
        <f t="shared" ref="K60:M60" si="16">ROUND(AVERAGE(K15:K26),3)</f>
        <v>6.9669999999999996</v>
      </c>
      <c r="L60" s="165">
        <f t="shared" si="16"/>
        <v>6.7750000000000004</v>
      </c>
      <c r="M60" s="165">
        <f t="shared" si="16"/>
        <v>8.4420000000000002</v>
      </c>
      <c r="N60" s="166">
        <f>ROUND(AVERAGE(N15:N26),3)</f>
        <v>7.2830000000000004</v>
      </c>
      <c r="O60" s="33"/>
      <c r="P60" s="66" t="s">
        <v>121</v>
      </c>
      <c r="Q60" s="123">
        <f t="array" ref="Q60">ROUND(EXP(AVERAGE(LN(Q15:Q26))),3)</f>
        <v>267.15499999999997</v>
      </c>
      <c r="R60" s="124">
        <f t="array" ref="R60">ROUND(EXP(AVERAGE(LN(R15:R26))),3)</f>
        <v>261.12900000000002</v>
      </c>
      <c r="S60" s="124">
        <f t="array" ref="S60">ROUND(EXP(AVERAGE(LN(S15:S26))),3)</f>
        <v>238.85900000000001</v>
      </c>
      <c r="T60" s="124">
        <f t="array" ref="T60">ROUND(EXP(AVERAGE(LN(T15:T26))),3)</f>
        <v>270.83600000000001</v>
      </c>
      <c r="U60" s="125">
        <f t="array" ref="U60">ROUND(EXP(AVERAGE(LN(U15:U26))),3)</f>
        <v>321.29399999999998</v>
      </c>
      <c r="W60" s="67" t="s">
        <v>126</v>
      </c>
      <c r="X60" s="64">
        <f>COUNTIF(X15:X26, "&gt;8")</f>
        <v>2</v>
      </c>
      <c r="Z60" s="103"/>
      <c r="AA60" s="417" t="s">
        <v>104</v>
      </c>
      <c r="AB60" s="418"/>
      <c r="AC60" s="418"/>
      <c r="AD60" s="418"/>
      <c r="AE60" s="418"/>
      <c r="AF60" s="418"/>
      <c r="AG60" s="418"/>
      <c r="AH60" s="418"/>
      <c r="AI60" s="418"/>
      <c r="AJ60" s="419"/>
    </row>
    <row r="61" spans="2:36">
      <c r="B61" s="6" t="s">
        <v>77</v>
      </c>
      <c r="C61" s="71">
        <f>ROUND(_xlfn.STDEV.S(C15:C26),3)</f>
        <v>10.875</v>
      </c>
      <c r="D61" s="50">
        <f t="shared" ref="D61:G61" si="17">ROUND(_xlfn.STDEV.S(D15:D26),3)</f>
        <v>12.132</v>
      </c>
      <c r="E61" s="50">
        <f t="shared" si="17"/>
        <v>11.161</v>
      </c>
      <c r="F61" s="50">
        <f t="shared" si="17"/>
        <v>9.5869999999999997</v>
      </c>
      <c r="G61" s="51">
        <f t="shared" si="17"/>
        <v>6.3449999999999998</v>
      </c>
      <c r="H61" s="50"/>
      <c r="I61" s="6" t="s">
        <v>77</v>
      </c>
      <c r="J61" s="48">
        <f>ROUND(_xlfn.STDEV.S(J15:J26),3)</f>
        <v>1.6839999999999999</v>
      </c>
      <c r="K61" s="49">
        <f t="shared" ref="K61:N61" si="18">ROUND(_xlfn.STDEV.S(K15:K26),3)</f>
        <v>2.1429999999999998</v>
      </c>
      <c r="L61" s="49">
        <f t="shared" si="18"/>
        <v>2.1749999999999998</v>
      </c>
      <c r="M61" s="49">
        <f t="shared" si="18"/>
        <v>1.1559999999999999</v>
      </c>
      <c r="N61" s="57">
        <f t="shared" si="18"/>
        <v>2.0760000000000001</v>
      </c>
      <c r="O61" s="50"/>
      <c r="P61" s="67" t="s">
        <v>122</v>
      </c>
      <c r="Q61" s="126">
        <f t="array" ref="Q61">ROUND(EXP(_xlfn.STDEV.S(LN(Q15:Q26))),3)</f>
        <v>1.2310000000000001</v>
      </c>
      <c r="R61" s="127">
        <f t="array" ref="R61">ROUND(EXP(_xlfn.STDEV.S(LN(R15:R26))),3)</f>
        <v>1.42</v>
      </c>
      <c r="S61" s="127">
        <f t="array" ref="S61">ROUND(EXP(_xlfn.STDEV.S(LN(S15:S26))),3)</f>
        <v>1.4390000000000001</v>
      </c>
      <c r="T61" s="127">
        <f t="array" ref="T61">ROUND(EXP(_xlfn.STDEV.S(LN(T15:T26))),3)</f>
        <v>1.351</v>
      </c>
      <c r="U61" s="128">
        <f t="array" ref="U61">ROUND(EXP(_xlfn.STDEV.S(LN(U15:U26))),3)</f>
        <v>1.3120000000000001</v>
      </c>
      <c r="W61" s="67" t="s">
        <v>127</v>
      </c>
      <c r="X61" s="64">
        <f>COUNTIF(X15:X26, "&lt;7")</f>
        <v>4</v>
      </c>
      <c r="Z61" s="101" t="s">
        <v>76</v>
      </c>
      <c r="AA61" s="70">
        <f>ROUND(AVERAGE(SUM(AA134:AJ134), SUM(AA124:AJ124), SUM(AA125:AJ125), SUM(AA126:AJ126), SUM(AA127:AJ127), SUM(AA128:AJ128), SUM(AA129:AJ129), SUM(AA135:AJ135), SUM(AA130:AJ130), SUM(AA131:AJ131), SUM(AA132:AJ132), SUM(AA133:AJ133)),3)</f>
        <v>72.082999999999998</v>
      </c>
      <c r="AB61" s="45"/>
      <c r="AC61" s="45"/>
      <c r="AD61" s="45"/>
      <c r="AE61" s="45"/>
      <c r="AF61" s="45"/>
      <c r="AG61" s="45"/>
      <c r="AH61" s="45"/>
      <c r="AI61" s="45"/>
      <c r="AJ61" s="46"/>
    </row>
    <row r="62" spans="2:36">
      <c r="B62" s="6" t="s">
        <v>108</v>
      </c>
      <c r="C62" s="71">
        <f>COUNT(C15:C26)</f>
        <v>12</v>
      </c>
      <c r="D62" s="50"/>
      <c r="E62" s="50"/>
      <c r="F62" s="50"/>
      <c r="G62" s="51"/>
      <c r="H62" s="50"/>
      <c r="I62" s="6" t="s">
        <v>108</v>
      </c>
      <c r="J62" s="48">
        <f>COUNT(J15:J26)</f>
        <v>12</v>
      </c>
      <c r="K62" s="49"/>
      <c r="L62" s="49"/>
      <c r="M62" s="49"/>
      <c r="N62" s="57"/>
      <c r="O62" s="50"/>
      <c r="P62" s="68" t="s">
        <v>108</v>
      </c>
      <c r="Q62" s="126">
        <f>COUNT(Q15:Q26)</f>
        <v>12</v>
      </c>
      <c r="R62" s="127"/>
      <c r="S62" s="127"/>
      <c r="T62" s="127"/>
      <c r="U62" s="128"/>
      <c r="W62" s="67" t="s">
        <v>129</v>
      </c>
      <c r="X62" s="64">
        <f>X59-X60-X61</f>
        <v>6</v>
      </c>
      <c r="Z62" s="102" t="s">
        <v>77</v>
      </c>
      <c r="AA62" s="71">
        <f>ROUND(_xlfn.STDEV.S(SUM(AA135:AJ135), SUM(AA125:AJ125), SUM(AA126:AJ126), SUM(AA127:AJ127), SUM(AA128:AJ128), SUM(AA129:AJ129), SUM(AA130:AJ130), SUM(AA124:AJ124), SUM(AA131:AJ131), SUM(AA132:AJ132), SUM(AA133:AJ133), SUM(AA134:AJ134)),3)</f>
        <v>6.47</v>
      </c>
      <c r="AB62" s="50"/>
      <c r="AC62" s="50"/>
      <c r="AD62" s="50"/>
      <c r="AE62" s="50"/>
      <c r="AF62" s="50"/>
      <c r="AG62" s="50"/>
      <c r="AH62" s="50"/>
      <c r="AI62" s="50"/>
      <c r="AJ62" s="51"/>
    </row>
    <row r="63" spans="2:36">
      <c r="B63" s="6" t="s">
        <v>107</v>
      </c>
      <c r="C63" s="71">
        <v>0.05</v>
      </c>
      <c r="D63" s="50"/>
      <c r="E63" s="50"/>
      <c r="F63" s="50"/>
      <c r="G63" s="51"/>
      <c r="H63" s="50"/>
      <c r="I63" s="6" t="s">
        <v>107</v>
      </c>
      <c r="J63" s="48">
        <v>0.05</v>
      </c>
      <c r="K63" s="49"/>
      <c r="L63" s="49"/>
      <c r="M63" s="49"/>
      <c r="N63" s="57"/>
      <c r="O63" s="50"/>
      <c r="P63" s="67" t="s">
        <v>107</v>
      </c>
      <c r="Q63" s="129">
        <v>0.05</v>
      </c>
      <c r="R63" s="130"/>
      <c r="S63" s="130"/>
      <c r="T63" s="130"/>
      <c r="U63" s="131"/>
      <c r="W63" s="67" t="s">
        <v>128</v>
      </c>
      <c r="X63" s="64">
        <f>ROUND((X60-X61)/X59, 3)</f>
        <v>-0.16700000000000001</v>
      </c>
      <c r="Z63" s="102" t="s">
        <v>108</v>
      </c>
      <c r="AA63" s="71">
        <f>COUNT(AA15:AA26)</f>
        <v>12</v>
      </c>
      <c r="AB63" s="50"/>
      <c r="AC63" s="50"/>
      <c r="AD63" s="50"/>
      <c r="AE63" s="50"/>
      <c r="AF63" s="50"/>
      <c r="AG63" s="50"/>
      <c r="AH63" s="50"/>
      <c r="AI63" s="50"/>
      <c r="AJ63" s="51"/>
    </row>
    <row r="64" spans="2:36">
      <c r="B64" s="6" t="s">
        <v>106</v>
      </c>
      <c r="C64" s="71">
        <f>ROUND(TINV(0.05,C62-1),3)</f>
        <v>2.2010000000000001</v>
      </c>
      <c r="D64" s="50"/>
      <c r="E64" s="50"/>
      <c r="F64" s="50"/>
      <c r="G64" s="51"/>
      <c r="H64" s="50"/>
      <c r="I64" s="6" t="s">
        <v>106</v>
      </c>
      <c r="J64" s="48">
        <f>ROUND(TINV(0.05,J62-1),3)</f>
        <v>2.2010000000000001</v>
      </c>
      <c r="K64" s="49"/>
      <c r="L64" s="49"/>
      <c r="M64" s="49"/>
      <c r="N64" s="57"/>
      <c r="O64" s="50"/>
      <c r="P64" s="67" t="s">
        <v>106</v>
      </c>
      <c r="Q64" s="129">
        <f>ROUND(TINV(0.05,Q62-1),3)</f>
        <v>2.2010000000000001</v>
      </c>
      <c r="R64" s="130"/>
      <c r="S64" s="130"/>
      <c r="T64" s="130"/>
      <c r="U64" s="131"/>
      <c r="W64" s="67" t="s">
        <v>106</v>
      </c>
      <c r="X64" s="64">
        <f>ROUND(TINV(0.05, X59-1),3)</f>
        <v>2.2010000000000001</v>
      </c>
      <c r="Z64" s="102" t="s">
        <v>106</v>
      </c>
      <c r="AA64" s="71">
        <f>ROUND(TINV(0.05,AA63-1),3)</f>
        <v>2.2010000000000001</v>
      </c>
      <c r="AB64" s="50"/>
      <c r="AC64" s="50"/>
      <c r="AD64" s="50"/>
      <c r="AE64" s="50"/>
      <c r="AF64" s="50"/>
      <c r="AG64" s="50"/>
      <c r="AH64" s="50"/>
      <c r="AI64" s="50"/>
      <c r="AJ64" s="51"/>
    </row>
    <row r="65" spans="2:37">
      <c r="B65" s="162" t="s">
        <v>114</v>
      </c>
      <c r="C65" s="71">
        <f>ROUND($C64*C61/SQRT($C62),3)</f>
        <v>6.91</v>
      </c>
      <c r="D65" s="50">
        <f t="shared" ref="D65:G65" si="19">ROUND($C64*D61/SQRT($C62),3)</f>
        <v>7.7080000000000002</v>
      </c>
      <c r="E65" s="50">
        <f t="shared" si="19"/>
        <v>7.0910000000000002</v>
      </c>
      <c r="F65" s="50">
        <f t="shared" si="19"/>
        <v>6.0910000000000002</v>
      </c>
      <c r="G65" s="51">
        <f t="shared" si="19"/>
        <v>4.0309999999999997</v>
      </c>
      <c r="H65" s="50"/>
      <c r="I65" s="162" t="s">
        <v>114</v>
      </c>
      <c r="J65" s="48">
        <f>ROUND($J64*J61/SQRT($J62),3)</f>
        <v>1.07</v>
      </c>
      <c r="K65" s="49">
        <f t="shared" ref="K65:N65" si="20">ROUND($J64*K61/SQRT($J62),3)</f>
        <v>1.3620000000000001</v>
      </c>
      <c r="L65" s="49">
        <f t="shared" si="20"/>
        <v>1.3819999999999999</v>
      </c>
      <c r="M65" s="49">
        <f t="shared" si="20"/>
        <v>0.73399999999999999</v>
      </c>
      <c r="N65" s="57">
        <f t="shared" si="20"/>
        <v>1.319</v>
      </c>
      <c r="O65" s="50"/>
      <c r="P65" s="67" t="s">
        <v>138</v>
      </c>
      <c r="Q65" s="129">
        <f t="array" ref="Q65">ROUND(EXP(AVERAGE(LN(Q15:Q26)+$Q64*_xlfn.STDEV.S(LN(Q15:Q26))/SQRT($Q62))),0)</f>
        <v>305</v>
      </c>
      <c r="R65" s="130">
        <f t="array" ref="R65">ROUND(EXP(AVERAGE(LN(R15:R26)+$Q64*_xlfn.STDEV.S(LN(R15:R26))/SQRT($Q62))),0)</f>
        <v>326</v>
      </c>
      <c r="S65" s="130">
        <f t="array" ref="S65">ROUND(EXP(AVERAGE(LN(S15:S26)+$Q64*_xlfn.STDEV.S(LN(S15:S26))/SQRT($Q62))),0)</f>
        <v>301</v>
      </c>
      <c r="T65" s="130">
        <f t="array" ref="T65">ROUND(EXP(AVERAGE(LN(T15:T26)+$Q64*_xlfn.STDEV.S(LN(T15:T26))/SQRT($Q62))),0)</f>
        <v>328</v>
      </c>
      <c r="U65" s="131">
        <f t="array" ref="U65">ROUND(EXP(AVERAGE(LN(U15:U26)+$Q64*_xlfn.STDEV.S(LN(U15:U26))/SQRT($Q62))),0)</f>
        <v>382</v>
      </c>
      <c r="W65" s="69" t="s">
        <v>114</v>
      </c>
      <c r="X65" s="65">
        <f>ROUND(X64*((1-X63)^2*(X60/X59)+(0-X63)^2*(X62/X59) +(-1-X63)^2 *(X61/X59))/SQRT(X59),3)</f>
        <v>0.3</v>
      </c>
      <c r="Z65" s="102" t="s">
        <v>114</v>
      </c>
      <c r="AA65" s="71">
        <f>ROUND(AA64*AA62/SQRT(AA63),3)</f>
        <v>4.1109999999999998</v>
      </c>
      <c r="AB65" s="50"/>
      <c r="AC65" s="50"/>
      <c r="AD65" s="50"/>
      <c r="AE65" s="50"/>
      <c r="AF65" s="50"/>
      <c r="AG65" s="50"/>
      <c r="AH65" s="50"/>
      <c r="AI65" s="50"/>
      <c r="AJ65" s="51"/>
    </row>
    <row r="66" spans="2:37">
      <c r="B66" s="6" t="s">
        <v>115</v>
      </c>
      <c r="C66" s="147">
        <f>ROUND(C60+$C65,3)</f>
        <v>29.827000000000002</v>
      </c>
      <c r="D66" s="33">
        <f t="shared" ref="D66" si="21">ROUND(D60+$C65,3)</f>
        <v>32.826999999999998</v>
      </c>
      <c r="E66" s="33">
        <f t="shared" ref="E66" si="22">ROUND(E60+$C65,3)</f>
        <v>29.66</v>
      </c>
      <c r="F66" s="33">
        <f t="shared" ref="F66" si="23">ROUND(F60+$C65,3)</f>
        <v>39.326999999999998</v>
      </c>
      <c r="G66" s="148">
        <f t="shared" ref="G66" si="24">ROUND(G60+$C65,3)</f>
        <v>56.326999999999998</v>
      </c>
      <c r="H66" s="33"/>
      <c r="I66" s="162" t="s">
        <v>115</v>
      </c>
      <c r="J66" s="25">
        <f>ROUND(J60+$C65,3)</f>
        <v>13.377000000000001</v>
      </c>
      <c r="K66" s="26">
        <f t="shared" ref="K66" si="25">ROUND(K60+$C65,3)</f>
        <v>13.877000000000001</v>
      </c>
      <c r="L66" s="26">
        <f t="shared" ref="L66" si="26">ROUND(L60+$C65,3)</f>
        <v>13.685</v>
      </c>
      <c r="M66" s="26">
        <f t="shared" ref="M66" si="27">ROUND(M60+$C65,3)</f>
        <v>15.352</v>
      </c>
      <c r="N66" s="27">
        <f t="shared" ref="N66" si="28">ROUND(N60+$C65,3)</f>
        <v>14.193</v>
      </c>
      <c r="O66" s="33"/>
      <c r="P66" s="71" t="s">
        <v>139</v>
      </c>
      <c r="Q66" s="129">
        <f t="array" ref="Q66">ROUND(EXP(AVERAGE(LN(Q15:Q26)-$Q64*_xlfn.STDEV.S(LN(Q15:Q26))/SQRT($Q62))),0)</f>
        <v>234</v>
      </c>
      <c r="R66" s="130">
        <f t="array" ref="R66">ROUND(EXP(AVERAGE(LN(R15:R26)-$Q64*_xlfn.STDEV.S(LN(R15:R26))/SQRT($Q62))),0)</f>
        <v>209</v>
      </c>
      <c r="S66" s="130">
        <f t="array" ref="S66">ROUND(EXP(AVERAGE(LN(S15:S26)-$Q64*_xlfn.STDEV.S(LN(S15:S26))/SQRT($Q62))),0)</f>
        <v>190</v>
      </c>
      <c r="T66" s="130">
        <f t="array" ref="T66">ROUND(EXP(AVERAGE(LN(T15:T26)-$Q64*_xlfn.STDEV.S(LN(T15:T26))/SQRT($Q62))),0)</f>
        <v>224</v>
      </c>
      <c r="U66" s="131">
        <f t="array" ref="U66">ROUND(EXP(AVERAGE(LN(U15:U26)-$Q64*_xlfn.STDEV.S(LN(U15:U26))/SQRT($Q62))),0)</f>
        <v>270</v>
      </c>
      <c r="Z66" s="102" t="s">
        <v>138</v>
      </c>
      <c r="AA66" s="71">
        <f>AA61+AA65</f>
        <v>76.194000000000003</v>
      </c>
      <c r="AB66" s="50"/>
      <c r="AC66" s="50"/>
      <c r="AD66" s="50"/>
      <c r="AE66" s="50"/>
      <c r="AF66" s="50"/>
      <c r="AG66" s="50"/>
      <c r="AH66" s="50"/>
      <c r="AI66" s="50"/>
      <c r="AJ66" s="51"/>
    </row>
    <row r="67" spans="2:37">
      <c r="B67" s="7" t="s">
        <v>116</v>
      </c>
      <c r="C67" s="122">
        <f>ROUND(C60-$C65, 3)</f>
        <v>16.007000000000001</v>
      </c>
      <c r="D67" s="149">
        <f>ROUND(D60-$C65, 3)</f>
        <v>19.007000000000001</v>
      </c>
      <c r="E67" s="149">
        <f t="shared" ref="E67:G67" si="29">ROUND(E60-$C65, 3)</f>
        <v>15.84</v>
      </c>
      <c r="F67" s="149">
        <f t="shared" si="29"/>
        <v>25.507000000000001</v>
      </c>
      <c r="G67" s="150">
        <f t="shared" si="29"/>
        <v>42.506999999999998</v>
      </c>
      <c r="H67" s="33"/>
      <c r="I67" s="163" t="s">
        <v>116</v>
      </c>
      <c r="J67" s="29">
        <f>ROUND(J60-$C65, 3)</f>
        <v>-0.443</v>
      </c>
      <c r="K67" s="30">
        <f>ROUND(K60-$C65, 3)</f>
        <v>5.7000000000000002E-2</v>
      </c>
      <c r="L67" s="30">
        <f t="shared" ref="L67:N67" si="30">ROUND(L60-$C65, 3)</f>
        <v>-0.13500000000000001</v>
      </c>
      <c r="M67" s="30">
        <f t="shared" si="30"/>
        <v>1.532</v>
      </c>
      <c r="N67" s="31">
        <f t="shared" si="30"/>
        <v>0.373</v>
      </c>
      <c r="O67" s="33"/>
      <c r="P67" s="67" t="s">
        <v>150</v>
      </c>
      <c r="Q67" s="129">
        <f>(Q65-Q66)/2</f>
        <v>35.5</v>
      </c>
      <c r="R67" s="130">
        <f t="shared" ref="R67:U67" si="31">(R65-R66)/2</f>
        <v>58.5</v>
      </c>
      <c r="S67" s="130">
        <f t="shared" si="31"/>
        <v>55.5</v>
      </c>
      <c r="T67" s="130">
        <f t="shared" si="31"/>
        <v>52</v>
      </c>
      <c r="U67" s="131">
        <f t="shared" si="31"/>
        <v>56</v>
      </c>
      <c r="Z67" s="102" t="s">
        <v>139</v>
      </c>
      <c r="AA67" s="71">
        <f>AA61-AA65</f>
        <v>67.971999999999994</v>
      </c>
      <c r="AB67" s="50"/>
      <c r="AC67" s="50"/>
      <c r="AD67" s="50"/>
      <c r="AE67" s="50"/>
      <c r="AF67" s="50"/>
      <c r="AG67" s="50"/>
      <c r="AH67" s="50"/>
      <c r="AI67" s="50"/>
      <c r="AJ67" s="51"/>
    </row>
    <row r="68" spans="2:37">
      <c r="I68" s="4"/>
      <c r="P68" s="152" t="s">
        <v>151</v>
      </c>
      <c r="Q68" s="132">
        <f>0.5*(Q65-Q66)+Q66</f>
        <v>269.5</v>
      </c>
      <c r="R68" s="133">
        <f t="shared" ref="R68:U68" si="32">0.5*(R65-R66)+R66</f>
        <v>267.5</v>
      </c>
      <c r="S68" s="133">
        <f t="shared" si="32"/>
        <v>245.5</v>
      </c>
      <c r="T68" s="133">
        <f t="shared" si="32"/>
        <v>276</v>
      </c>
      <c r="U68" s="134">
        <f t="shared" si="32"/>
        <v>326</v>
      </c>
      <c r="Z68" s="102" t="s">
        <v>140</v>
      </c>
      <c r="AA68" s="117">
        <v>0.5</v>
      </c>
      <c r="AB68" s="118" t="s">
        <v>149</v>
      </c>
      <c r="AC68" s="50"/>
      <c r="AD68" s="50"/>
      <c r="AE68" s="50"/>
      <c r="AF68" s="50"/>
      <c r="AG68" s="50"/>
      <c r="AH68" s="50"/>
      <c r="AI68" s="50"/>
      <c r="AJ68" s="51"/>
    </row>
    <row r="69" spans="2:37">
      <c r="I69" s="4"/>
      <c r="P69" s="8"/>
      <c r="Q69" s="135"/>
      <c r="R69" s="135"/>
      <c r="S69" s="135"/>
      <c r="T69" s="135"/>
      <c r="U69" s="135"/>
      <c r="Z69" s="102" t="s">
        <v>141</v>
      </c>
      <c r="AA69" s="117">
        <v>0.77</v>
      </c>
      <c r="AB69" s="118" t="s">
        <v>149</v>
      </c>
      <c r="AC69" s="50"/>
      <c r="AD69" s="50"/>
      <c r="AE69" s="50"/>
      <c r="AF69" s="50"/>
      <c r="AG69" s="50"/>
      <c r="AH69" s="50"/>
      <c r="AI69" s="50"/>
      <c r="AJ69" s="51"/>
    </row>
    <row r="70" spans="2:37">
      <c r="C70" s="414" t="s">
        <v>105</v>
      </c>
      <c r="D70" s="415"/>
      <c r="E70" s="415"/>
      <c r="F70" s="415"/>
      <c r="G70" s="416"/>
      <c r="H70" s="50"/>
      <c r="I70" s="4"/>
      <c r="J70" s="424" t="s">
        <v>105</v>
      </c>
      <c r="K70" s="425"/>
      <c r="L70" s="425"/>
      <c r="M70" s="425"/>
      <c r="N70" s="426"/>
      <c r="O70" s="50"/>
      <c r="P70" s="32"/>
      <c r="Q70" s="427" t="s">
        <v>105</v>
      </c>
      <c r="R70" s="428"/>
      <c r="S70" s="428"/>
      <c r="T70" s="428"/>
      <c r="U70" s="429"/>
      <c r="X70" s="61" t="s">
        <v>105</v>
      </c>
      <c r="Y70" s="50"/>
      <c r="Z70" s="102" t="s">
        <v>144</v>
      </c>
      <c r="AA70" s="115">
        <f>(AA69-AA68)/2</f>
        <v>0.13500000000000001</v>
      </c>
      <c r="AB70" s="50"/>
      <c r="AC70" s="50"/>
      <c r="AD70" s="50"/>
      <c r="AE70" s="50"/>
      <c r="AF70" s="50"/>
      <c r="AG70" s="50"/>
      <c r="AH70" s="50"/>
      <c r="AI70" s="50"/>
      <c r="AJ70" s="51"/>
    </row>
    <row r="71" spans="2:37">
      <c r="C71" s="41" t="s">
        <v>109</v>
      </c>
      <c r="D71" s="22" t="s">
        <v>110</v>
      </c>
      <c r="E71" s="22" t="s">
        <v>111</v>
      </c>
      <c r="F71" s="22" t="s">
        <v>112</v>
      </c>
      <c r="G71" s="23" t="s">
        <v>113</v>
      </c>
      <c r="H71" s="32"/>
      <c r="I71" s="4"/>
      <c r="J71" s="139" t="s">
        <v>165</v>
      </c>
      <c r="K71" s="21" t="s">
        <v>166</v>
      </c>
      <c r="L71" s="21" t="s">
        <v>167</v>
      </c>
      <c r="M71" s="21" t="s">
        <v>168</v>
      </c>
      <c r="N71" s="140" t="s">
        <v>169</v>
      </c>
      <c r="O71" s="32"/>
      <c r="P71" s="32"/>
      <c r="Q71" s="180" t="s">
        <v>98</v>
      </c>
      <c r="R71" s="181" t="s">
        <v>99</v>
      </c>
      <c r="S71" s="181" t="s">
        <v>100</v>
      </c>
      <c r="T71" s="181" t="s">
        <v>101</v>
      </c>
      <c r="U71" s="182" t="s">
        <v>102</v>
      </c>
      <c r="W71" s="66" t="s">
        <v>108</v>
      </c>
      <c r="X71" s="63">
        <f>COUNT(X30:X43)</f>
        <v>14</v>
      </c>
      <c r="Z71" s="104" t="s">
        <v>145</v>
      </c>
      <c r="AA71" s="116">
        <f>AA68+AA70</f>
        <v>0.63500000000000001</v>
      </c>
      <c r="AB71" s="54"/>
      <c r="AC71" s="54"/>
      <c r="AD71" s="54"/>
      <c r="AE71" s="54"/>
      <c r="AF71" s="54"/>
      <c r="AG71" s="54"/>
      <c r="AH71" s="54"/>
      <c r="AI71" s="54"/>
      <c r="AJ71" s="55"/>
      <c r="AK71" s="50"/>
    </row>
    <row r="72" spans="2:37">
      <c r="B72" s="5" t="s">
        <v>76</v>
      </c>
      <c r="C72" s="147">
        <f>ROUND(AVERAGE(C30:C43),3)</f>
        <v>8.8569999999999993</v>
      </c>
      <c r="D72" s="33">
        <f t="shared" ref="D72:G72" si="33">ROUND(AVERAGE(D30:D43),3)</f>
        <v>18.143000000000001</v>
      </c>
      <c r="E72" s="33">
        <f t="shared" si="33"/>
        <v>19.571000000000002</v>
      </c>
      <c r="F72" s="33">
        <f t="shared" si="33"/>
        <v>30.356999999999999</v>
      </c>
      <c r="G72" s="148">
        <f t="shared" si="33"/>
        <v>32</v>
      </c>
      <c r="H72" s="33"/>
      <c r="I72" s="5" t="s">
        <v>76</v>
      </c>
      <c r="J72" s="164">
        <f>ROUND(AVERAGE(J30:J43),3)</f>
        <v>7.0709999999999997</v>
      </c>
      <c r="K72" s="165">
        <f t="shared" ref="K72:N72" si="34">ROUND(AVERAGE(K30:K43),3)</f>
        <v>5.8140000000000001</v>
      </c>
      <c r="L72" s="165">
        <f t="shared" si="34"/>
        <v>7.9</v>
      </c>
      <c r="M72" s="165">
        <f t="shared" si="34"/>
        <v>6.7</v>
      </c>
      <c r="N72" s="166">
        <f t="shared" si="34"/>
        <v>7.5140000000000002</v>
      </c>
      <c r="O72" s="33"/>
      <c r="P72" s="395" t="s">
        <v>121</v>
      </c>
      <c r="Q72" s="276">
        <f t="array" ref="Q72">ROUND(EXP(AVERAGE(LN(Q30:Q43))),3)</f>
        <v>166.196</v>
      </c>
      <c r="R72" s="130">
        <f t="array" ref="R72">ROUND(EXP(AVERAGE(LN(R30:R43))),3)</f>
        <v>215.86699999999999</v>
      </c>
      <c r="S72" s="130">
        <f t="array" ref="S72">ROUND(EXP(AVERAGE(LN(S30:S43))),3)</f>
        <v>238.92</v>
      </c>
      <c r="T72" s="130">
        <f t="array" ref="T72">ROUND(EXP(AVERAGE(LN(T30:T43))),3)</f>
        <v>251.50299999999999</v>
      </c>
      <c r="U72" s="131">
        <f t="array" ref="U72">ROUND(EXP(AVERAGE(LN(U30:U43))),3)</f>
        <v>267.31599999999997</v>
      </c>
      <c r="W72" s="67" t="s">
        <v>126</v>
      </c>
      <c r="X72" s="64">
        <f>COUNTIF(X30:X43, "&gt;8")</f>
        <v>8</v>
      </c>
      <c r="AK72" s="50"/>
    </row>
    <row r="73" spans="2:37">
      <c r="B73" s="6" t="s">
        <v>77</v>
      </c>
      <c r="C73" s="71">
        <f>ROUND(_xlfn.STDEV.S(C30:C43),3)</f>
        <v>7.1020000000000003</v>
      </c>
      <c r="D73" s="50">
        <f t="shared" ref="D73:G73" si="35">ROUND(_xlfn.STDEV.S(D30:D43),3)</f>
        <v>7.2729999999999997</v>
      </c>
      <c r="E73" s="50">
        <f t="shared" si="35"/>
        <v>8.8469999999999995</v>
      </c>
      <c r="F73" s="50">
        <f t="shared" si="35"/>
        <v>12.125</v>
      </c>
      <c r="G73" s="51">
        <f t="shared" si="35"/>
        <v>11.108000000000001</v>
      </c>
      <c r="H73" s="50"/>
      <c r="I73" s="6" t="s">
        <v>77</v>
      </c>
      <c r="J73" s="48">
        <f>ROUND(_xlfn.STDEV.S(J30:J43),3)</f>
        <v>1.847</v>
      </c>
      <c r="K73" s="49">
        <f t="shared" ref="K73:N73" si="36">ROUND(_xlfn.STDEV.S(K30:K43),3)</f>
        <v>1.825</v>
      </c>
      <c r="L73" s="49">
        <f t="shared" si="36"/>
        <v>1.6779999999999999</v>
      </c>
      <c r="M73" s="49">
        <f t="shared" si="36"/>
        <v>1.0860000000000001</v>
      </c>
      <c r="N73" s="57">
        <f t="shared" si="36"/>
        <v>1.107</v>
      </c>
      <c r="O73" s="50"/>
      <c r="P73" s="153" t="s">
        <v>122</v>
      </c>
      <c r="Q73" s="126">
        <f t="array" ref="Q73">ROUND(EXP(_xlfn.STDEV.S(LN(Q30:Q43))),3)</f>
        <v>2.4580000000000002</v>
      </c>
      <c r="R73" s="127">
        <f t="array" ref="R73">ROUND(EXP(_xlfn.STDEV.S(LN(R30:R43))),3)</f>
        <v>1.893</v>
      </c>
      <c r="S73" s="127">
        <f t="array" ref="S73">ROUND(EXP(_xlfn.STDEV.S(LN(S30:S43))),3)</f>
        <v>1.2170000000000001</v>
      </c>
      <c r="T73" s="127">
        <f t="array" ref="T73">ROUND(EXP(_xlfn.STDEV.S(LN(T30:T43))),3)</f>
        <v>1.2669999999999999</v>
      </c>
      <c r="U73" s="128">
        <f t="array" ref="U73">ROUND(EXP(_xlfn.STDEV.S(LN(U30:U43))),3)</f>
        <v>1.3109999999999999</v>
      </c>
      <c r="W73" s="67" t="s">
        <v>127</v>
      </c>
      <c r="X73" s="64">
        <f>COUNTIF(X30:X43, "&lt;7")</f>
        <v>0</v>
      </c>
      <c r="AK73" s="50"/>
    </row>
    <row r="74" spans="2:37">
      <c r="B74" s="6" t="s">
        <v>108</v>
      </c>
      <c r="C74" s="71">
        <f>COUNT(C30:C43)</f>
        <v>14</v>
      </c>
      <c r="D74" s="50"/>
      <c r="E74" s="50"/>
      <c r="F74" s="50"/>
      <c r="G74" s="51"/>
      <c r="H74" s="50"/>
      <c r="I74" s="6" t="s">
        <v>108</v>
      </c>
      <c r="J74" s="48">
        <f>COUNT(J30:J43)</f>
        <v>14</v>
      </c>
      <c r="K74" s="49"/>
      <c r="L74" s="49"/>
      <c r="M74" s="49"/>
      <c r="N74" s="57"/>
      <c r="O74" s="50"/>
      <c r="P74" s="156" t="s">
        <v>108</v>
      </c>
      <c r="Q74" s="126">
        <f>COUNT(Q30:Q43)</f>
        <v>14</v>
      </c>
      <c r="R74" s="154"/>
      <c r="S74" s="154"/>
      <c r="T74" s="154"/>
      <c r="U74" s="155"/>
      <c r="W74" s="67" t="s">
        <v>129</v>
      </c>
      <c r="X74" s="64">
        <f>X71-X72-X73</f>
        <v>6</v>
      </c>
      <c r="AK74" s="50"/>
    </row>
    <row r="75" spans="2:37">
      <c r="B75" s="6" t="s">
        <v>107</v>
      </c>
      <c r="C75" s="71">
        <v>0.05</v>
      </c>
      <c r="D75" s="50"/>
      <c r="E75" s="50"/>
      <c r="F75" s="50"/>
      <c r="G75" s="51"/>
      <c r="H75" s="50"/>
      <c r="I75" s="6" t="s">
        <v>107</v>
      </c>
      <c r="J75" s="48">
        <v>0.05</v>
      </c>
      <c r="K75" s="49"/>
      <c r="L75" s="49"/>
      <c r="M75" s="49"/>
      <c r="N75" s="57"/>
      <c r="O75" s="50"/>
      <c r="P75" s="153" t="s">
        <v>107</v>
      </c>
      <c r="Q75" s="157">
        <v>0.05</v>
      </c>
      <c r="R75" s="158"/>
      <c r="S75" s="158"/>
      <c r="T75" s="158"/>
      <c r="U75" s="159"/>
      <c r="W75" s="67" t="s">
        <v>128</v>
      </c>
      <c r="X75" s="64">
        <f>ROUND((X72-X73)/X71,2)</f>
        <v>0.56999999999999995</v>
      </c>
      <c r="Z75" s="103"/>
      <c r="AA75" s="66" t="s">
        <v>105</v>
      </c>
      <c r="AB75" s="36"/>
      <c r="AC75" s="36"/>
      <c r="AD75" s="36"/>
      <c r="AE75" s="36"/>
      <c r="AF75" s="36"/>
      <c r="AG75" s="36"/>
      <c r="AH75" s="36"/>
      <c r="AI75" s="36"/>
      <c r="AJ75" s="88"/>
      <c r="AK75" s="50"/>
    </row>
    <row r="76" spans="2:37">
      <c r="B76" s="6" t="s">
        <v>106</v>
      </c>
      <c r="C76" s="71">
        <f>ROUND(TINV(0.05,C74-1),3)</f>
        <v>2.16</v>
      </c>
      <c r="D76" s="50"/>
      <c r="E76" s="50"/>
      <c r="F76" s="50"/>
      <c r="G76" s="51"/>
      <c r="H76" s="50"/>
      <c r="I76" s="6" t="s">
        <v>106</v>
      </c>
      <c r="J76" s="48">
        <f>ROUND(TINV(0.05,J74-1),3)</f>
        <v>2.16</v>
      </c>
      <c r="K76" s="49"/>
      <c r="L76" s="49"/>
      <c r="M76" s="49"/>
      <c r="N76" s="57"/>
      <c r="O76" s="50"/>
      <c r="P76" s="153" t="s">
        <v>106</v>
      </c>
      <c r="Q76" s="276">
        <f>ROUND(TINV(0.05,Q74-1),3)</f>
        <v>2.16</v>
      </c>
      <c r="R76" s="130"/>
      <c r="S76" s="130"/>
      <c r="T76" s="130"/>
      <c r="U76" s="131"/>
      <c r="W76" s="67" t="s">
        <v>106</v>
      </c>
      <c r="X76" s="64">
        <f>ROUND(TINV(0.05, X71-1),3)</f>
        <v>2.16</v>
      </c>
      <c r="Z76" s="101" t="s">
        <v>76</v>
      </c>
      <c r="AA76" s="70">
        <f>ROUND(AVERAGE(SUM(AA146:AJ146), SUM(AA148:AJ148), SUM(AA149:AJ149), SUM(AA150:AJ150), SUM(AA139:AJ139), SUM(AA140:AJ140), SUM(AA141:AJ141), SUM(AA147:AJ147), SUM(AA142:AJ142), SUM(AA143:AJ143), SUM(AA144:AJ144), SUM(AA145:AJ145), SUM(AA151:AJ151), SUM(AA152:AJ152)),3)</f>
        <v>81.963999999999999</v>
      </c>
      <c r="AB76" s="45"/>
      <c r="AC76" s="45"/>
      <c r="AD76" s="45"/>
      <c r="AE76" s="45"/>
      <c r="AF76" s="45"/>
      <c r="AG76" s="45"/>
      <c r="AH76" s="45"/>
      <c r="AI76" s="45"/>
      <c r="AJ76" s="46"/>
      <c r="AK76" s="50"/>
    </row>
    <row r="77" spans="2:37">
      <c r="B77" s="162" t="s">
        <v>114</v>
      </c>
      <c r="C77" s="71">
        <f>ROUND($C76*C73/SQRT($C74),3)</f>
        <v>4.0999999999999996</v>
      </c>
      <c r="D77" s="50">
        <f t="shared" ref="D77:G77" si="37">ROUND($C76*D73/SQRT($C74),3)</f>
        <v>4.1989999999999998</v>
      </c>
      <c r="E77" s="50">
        <f t="shared" si="37"/>
        <v>5.1070000000000002</v>
      </c>
      <c r="F77" s="50">
        <f t="shared" si="37"/>
        <v>7</v>
      </c>
      <c r="G77" s="51">
        <f t="shared" si="37"/>
        <v>6.4119999999999999</v>
      </c>
      <c r="H77" s="50"/>
      <c r="I77" s="162" t="s">
        <v>114</v>
      </c>
      <c r="J77" s="48">
        <f>ROUND($J76*J73/SQRT($J74),3)</f>
        <v>1.0660000000000001</v>
      </c>
      <c r="K77" s="49">
        <f t="shared" ref="K77:N77" si="38">ROUND($J76*K73/SQRT($J74),3)</f>
        <v>1.054</v>
      </c>
      <c r="L77" s="49">
        <f t="shared" si="38"/>
        <v>0.96899999999999997</v>
      </c>
      <c r="M77" s="49">
        <f t="shared" si="38"/>
        <v>0.627</v>
      </c>
      <c r="N77" s="57">
        <f t="shared" si="38"/>
        <v>0.63900000000000001</v>
      </c>
      <c r="O77" s="50"/>
      <c r="P77" s="153" t="s">
        <v>138</v>
      </c>
      <c r="Q77" s="276">
        <f t="array" ref="Q77">ROUND(EXP(AVERAGE(LN(Q30:Q43)+$Q76*_xlfn.STDEV.S(LN(Q30:Q43))/SQRT($Q74))),0)</f>
        <v>279</v>
      </c>
      <c r="R77" s="130">
        <f t="array" ref="R77">ROUND(EXP(AVERAGE(LN(R30:R43)+$Q76*_xlfn.STDEV.S(LN(R30:R43))/SQRT($Q74))),0)</f>
        <v>312</v>
      </c>
      <c r="S77" s="130">
        <f t="array" ref="S77">ROUND(EXP(AVERAGE(LN(S30:S43)+$Q76*_xlfn.STDEV.S(LN(S30:S43))/SQRT($Q74))),0)</f>
        <v>268</v>
      </c>
      <c r="T77" s="130">
        <f t="array" ref="T77">ROUND(EXP(AVERAGE(LN(T30:T43)+$Q76*_xlfn.STDEV.S(LN(T30:T43))/SQRT($Q74))),0)</f>
        <v>288</v>
      </c>
      <c r="U77" s="131">
        <f t="array" ref="U77">ROUND(EXP(AVERAGE(LN(U30:U43)+$Q76*_xlfn.STDEV.S(LN(U30:U43))/SQRT($Q74))),0)</f>
        <v>313</v>
      </c>
      <c r="W77" s="69" t="s">
        <v>114</v>
      </c>
      <c r="X77" s="65">
        <f>ROUND(X76*((1-X75)^2*(X72/X71)+(0-X75)^2*(X74/X71) +(-1-X75)^2 *(X73/X71))/SQRT(X71),3)</f>
        <v>0.14099999999999999</v>
      </c>
      <c r="Z77" s="102" t="s">
        <v>77</v>
      </c>
      <c r="AA77" s="71">
        <f>ROUND(_xlfn.STDEV.S(SUM(AA147:AJ147), SUM(AA149:AJ149), SUM(AA150:AJ150), SUM(AA151:AJ151), SUM(AA140:AJ140), SUM(AA141:AJ141), SUM(AA142:AJ142), SUM(AA148:AJ148), SUM(AA143:AJ143), SUM(AA144:AJ144), SUM(AA145:AJ145), SUM(AA146:AJ146), SUM(AA152:AJ152), SUM(AA139:AJ139)),3)</f>
        <v>7.0149999999999997</v>
      </c>
      <c r="AB77" s="50"/>
      <c r="AC77" s="50"/>
      <c r="AD77" s="50"/>
      <c r="AE77" s="50"/>
      <c r="AF77" s="50"/>
      <c r="AG77" s="50"/>
      <c r="AH77" s="50"/>
      <c r="AI77" s="50"/>
      <c r="AJ77" s="51"/>
      <c r="AK77" s="50"/>
    </row>
    <row r="78" spans="2:37">
      <c r="B78" s="162" t="s">
        <v>115</v>
      </c>
      <c r="C78" s="147">
        <f>ROUND(C72+$C77,3)</f>
        <v>12.957000000000001</v>
      </c>
      <c r="D78" s="33">
        <f t="shared" ref="D78" si="39">ROUND(D72+$C77,3)</f>
        <v>22.242999999999999</v>
      </c>
      <c r="E78" s="33">
        <f t="shared" ref="E78" si="40">ROUND(E72+$C77,3)</f>
        <v>23.670999999999999</v>
      </c>
      <c r="F78" s="33">
        <f t="shared" ref="F78" si="41">ROUND(F72+$C77,3)</f>
        <v>34.457000000000001</v>
      </c>
      <c r="G78" s="148">
        <f>ROUND(G72+$C77,3)</f>
        <v>36.1</v>
      </c>
      <c r="H78" s="33"/>
      <c r="I78" s="162" t="s">
        <v>115</v>
      </c>
      <c r="J78" s="25">
        <f>ROUND(J72+$C77,3)</f>
        <v>11.170999999999999</v>
      </c>
      <c r="K78" s="26">
        <f t="shared" ref="K78" si="42">ROUND(K72+$C77,3)</f>
        <v>9.9139999999999997</v>
      </c>
      <c r="L78" s="26">
        <f t="shared" ref="L78" si="43">ROUND(L72+$C77,3)</f>
        <v>12</v>
      </c>
      <c r="M78" s="26">
        <f t="shared" ref="M78" si="44">ROUND(M72+$C77,3)</f>
        <v>10.8</v>
      </c>
      <c r="N78" s="27">
        <f>ROUND(N72+$C77,3)</f>
        <v>11.614000000000001</v>
      </c>
      <c r="O78" s="33"/>
      <c r="P78" s="160" t="s">
        <v>139</v>
      </c>
      <c r="Q78" s="276">
        <f t="array" ref="Q78">ROUND(EXP(AVERAGE(LN(Q30:Q43)-$Q76*_xlfn.STDEV.S(LN(Q30:Q43))/SQRT($Q74))),0)</f>
        <v>99</v>
      </c>
      <c r="R78" s="130">
        <f t="array" ref="R78">ROUND(EXP(AVERAGE(LN(R30:R43)-$Q76*_xlfn.STDEV.S(LN(R30:R43))/SQRT($Q74))),0)</f>
        <v>149</v>
      </c>
      <c r="S78" s="130">
        <f t="array" ref="S78">ROUND(EXP(AVERAGE(LN(S30:S43)-$Q76*_xlfn.STDEV.S(LN(S30:S43))/SQRT($Q74))),0)</f>
        <v>213</v>
      </c>
      <c r="T78" s="130">
        <f t="array" ref="T78">ROUND(EXP(AVERAGE(LN(T30:T43)-$Q76*_xlfn.STDEV.S(LN(T30:T43))/SQRT($Q74))),0)</f>
        <v>219</v>
      </c>
      <c r="U78" s="131">
        <f t="array" ref="U78">ROUND(EXP(AVERAGE(LN(U30:U43)-$Q76*_xlfn.STDEV.S(LN(U30:U43))/SQRT($Q74))),0)</f>
        <v>229</v>
      </c>
      <c r="Z78" s="102" t="s">
        <v>108</v>
      </c>
      <c r="AA78" s="71">
        <f>COUNT(AA30:AA43)</f>
        <v>14</v>
      </c>
      <c r="AB78" s="50"/>
      <c r="AC78" s="50"/>
      <c r="AD78" s="50"/>
      <c r="AE78" s="50"/>
      <c r="AF78" s="50"/>
      <c r="AG78" s="50"/>
      <c r="AH78" s="50"/>
      <c r="AI78" s="50"/>
      <c r="AJ78" s="51"/>
      <c r="AK78" s="50"/>
    </row>
    <row r="79" spans="2:37">
      <c r="B79" s="7" t="s">
        <v>116</v>
      </c>
      <c r="C79" s="122">
        <f>ROUND(C72-$C77, 3)</f>
        <v>4.7569999999999997</v>
      </c>
      <c r="D79" s="149">
        <f>ROUND(D72-$C77, 3)</f>
        <v>14.042999999999999</v>
      </c>
      <c r="E79" s="149">
        <f t="shared" ref="E79:F79" si="45">ROUND(E72-$C77, 3)</f>
        <v>15.471</v>
      </c>
      <c r="F79" s="149">
        <f t="shared" si="45"/>
        <v>26.257000000000001</v>
      </c>
      <c r="G79" s="150">
        <f>ROUND(G72-$C77, 3)</f>
        <v>27.9</v>
      </c>
      <c r="H79" s="33"/>
      <c r="I79" s="163" t="s">
        <v>116</v>
      </c>
      <c r="J79" s="29">
        <f>ROUND(J72-$C77, 3)</f>
        <v>2.9710000000000001</v>
      </c>
      <c r="K79" s="30">
        <f>ROUND(K72-$C77, 3)</f>
        <v>1.714</v>
      </c>
      <c r="L79" s="30">
        <f t="shared" ref="L79:M79" si="46">ROUND(L72-$C77, 3)</f>
        <v>3.8</v>
      </c>
      <c r="M79" s="30">
        <f t="shared" si="46"/>
        <v>2.6</v>
      </c>
      <c r="N79" s="31">
        <f>ROUND(N72-$C77, 3)</f>
        <v>3.4140000000000001</v>
      </c>
      <c r="O79" s="33"/>
      <c r="P79" s="153" t="s">
        <v>150</v>
      </c>
      <c r="Q79" s="276">
        <f>(Q77-Q78)/2</f>
        <v>90</v>
      </c>
      <c r="R79" s="130">
        <f t="shared" ref="R79:U79" si="47">(R77-R78)/2</f>
        <v>81.5</v>
      </c>
      <c r="S79" s="130">
        <f t="shared" si="47"/>
        <v>27.5</v>
      </c>
      <c r="T79" s="130">
        <f t="shared" si="47"/>
        <v>34.5</v>
      </c>
      <c r="U79" s="131">
        <f t="shared" si="47"/>
        <v>42</v>
      </c>
      <c r="Z79" s="102" t="s">
        <v>106</v>
      </c>
      <c r="AA79" s="71">
        <f>ROUND(TINV(0.05,AA78-1),3)</f>
        <v>2.16</v>
      </c>
      <c r="AB79" s="50"/>
      <c r="AC79" s="50"/>
      <c r="AD79" s="50"/>
      <c r="AE79" s="50"/>
      <c r="AF79" s="50"/>
      <c r="AG79" s="50"/>
      <c r="AH79" s="50"/>
      <c r="AI79" s="50"/>
      <c r="AJ79" s="51"/>
      <c r="AK79" s="50"/>
    </row>
    <row r="80" spans="2:37">
      <c r="I80" s="4"/>
      <c r="P80" s="161" t="s">
        <v>151</v>
      </c>
      <c r="Q80" s="278">
        <f>0.5*(Q77-Q78)+Q78</f>
        <v>189</v>
      </c>
      <c r="R80" s="133">
        <f t="shared" ref="R80:U80" si="48">0.5*(R77-R78)+R78</f>
        <v>230.5</v>
      </c>
      <c r="S80" s="133">
        <f t="shared" si="48"/>
        <v>240.5</v>
      </c>
      <c r="T80" s="133">
        <f t="shared" si="48"/>
        <v>253.5</v>
      </c>
      <c r="U80" s="134">
        <f t="shared" si="48"/>
        <v>271</v>
      </c>
      <c r="Z80" s="102" t="s">
        <v>114</v>
      </c>
      <c r="AA80" s="71">
        <f>ROUND(AA79*AA77/SQRT(AA78),3)</f>
        <v>4.05</v>
      </c>
      <c r="AB80" s="50"/>
      <c r="AC80" s="50"/>
      <c r="AD80" s="50"/>
      <c r="AE80" s="50"/>
      <c r="AF80" s="50"/>
      <c r="AG80" s="50"/>
      <c r="AH80" s="50"/>
      <c r="AI80" s="50"/>
      <c r="AJ80" s="51"/>
    </row>
    <row r="81" spans="2:38">
      <c r="I81" s="4"/>
      <c r="Q81" s="37"/>
      <c r="R81" s="37"/>
      <c r="S81" s="37"/>
      <c r="T81" s="37"/>
      <c r="U81" s="37"/>
      <c r="W81" s="80" t="s">
        <v>120</v>
      </c>
      <c r="X81" s="81"/>
      <c r="Z81" s="102" t="s">
        <v>138</v>
      </c>
      <c r="AA81" s="71">
        <f>AA76+AA80</f>
        <v>86.013999999999996</v>
      </c>
      <c r="AB81" s="50"/>
      <c r="AC81" s="50"/>
      <c r="AD81" s="50"/>
      <c r="AE81" s="50"/>
      <c r="AF81" s="50"/>
      <c r="AG81" s="50"/>
      <c r="AH81" s="50"/>
      <c r="AI81" s="50"/>
      <c r="AJ81" s="51"/>
    </row>
    <row r="82" spans="2:38">
      <c r="I82" s="4"/>
      <c r="P82" s="420" t="s">
        <v>120</v>
      </c>
      <c r="Q82" s="420"/>
      <c r="R82" s="420"/>
      <c r="S82" s="420"/>
      <c r="T82" s="420"/>
      <c r="U82" s="420"/>
      <c r="W82" s="70" t="s">
        <v>130</v>
      </c>
      <c r="X82" s="82">
        <f>X51</f>
        <v>-0.90900000000000003</v>
      </c>
      <c r="Y82" s="86"/>
      <c r="Z82" s="102" t="s">
        <v>139</v>
      </c>
      <c r="AA82" s="71">
        <f>AA76-AA80</f>
        <v>77.914000000000001</v>
      </c>
      <c r="AB82" s="50"/>
      <c r="AC82" s="50"/>
      <c r="AD82" s="50"/>
      <c r="AE82" s="50"/>
      <c r="AF82" s="50"/>
      <c r="AG82" s="50"/>
      <c r="AH82" s="50"/>
      <c r="AI82" s="50"/>
      <c r="AJ82" s="51"/>
    </row>
    <row r="83" spans="2:38">
      <c r="C83" s="414" t="s">
        <v>120</v>
      </c>
      <c r="D83" s="415"/>
      <c r="E83" s="415"/>
      <c r="F83" s="415"/>
      <c r="G83" s="416"/>
      <c r="H83" s="50"/>
      <c r="I83" s="4"/>
      <c r="J83" s="424" t="s">
        <v>120</v>
      </c>
      <c r="K83" s="425"/>
      <c r="L83" s="425"/>
      <c r="M83" s="425"/>
      <c r="N83" s="425"/>
      <c r="O83" s="50"/>
      <c r="P83" s="54"/>
      <c r="Q83" s="41">
        <v>1</v>
      </c>
      <c r="R83" s="22">
        <v>2</v>
      </c>
      <c r="S83" s="22">
        <v>3</v>
      </c>
      <c r="T83" s="22">
        <v>4</v>
      </c>
      <c r="U83" s="23">
        <v>5</v>
      </c>
      <c r="W83" s="71" t="s">
        <v>131</v>
      </c>
      <c r="X83" s="83">
        <f>X63</f>
        <v>-0.16700000000000001</v>
      </c>
      <c r="Y83" s="86"/>
      <c r="Z83" s="102" t="s">
        <v>140</v>
      </c>
      <c r="AA83" s="117">
        <v>0.83</v>
      </c>
      <c r="AB83" s="118" t="s">
        <v>149</v>
      </c>
      <c r="AC83" s="50"/>
      <c r="AD83" s="50"/>
      <c r="AE83" s="50"/>
      <c r="AF83" s="50"/>
      <c r="AG83" s="50"/>
      <c r="AH83" s="50"/>
      <c r="AI83" s="50"/>
      <c r="AJ83" s="51"/>
      <c r="AL83" s="3" t="s">
        <v>136</v>
      </c>
    </row>
    <row r="84" spans="2:38">
      <c r="C84" s="41">
        <v>1</v>
      </c>
      <c r="D84" s="22">
        <v>2</v>
      </c>
      <c r="E84" s="22">
        <v>3</v>
      </c>
      <c r="F84" s="22">
        <v>4</v>
      </c>
      <c r="G84" s="23">
        <v>5</v>
      </c>
      <c r="H84" s="32"/>
      <c r="I84" s="4"/>
      <c r="J84" s="139">
        <v>1</v>
      </c>
      <c r="K84" s="21">
        <v>2</v>
      </c>
      <c r="L84" s="21">
        <v>3</v>
      </c>
      <c r="M84" s="21">
        <v>4</v>
      </c>
      <c r="N84" s="140">
        <v>5</v>
      </c>
      <c r="O84" s="151"/>
      <c r="P84" s="76" t="s">
        <v>152</v>
      </c>
      <c r="Q84" s="38">
        <f>Q56</f>
        <v>373.5</v>
      </c>
      <c r="R84" s="37">
        <f>R56</f>
        <v>269.5</v>
      </c>
      <c r="S84" s="37">
        <f>S56</f>
        <v>271.5</v>
      </c>
      <c r="T84" s="37">
        <f>T56</f>
        <v>281</v>
      </c>
      <c r="U84" s="39">
        <f>U56</f>
        <v>355</v>
      </c>
      <c r="W84" s="71" t="s">
        <v>132</v>
      </c>
      <c r="X84" s="83">
        <f>X75</f>
        <v>0.56999999999999995</v>
      </c>
      <c r="Y84" s="86"/>
      <c r="Z84" s="102" t="s">
        <v>141</v>
      </c>
      <c r="AA84" s="117">
        <v>0.97</v>
      </c>
      <c r="AB84" s="118" t="s">
        <v>149</v>
      </c>
      <c r="AC84" s="50"/>
      <c r="AD84" s="50"/>
      <c r="AE84" s="50"/>
      <c r="AF84" s="50"/>
      <c r="AG84" s="50"/>
      <c r="AH84" s="50"/>
      <c r="AI84" s="50"/>
      <c r="AJ84" s="51"/>
    </row>
    <row r="85" spans="2:38">
      <c r="B85" s="4" t="s">
        <v>117</v>
      </c>
      <c r="C85" s="70">
        <f>C48</f>
        <v>58.545000000000002</v>
      </c>
      <c r="D85" s="45">
        <f t="shared" ref="D85:G85" si="49">D48</f>
        <v>26.727</v>
      </c>
      <c r="E85" s="45">
        <f t="shared" si="49"/>
        <v>26.727</v>
      </c>
      <c r="F85" s="45">
        <f t="shared" si="49"/>
        <v>36.545000000000002</v>
      </c>
      <c r="G85" s="46">
        <f t="shared" si="49"/>
        <v>59.454999999999998</v>
      </c>
      <c r="H85" s="50"/>
      <c r="I85" s="4" t="s">
        <v>117</v>
      </c>
      <c r="J85" s="43">
        <f>J48</f>
        <v>3.2730000000000001</v>
      </c>
      <c r="K85" s="44">
        <f t="shared" ref="K85:N85" si="50">K48</f>
        <v>6.6269999999999998</v>
      </c>
      <c r="L85" s="44">
        <f t="shared" si="50"/>
        <v>7.6180000000000003</v>
      </c>
      <c r="M85" s="44">
        <f t="shared" si="50"/>
        <v>6.2359999999999998</v>
      </c>
      <c r="N85" s="78">
        <f t="shared" si="50"/>
        <v>6.3449999999999998</v>
      </c>
      <c r="O85" s="51"/>
      <c r="P85" s="96" t="s">
        <v>153</v>
      </c>
      <c r="Q85" s="38">
        <f>Q68</f>
        <v>269.5</v>
      </c>
      <c r="R85" s="37">
        <f>R68</f>
        <v>267.5</v>
      </c>
      <c r="S85" s="37">
        <f>S68</f>
        <v>245.5</v>
      </c>
      <c r="T85" s="37">
        <f>T68</f>
        <v>276</v>
      </c>
      <c r="U85" s="39">
        <f>U68</f>
        <v>326</v>
      </c>
      <c r="W85" s="71" t="s">
        <v>133</v>
      </c>
      <c r="X85" s="83">
        <f>X53</f>
        <v>5.6000000000000001E-2</v>
      </c>
      <c r="Y85" s="86"/>
      <c r="Z85" s="102" t="s">
        <v>144</v>
      </c>
      <c r="AA85" s="115">
        <f>(AA84-AA83)/2</f>
        <v>7.0000000000000007E-2</v>
      </c>
      <c r="AB85" s="50"/>
      <c r="AC85" s="50"/>
      <c r="AD85" s="50"/>
      <c r="AE85" s="50"/>
      <c r="AF85" s="50"/>
      <c r="AG85" s="50"/>
      <c r="AH85" s="50"/>
      <c r="AI85" s="50"/>
      <c r="AJ85" s="51"/>
    </row>
    <row r="86" spans="2:38">
      <c r="B86" s="4" t="s">
        <v>118</v>
      </c>
      <c r="C86" s="71">
        <f>C60</f>
        <v>22.917000000000002</v>
      </c>
      <c r="D86" s="50">
        <f t="shared" ref="D86:G86" si="51">D60</f>
        <v>25.917000000000002</v>
      </c>
      <c r="E86" s="50">
        <f t="shared" si="51"/>
        <v>22.75</v>
      </c>
      <c r="F86" s="50">
        <f t="shared" si="51"/>
        <v>32.417000000000002</v>
      </c>
      <c r="G86" s="51">
        <f t="shared" si="51"/>
        <v>49.417000000000002</v>
      </c>
      <c r="H86" s="50"/>
      <c r="I86" s="4" t="s">
        <v>118</v>
      </c>
      <c r="J86" s="48">
        <f>J60</f>
        <v>6.4669999999999996</v>
      </c>
      <c r="K86" s="49">
        <f t="shared" ref="K86:N86" si="52">K60</f>
        <v>6.9669999999999996</v>
      </c>
      <c r="L86" s="49">
        <f t="shared" si="52"/>
        <v>6.7750000000000004</v>
      </c>
      <c r="M86" s="49">
        <f t="shared" si="52"/>
        <v>8.4420000000000002</v>
      </c>
      <c r="N86" s="57">
        <f t="shared" si="52"/>
        <v>7.2830000000000004</v>
      </c>
      <c r="O86" s="51"/>
      <c r="P86" s="71" t="s">
        <v>154</v>
      </c>
      <c r="Q86" s="38">
        <f>Q80</f>
        <v>189</v>
      </c>
      <c r="R86" s="37">
        <f t="shared" ref="R86:U86" si="53">R80</f>
        <v>230.5</v>
      </c>
      <c r="S86" s="37">
        <f t="shared" si="53"/>
        <v>240.5</v>
      </c>
      <c r="T86" s="37">
        <f t="shared" si="53"/>
        <v>253.5</v>
      </c>
      <c r="U86" s="39">
        <f t="shared" si="53"/>
        <v>271</v>
      </c>
      <c r="W86" s="71" t="s">
        <v>134</v>
      </c>
      <c r="X86" s="83">
        <f>X65</f>
        <v>0.3</v>
      </c>
      <c r="Y86" s="86"/>
      <c r="Z86" s="104" t="s">
        <v>145</v>
      </c>
      <c r="AA86" s="116">
        <f>AA83+AA85</f>
        <v>0.89999999999999991</v>
      </c>
      <c r="AB86" s="54"/>
      <c r="AC86" s="54"/>
      <c r="AD86" s="54"/>
      <c r="AE86" s="54"/>
      <c r="AF86" s="54"/>
      <c r="AG86" s="54"/>
      <c r="AH86" s="54"/>
      <c r="AI86" s="54"/>
      <c r="AJ86" s="55"/>
    </row>
    <row r="87" spans="2:38">
      <c r="B87" s="4" t="s">
        <v>119</v>
      </c>
      <c r="C87" s="71">
        <f>C72</f>
        <v>8.8569999999999993</v>
      </c>
      <c r="D87" s="50">
        <f t="shared" ref="D87:G87" si="54">D72</f>
        <v>18.143000000000001</v>
      </c>
      <c r="E87" s="50">
        <f t="shared" si="54"/>
        <v>19.571000000000002</v>
      </c>
      <c r="F87" s="50">
        <f t="shared" si="54"/>
        <v>30.356999999999999</v>
      </c>
      <c r="G87" s="51">
        <f t="shared" si="54"/>
        <v>32</v>
      </c>
      <c r="H87" s="50"/>
      <c r="I87" s="4" t="s">
        <v>119</v>
      </c>
      <c r="J87" s="48">
        <f>J72</f>
        <v>7.0709999999999997</v>
      </c>
      <c r="K87" s="49">
        <f t="shared" ref="K87:N87" si="55">K72</f>
        <v>5.8140000000000001</v>
      </c>
      <c r="L87" s="49">
        <f t="shared" si="55"/>
        <v>7.9</v>
      </c>
      <c r="M87" s="49">
        <f t="shared" si="55"/>
        <v>6.7</v>
      </c>
      <c r="N87" s="57">
        <f t="shared" si="55"/>
        <v>7.5140000000000002</v>
      </c>
      <c r="O87" s="51"/>
      <c r="P87" s="96" t="s">
        <v>123</v>
      </c>
      <c r="Q87" s="38">
        <f>Q55</f>
        <v>57.5</v>
      </c>
      <c r="R87" s="37">
        <f>R55</f>
        <v>52.5</v>
      </c>
      <c r="S87" s="37">
        <f>S55</f>
        <v>67.5</v>
      </c>
      <c r="T87" s="37">
        <f>T55</f>
        <v>51</v>
      </c>
      <c r="U87" s="39">
        <f>U55</f>
        <v>42</v>
      </c>
      <c r="W87" s="59" t="s">
        <v>135</v>
      </c>
      <c r="X87" s="84">
        <f>X77</f>
        <v>0.14099999999999999</v>
      </c>
      <c r="Y87" s="86"/>
      <c r="Z87" s="86"/>
    </row>
    <row r="88" spans="2:38">
      <c r="B88" s="4" t="s">
        <v>123</v>
      </c>
      <c r="C88" s="71">
        <f>C53</f>
        <v>5.2160000000000002</v>
      </c>
      <c r="D88" s="50">
        <f t="shared" ref="D88:G88" si="56">D53</f>
        <v>6.0910000000000002</v>
      </c>
      <c r="E88" s="50">
        <f t="shared" si="56"/>
        <v>6.266</v>
      </c>
      <c r="F88" s="50">
        <f t="shared" si="56"/>
        <v>5.0659999999999998</v>
      </c>
      <c r="G88" s="51">
        <f t="shared" si="56"/>
        <v>6.0190000000000001</v>
      </c>
      <c r="H88" s="50"/>
      <c r="I88" s="4" t="s">
        <v>123</v>
      </c>
      <c r="J88" s="48">
        <f>J53</f>
        <v>1.5309999999999999</v>
      </c>
      <c r="K88" s="49">
        <f t="shared" ref="K88:N88" si="57">K53</f>
        <v>1.6890000000000001</v>
      </c>
      <c r="L88" s="49">
        <f t="shared" si="57"/>
        <v>1.1060000000000001</v>
      </c>
      <c r="M88" s="49">
        <f t="shared" si="57"/>
        <v>0.61699999999999999</v>
      </c>
      <c r="N88" s="57">
        <f t="shared" si="57"/>
        <v>1.1659999999999999</v>
      </c>
      <c r="O88" s="51"/>
      <c r="P88" s="96" t="s">
        <v>124</v>
      </c>
      <c r="Q88" s="38">
        <f>Q67</f>
        <v>35.5</v>
      </c>
      <c r="R88" s="37">
        <f>R67</f>
        <v>58.5</v>
      </c>
      <c r="S88" s="37">
        <f>S67</f>
        <v>55.5</v>
      </c>
      <c r="T88" s="37">
        <f>T67</f>
        <v>52</v>
      </c>
      <c r="U88" s="39">
        <f>U67</f>
        <v>56</v>
      </c>
    </row>
    <row r="89" spans="2:38">
      <c r="B89" s="4" t="s">
        <v>124</v>
      </c>
      <c r="C89" s="71">
        <f>C65</f>
        <v>6.91</v>
      </c>
      <c r="D89" s="50">
        <f t="shared" ref="D89:G89" si="58">D65</f>
        <v>7.7080000000000002</v>
      </c>
      <c r="E89" s="50">
        <f t="shared" si="58"/>
        <v>7.0910000000000002</v>
      </c>
      <c r="F89" s="50">
        <f t="shared" si="58"/>
        <v>6.0910000000000002</v>
      </c>
      <c r="G89" s="51">
        <f t="shared" si="58"/>
        <v>4.0309999999999997</v>
      </c>
      <c r="H89" s="50"/>
      <c r="I89" s="4" t="s">
        <v>124</v>
      </c>
      <c r="J89" s="48">
        <f>J65</f>
        <v>1.07</v>
      </c>
      <c r="K89" s="49">
        <f t="shared" ref="K89:N89" si="59">K65</f>
        <v>1.3620000000000001</v>
      </c>
      <c r="L89" s="49">
        <f t="shared" si="59"/>
        <v>1.3819999999999999</v>
      </c>
      <c r="M89" s="49">
        <f t="shared" si="59"/>
        <v>0.73399999999999999</v>
      </c>
      <c r="N89" s="57">
        <f t="shared" si="59"/>
        <v>1.319</v>
      </c>
      <c r="O89" s="51"/>
      <c r="P89" s="97" t="s">
        <v>125</v>
      </c>
      <c r="Q89" s="74">
        <f>Q79</f>
        <v>90</v>
      </c>
      <c r="R89" s="72">
        <f t="shared" ref="R89:U89" si="60">R78</f>
        <v>149</v>
      </c>
      <c r="S89" s="72">
        <f t="shared" si="60"/>
        <v>213</v>
      </c>
      <c r="T89" s="72">
        <f t="shared" si="60"/>
        <v>219</v>
      </c>
      <c r="U89" s="73">
        <f t="shared" si="60"/>
        <v>229</v>
      </c>
      <c r="Z89" s="80" t="s">
        <v>120</v>
      </c>
      <c r="AA89" s="81"/>
    </row>
    <row r="90" spans="2:38">
      <c r="B90" s="4" t="s">
        <v>125</v>
      </c>
      <c r="C90" s="59">
        <f>C77</f>
        <v>4.0999999999999996</v>
      </c>
      <c r="D90" s="54">
        <f t="shared" ref="D90:G90" si="61">D77</f>
        <v>4.1989999999999998</v>
      </c>
      <c r="E90" s="54">
        <f t="shared" si="61"/>
        <v>5.1070000000000002</v>
      </c>
      <c r="F90" s="54">
        <f t="shared" si="61"/>
        <v>7</v>
      </c>
      <c r="G90" s="55">
        <f t="shared" si="61"/>
        <v>6.4119999999999999</v>
      </c>
      <c r="H90" s="50"/>
      <c r="I90" s="4" t="s">
        <v>125</v>
      </c>
      <c r="J90" s="52">
        <f>J77</f>
        <v>1.0660000000000001</v>
      </c>
      <c r="K90" s="53">
        <f t="shared" ref="K90:N90" si="62">K77</f>
        <v>1.054</v>
      </c>
      <c r="L90" s="53">
        <f t="shared" si="62"/>
        <v>0.96899999999999997</v>
      </c>
      <c r="M90" s="53">
        <f t="shared" si="62"/>
        <v>0.627</v>
      </c>
      <c r="N90" s="79">
        <f t="shared" si="62"/>
        <v>0.63900000000000001</v>
      </c>
      <c r="O90" s="50" t="s">
        <v>137</v>
      </c>
      <c r="Q90" s="50"/>
      <c r="R90" s="50"/>
      <c r="S90" s="50"/>
      <c r="T90" s="50"/>
      <c r="U90" s="50"/>
      <c r="Z90" s="70" t="s">
        <v>146</v>
      </c>
      <c r="AA90" s="119">
        <f>AA57</f>
        <v>0.3</v>
      </c>
    </row>
    <row r="91" spans="2:38">
      <c r="Q91" s="50"/>
      <c r="R91" s="50"/>
      <c r="S91" s="50"/>
      <c r="T91" s="50"/>
      <c r="U91" s="50"/>
      <c r="Z91" s="71" t="s">
        <v>147</v>
      </c>
      <c r="AA91" s="120">
        <f>AA71</f>
        <v>0.63500000000000001</v>
      </c>
    </row>
    <row r="92" spans="2:38">
      <c r="Z92" s="71" t="s">
        <v>148</v>
      </c>
      <c r="AA92" s="120">
        <f>AA86</f>
        <v>0.89999999999999991</v>
      </c>
    </row>
    <row r="93" spans="2:38">
      <c r="Z93" s="71" t="s">
        <v>123</v>
      </c>
      <c r="AA93" s="120">
        <f>AA56</f>
        <v>0.10999999999999999</v>
      </c>
    </row>
    <row r="94" spans="2:38">
      <c r="Z94" s="71" t="s">
        <v>124</v>
      </c>
      <c r="AA94" s="120">
        <f>AA70</f>
        <v>0.13500000000000001</v>
      </c>
    </row>
    <row r="95" spans="2:38">
      <c r="Z95" s="59" t="s">
        <v>125</v>
      </c>
      <c r="AA95" s="121">
        <f>AA85</f>
        <v>7.0000000000000007E-2</v>
      </c>
    </row>
    <row r="108" spans="24:36">
      <c r="X108" s="143"/>
    </row>
    <row r="110" spans="24:36">
      <c r="AA110" s="89" t="s">
        <v>17</v>
      </c>
      <c r="AB110" s="90" t="s">
        <v>18</v>
      </c>
      <c r="AC110" s="90" t="s">
        <v>19</v>
      </c>
      <c r="AD110" s="90" t="s">
        <v>20</v>
      </c>
      <c r="AE110" s="90" t="s">
        <v>21</v>
      </c>
      <c r="AF110" s="90" t="s">
        <v>22</v>
      </c>
      <c r="AG110" s="90" t="s">
        <v>23</v>
      </c>
      <c r="AH110" s="90" t="s">
        <v>24</v>
      </c>
      <c r="AI110" s="90" t="s">
        <v>25</v>
      </c>
      <c r="AJ110" s="91" t="s">
        <v>26</v>
      </c>
    </row>
    <row r="111" spans="24:36">
      <c r="X111" s="62"/>
      <c r="Y111" s="87"/>
      <c r="Z111" s="87"/>
      <c r="AA111" s="92">
        <f t="shared" ref="AA111:AA121" si="63">AA2*2.5</f>
        <v>2.5</v>
      </c>
      <c r="AB111" s="93">
        <f t="shared" ref="AB111:AB121" si="64">(4-AB2)*2.5</f>
        <v>10</v>
      </c>
      <c r="AC111" s="93">
        <f t="shared" ref="AC111:AC121" si="65">AC2*2.5</f>
        <v>5</v>
      </c>
      <c r="AD111" s="93">
        <f t="shared" ref="AD111:AD121" si="66">(4-AD2)*2.5</f>
        <v>10</v>
      </c>
      <c r="AE111" s="93">
        <f t="shared" ref="AE111:AE121" si="67">AE2*2.5</f>
        <v>2.5</v>
      </c>
      <c r="AF111" s="93">
        <f t="shared" ref="AF111:AF121" si="68">(4-AF2)*2.5</f>
        <v>5</v>
      </c>
      <c r="AG111" s="93">
        <f t="shared" ref="AG111:AG121" si="69">AG2*2.5</f>
        <v>2.5</v>
      </c>
      <c r="AH111" s="93">
        <f t="shared" ref="AH111:AH121" si="70">(4-AH2)*2.5</f>
        <v>10</v>
      </c>
      <c r="AI111" s="93">
        <f t="shared" ref="AI111:AI121" si="71">AI2*2.5</f>
        <v>2.5</v>
      </c>
      <c r="AJ111" s="94">
        <f t="shared" ref="AJ111:AJ121" si="72">(4-AJ2)*2.5</f>
        <v>10</v>
      </c>
    </row>
    <row r="112" spans="24:36">
      <c r="AA112" s="38">
        <f t="shared" si="63"/>
        <v>5</v>
      </c>
      <c r="AB112" s="37">
        <f t="shared" si="64"/>
        <v>10</v>
      </c>
      <c r="AC112" s="37">
        <f t="shared" si="65"/>
        <v>2.5</v>
      </c>
      <c r="AD112" s="37">
        <f t="shared" si="66"/>
        <v>10</v>
      </c>
      <c r="AE112" s="37">
        <f t="shared" si="67"/>
        <v>5</v>
      </c>
      <c r="AF112" s="37">
        <f t="shared" si="68"/>
        <v>10</v>
      </c>
      <c r="AG112" s="37">
        <f t="shared" si="69"/>
        <v>2.5</v>
      </c>
      <c r="AH112" s="37">
        <f t="shared" si="70"/>
        <v>10</v>
      </c>
      <c r="AI112" s="37">
        <f t="shared" si="71"/>
        <v>5</v>
      </c>
      <c r="AJ112" s="39">
        <f t="shared" si="72"/>
        <v>10</v>
      </c>
    </row>
    <row r="113" spans="24:36">
      <c r="X113" s="85"/>
      <c r="AA113" s="38">
        <f t="shared" si="63"/>
        <v>0</v>
      </c>
      <c r="AB113" s="37">
        <f t="shared" si="64"/>
        <v>10</v>
      </c>
      <c r="AC113" s="37">
        <f t="shared" si="65"/>
        <v>2.5</v>
      </c>
      <c r="AD113" s="37">
        <f t="shared" si="66"/>
        <v>7.5</v>
      </c>
      <c r="AE113" s="37">
        <f t="shared" si="67"/>
        <v>5</v>
      </c>
      <c r="AF113" s="37">
        <f t="shared" si="68"/>
        <v>10</v>
      </c>
      <c r="AG113" s="37">
        <f t="shared" si="69"/>
        <v>2.5</v>
      </c>
      <c r="AH113" s="37">
        <f t="shared" si="70"/>
        <v>7.5</v>
      </c>
      <c r="AI113" s="37">
        <f t="shared" si="71"/>
        <v>0</v>
      </c>
      <c r="AJ113" s="39">
        <f t="shared" si="72"/>
        <v>10</v>
      </c>
    </row>
    <row r="114" spans="24:36">
      <c r="X114" s="85"/>
      <c r="AA114" s="38">
        <f t="shared" si="63"/>
        <v>2.5</v>
      </c>
      <c r="AB114" s="37">
        <f t="shared" si="64"/>
        <v>10</v>
      </c>
      <c r="AC114" s="37">
        <f t="shared" si="65"/>
        <v>7.5</v>
      </c>
      <c r="AD114" s="37">
        <f t="shared" si="66"/>
        <v>10</v>
      </c>
      <c r="AE114" s="37">
        <f t="shared" si="67"/>
        <v>2.5</v>
      </c>
      <c r="AF114" s="37">
        <f t="shared" si="68"/>
        <v>10</v>
      </c>
      <c r="AG114" s="37">
        <f t="shared" si="69"/>
        <v>5</v>
      </c>
      <c r="AH114" s="37">
        <f t="shared" si="70"/>
        <v>10</v>
      </c>
      <c r="AI114" s="37">
        <f t="shared" si="71"/>
        <v>0</v>
      </c>
      <c r="AJ114" s="39">
        <f t="shared" si="72"/>
        <v>10</v>
      </c>
    </row>
    <row r="115" spans="24:36">
      <c r="X115" s="85"/>
      <c r="AA115" s="38">
        <f t="shared" si="63"/>
        <v>0</v>
      </c>
      <c r="AB115" s="37">
        <f t="shared" si="64"/>
        <v>10</v>
      </c>
      <c r="AC115" s="37">
        <f t="shared" si="65"/>
        <v>0</v>
      </c>
      <c r="AD115" s="37">
        <f t="shared" si="66"/>
        <v>10</v>
      </c>
      <c r="AE115" s="37">
        <f t="shared" si="67"/>
        <v>2.5</v>
      </c>
      <c r="AF115" s="37">
        <f t="shared" si="68"/>
        <v>10</v>
      </c>
      <c r="AG115" s="37">
        <f t="shared" si="69"/>
        <v>2.5</v>
      </c>
      <c r="AH115" s="37">
        <f t="shared" si="70"/>
        <v>10</v>
      </c>
      <c r="AI115" s="37">
        <f t="shared" si="71"/>
        <v>0</v>
      </c>
      <c r="AJ115" s="39">
        <f t="shared" si="72"/>
        <v>10</v>
      </c>
    </row>
    <row r="116" spans="24:36">
      <c r="X116" s="85"/>
      <c r="AA116" s="38">
        <f t="shared" si="63"/>
        <v>5</v>
      </c>
      <c r="AB116" s="37">
        <f t="shared" si="64"/>
        <v>10</v>
      </c>
      <c r="AC116" s="37">
        <f t="shared" si="65"/>
        <v>5</v>
      </c>
      <c r="AD116" s="37">
        <f t="shared" si="66"/>
        <v>5</v>
      </c>
      <c r="AE116" s="37">
        <f t="shared" si="67"/>
        <v>0</v>
      </c>
      <c r="AF116" s="37">
        <f t="shared" si="68"/>
        <v>10</v>
      </c>
      <c r="AG116" s="37">
        <f t="shared" si="69"/>
        <v>5</v>
      </c>
      <c r="AH116" s="37">
        <f t="shared" si="70"/>
        <v>10</v>
      </c>
      <c r="AI116" s="37">
        <f t="shared" si="71"/>
        <v>2.5</v>
      </c>
      <c r="AJ116" s="39">
        <f t="shared" si="72"/>
        <v>10</v>
      </c>
    </row>
    <row r="117" spans="24:36">
      <c r="X117" s="85"/>
      <c r="AA117" s="38">
        <f t="shared" si="63"/>
        <v>2.5</v>
      </c>
      <c r="AB117" s="37">
        <f t="shared" si="64"/>
        <v>10</v>
      </c>
      <c r="AC117" s="37">
        <f t="shared" si="65"/>
        <v>2.5</v>
      </c>
      <c r="AD117" s="37">
        <f t="shared" si="66"/>
        <v>10</v>
      </c>
      <c r="AE117" s="37">
        <f t="shared" si="67"/>
        <v>0</v>
      </c>
      <c r="AF117" s="37">
        <f t="shared" si="68"/>
        <v>10</v>
      </c>
      <c r="AG117" s="37">
        <f t="shared" si="69"/>
        <v>2.5</v>
      </c>
      <c r="AH117" s="37">
        <f t="shared" si="70"/>
        <v>10</v>
      </c>
      <c r="AI117" s="37">
        <f t="shared" si="71"/>
        <v>0</v>
      </c>
      <c r="AJ117" s="39">
        <f t="shared" si="72"/>
        <v>10</v>
      </c>
    </row>
    <row r="118" spans="24:36">
      <c r="AA118" s="38">
        <f t="shared" si="63"/>
        <v>0</v>
      </c>
      <c r="AB118" s="37">
        <f t="shared" si="64"/>
        <v>10</v>
      </c>
      <c r="AC118" s="37">
        <f t="shared" si="65"/>
        <v>2.5</v>
      </c>
      <c r="AD118" s="37">
        <f t="shared" si="66"/>
        <v>10</v>
      </c>
      <c r="AE118" s="37">
        <f t="shared" si="67"/>
        <v>2.5</v>
      </c>
      <c r="AF118" s="37">
        <f t="shared" si="68"/>
        <v>10</v>
      </c>
      <c r="AG118" s="37">
        <f t="shared" si="69"/>
        <v>5</v>
      </c>
      <c r="AH118" s="37">
        <f t="shared" si="70"/>
        <v>10</v>
      </c>
      <c r="AI118" s="37">
        <f t="shared" si="71"/>
        <v>5</v>
      </c>
      <c r="AJ118" s="39">
        <f t="shared" si="72"/>
        <v>10</v>
      </c>
    </row>
    <row r="119" spans="24:36" ht="16.5">
      <c r="X119" s="142"/>
      <c r="AA119" s="38">
        <f t="shared" si="63"/>
        <v>2.5</v>
      </c>
      <c r="AB119" s="37">
        <f t="shared" si="64"/>
        <v>10</v>
      </c>
      <c r="AC119" s="37">
        <f t="shared" si="65"/>
        <v>0</v>
      </c>
      <c r="AD119" s="37">
        <f t="shared" si="66"/>
        <v>10</v>
      </c>
      <c r="AE119" s="37">
        <f t="shared" si="67"/>
        <v>0</v>
      </c>
      <c r="AF119" s="37">
        <f t="shared" si="68"/>
        <v>10</v>
      </c>
      <c r="AG119" s="37">
        <f t="shared" si="69"/>
        <v>5</v>
      </c>
      <c r="AH119" s="37">
        <f t="shared" si="70"/>
        <v>10</v>
      </c>
      <c r="AI119" s="37">
        <f t="shared" si="71"/>
        <v>5</v>
      </c>
      <c r="AJ119" s="39">
        <f t="shared" si="72"/>
        <v>10</v>
      </c>
    </row>
    <row r="120" spans="24:36">
      <c r="AA120" s="38">
        <f t="shared" si="63"/>
        <v>2.5</v>
      </c>
      <c r="AB120" s="37">
        <f t="shared" si="64"/>
        <v>10</v>
      </c>
      <c r="AC120" s="37">
        <f t="shared" si="65"/>
        <v>5</v>
      </c>
      <c r="AD120" s="37">
        <f t="shared" si="66"/>
        <v>10</v>
      </c>
      <c r="AE120" s="37">
        <f t="shared" si="67"/>
        <v>0</v>
      </c>
      <c r="AF120" s="37">
        <f t="shared" si="68"/>
        <v>10</v>
      </c>
      <c r="AG120" s="37">
        <f t="shared" si="69"/>
        <v>0</v>
      </c>
      <c r="AH120" s="37">
        <f t="shared" si="70"/>
        <v>10</v>
      </c>
      <c r="AI120" s="37">
        <f t="shared" si="71"/>
        <v>0</v>
      </c>
      <c r="AJ120" s="39">
        <f t="shared" si="72"/>
        <v>10</v>
      </c>
    </row>
    <row r="121" spans="24:36">
      <c r="AA121" s="74">
        <f t="shared" si="63"/>
        <v>7.5</v>
      </c>
      <c r="AB121" s="72">
        <f t="shared" si="64"/>
        <v>10</v>
      </c>
      <c r="AC121" s="72">
        <f t="shared" si="65"/>
        <v>2.5</v>
      </c>
      <c r="AD121" s="72">
        <f t="shared" si="66"/>
        <v>7.5</v>
      </c>
      <c r="AE121" s="72">
        <f t="shared" si="67"/>
        <v>2.5</v>
      </c>
      <c r="AF121" s="72">
        <f t="shared" si="68"/>
        <v>10</v>
      </c>
      <c r="AG121" s="72">
        <f t="shared" si="69"/>
        <v>0</v>
      </c>
      <c r="AH121" s="72">
        <f t="shared" si="70"/>
        <v>10</v>
      </c>
      <c r="AI121" s="72">
        <f t="shared" si="71"/>
        <v>0</v>
      </c>
      <c r="AJ121" s="73">
        <f t="shared" si="72"/>
        <v>10</v>
      </c>
    </row>
    <row r="122" spans="24:36"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</row>
    <row r="123" spans="24:36">
      <c r="AA123" s="89" t="s">
        <v>78</v>
      </c>
      <c r="AB123" s="90" t="s">
        <v>34</v>
      </c>
      <c r="AC123" s="90" t="s">
        <v>35</v>
      </c>
      <c r="AD123" s="90" t="s">
        <v>36</v>
      </c>
      <c r="AE123" s="90" t="s">
        <v>37</v>
      </c>
      <c r="AF123" s="90" t="s">
        <v>38</v>
      </c>
      <c r="AG123" s="90" t="s">
        <v>39</v>
      </c>
      <c r="AH123" s="90" t="s">
        <v>40</v>
      </c>
      <c r="AI123" s="90" t="s">
        <v>41</v>
      </c>
      <c r="AJ123" s="91" t="s">
        <v>42</v>
      </c>
    </row>
    <row r="124" spans="24:36">
      <c r="AA124" s="92">
        <f t="shared" ref="AA124:AA135" si="73">AA15*2.5</f>
        <v>7.5</v>
      </c>
      <c r="AB124" s="93">
        <f t="shared" ref="AB124:AB135" si="74">(4-AB15)*2.5</f>
        <v>10</v>
      </c>
      <c r="AC124" s="93">
        <f t="shared" ref="AC124:AC135" si="75">AC15*2.5</f>
        <v>7.5</v>
      </c>
      <c r="AD124" s="93">
        <f t="shared" ref="AD124:AD135" si="76">(4-AD15)*2.5</f>
        <v>7.5</v>
      </c>
      <c r="AE124" s="93">
        <f t="shared" ref="AE124:AE135" si="77">AE15*2.5</f>
        <v>5</v>
      </c>
      <c r="AF124" s="93">
        <f t="shared" ref="AF124:AF135" si="78">(4-AF15)*2.5</f>
        <v>10</v>
      </c>
      <c r="AG124" s="93">
        <f t="shared" ref="AG124:AG135" si="79">AG15*2.5</f>
        <v>2.5</v>
      </c>
      <c r="AH124" s="93">
        <f t="shared" ref="AH124:AH135" si="80">(4-AH15)*2.5</f>
        <v>10</v>
      </c>
      <c r="AI124" s="93">
        <f t="shared" ref="AI124:AI135" si="81">AI15*2.5</f>
        <v>7.5</v>
      </c>
      <c r="AJ124" s="94">
        <f t="shared" ref="AJ124:AJ135" si="82">(4-AJ15)*2.5</f>
        <v>5</v>
      </c>
    </row>
    <row r="125" spans="24:36">
      <c r="AA125" s="38">
        <f t="shared" si="73"/>
        <v>5</v>
      </c>
      <c r="AB125" s="37">
        <f t="shared" si="74"/>
        <v>10</v>
      </c>
      <c r="AC125" s="37">
        <f t="shared" si="75"/>
        <v>10</v>
      </c>
      <c r="AD125" s="37">
        <f t="shared" si="76"/>
        <v>2.5</v>
      </c>
      <c r="AE125" s="37">
        <f t="shared" si="77"/>
        <v>5</v>
      </c>
      <c r="AF125" s="37">
        <f t="shared" si="78"/>
        <v>10</v>
      </c>
      <c r="AG125" s="37">
        <f t="shared" si="79"/>
        <v>7.5</v>
      </c>
      <c r="AH125" s="37">
        <f t="shared" si="80"/>
        <v>10</v>
      </c>
      <c r="AI125" s="37">
        <f t="shared" si="81"/>
        <v>7.5</v>
      </c>
      <c r="AJ125" s="39">
        <f t="shared" si="82"/>
        <v>10</v>
      </c>
    </row>
    <row r="126" spans="24:36">
      <c r="AA126" s="38">
        <f t="shared" si="73"/>
        <v>10</v>
      </c>
      <c r="AB126" s="37">
        <f t="shared" si="74"/>
        <v>10</v>
      </c>
      <c r="AC126" s="37">
        <f t="shared" si="75"/>
        <v>10</v>
      </c>
      <c r="AD126" s="37">
        <f t="shared" si="76"/>
        <v>10</v>
      </c>
      <c r="AE126" s="37">
        <f t="shared" si="77"/>
        <v>5</v>
      </c>
      <c r="AF126" s="37">
        <f t="shared" si="78"/>
        <v>7.5</v>
      </c>
      <c r="AG126" s="37">
        <f t="shared" si="79"/>
        <v>2.5</v>
      </c>
      <c r="AH126" s="37">
        <f t="shared" si="80"/>
        <v>10</v>
      </c>
      <c r="AI126" s="37">
        <f t="shared" si="81"/>
        <v>5</v>
      </c>
      <c r="AJ126" s="39">
        <f t="shared" si="82"/>
        <v>10</v>
      </c>
    </row>
    <row r="127" spans="24:36">
      <c r="AA127" s="38">
        <f t="shared" si="73"/>
        <v>7.5</v>
      </c>
      <c r="AB127" s="37">
        <f t="shared" si="74"/>
        <v>10</v>
      </c>
      <c r="AC127" s="37">
        <f t="shared" si="75"/>
        <v>5</v>
      </c>
      <c r="AD127" s="37">
        <f t="shared" si="76"/>
        <v>10</v>
      </c>
      <c r="AE127" s="37">
        <f t="shared" si="77"/>
        <v>5</v>
      </c>
      <c r="AF127" s="37">
        <f t="shared" si="78"/>
        <v>7.5</v>
      </c>
      <c r="AG127" s="37">
        <f t="shared" si="79"/>
        <v>2.5</v>
      </c>
      <c r="AH127" s="37">
        <f t="shared" si="80"/>
        <v>10</v>
      </c>
      <c r="AI127" s="37">
        <f t="shared" si="81"/>
        <v>7.5</v>
      </c>
      <c r="AJ127" s="39">
        <f t="shared" si="82"/>
        <v>5</v>
      </c>
    </row>
    <row r="128" spans="24:36">
      <c r="AA128" s="38">
        <f t="shared" si="73"/>
        <v>7.5</v>
      </c>
      <c r="AB128" s="37">
        <f t="shared" si="74"/>
        <v>7.5</v>
      </c>
      <c r="AC128" s="37">
        <f t="shared" si="75"/>
        <v>2.5</v>
      </c>
      <c r="AD128" s="37">
        <f t="shared" si="76"/>
        <v>5</v>
      </c>
      <c r="AE128" s="37">
        <f t="shared" si="77"/>
        <v>5</v>
      </c>
      <c r="AF128" s="37">
        <f t="shared" si="78"/>
        <v>5</v>
      </c>
      <c r="AG128" s="37">
        <f t="shared" si="79"/>
        <v>7.5</v>
      </c>
      <c r="AH128" s="37">
        <f t="shared" si="80"/>
        <v>10</v>
      </c>
      <c r="AI128" s="37">
        <f t="shared" si="81"/>
        <v>7.5</v>
      </c>
      <c r="AJ128" s="39">
        <f t="shared" si="82"/>
        <v>10</v>
      </c>
    </row>
    <row r="129" spans="27:36">
      <c r="AA129" s="38">
        <f t="shared" si="73"/>
        <v>10</v>
      </c>
      <c r="AB129" s="37">
        <f t="shared" si="74"/>
        <v>7.5</v>
      </c>
      <c r="AC129" s="37">
        <f t="shared" si="75"/>
        <v>5</v>
      </c>
      <c r="AD129" s="37">
        <f t="shared" si="76"/>
        <v>7.5</v>
      </c>
      <c r="AE129" s="37">
        <f t="shared" si="77"/>
        <v>5</v>
      </c>
      <c r="AF129" s="37">
        <f t="shared" si="78"/>
        <v>7.5</v>
      </c>
      <c r="AG129" s="37">
        <f t="shared" si="79"/>
        <v>10</v>
      </c>
      <c r="AH129" s="37">
        <f t="shared" si="80"/>
        <v>7.5</v>
      </c>
      <c r="AI129" s="37">
        <f t="shared" si="81"/>
        <v>5</v>
      </c>
      <c r="AJ129" s="39">
        <f t="shared" si="82"/>
        <v>5</v>
      </c>
    </row>
    <row r="130" spans="27:36">
      <c r="AA130" s="38">
        <f t="shared" si="73"/>
        <v>7.5</v>
      </c>
      <c r="AB130" s="37">
        <f t="shared" si="74"/>
        <v>5</v>
      </c>
      <c r="AC130" s="37">
        <f t="shared" si="75"/>
        <v>2.5</v>
      </c>
      <c r="AD130" s="37">
        <f t="shared" si="76"/>
        <v>7.5</v>
      </c>
      <c r="AE130" s="37">
        <f t="shared" si="77"/>
        <v>5</v>
      </c>
      <c r="AF130" s="37">
        <f t="shared" si="78"/>
        <v>5</v>
      </c>
      <c r="AG130" s="37">
        <f t="shared" si="79"/>
        <v>10</v>
      </c>
      <c r="AH130" s="37">
        <f t="shared" si="80"/>
        <v>10</v>
      </c>
      <c r="AI130" s="37">
        <f t="shared" si="81"/>
        <v>5</v>
      </c>
      <c r="AJ130" s="39">
        <f t="shared" si="82"/>
        <v>7.5</v>
      </c>
    </row>
    <row r="131" spans="27:36">
      <c r="AA131" s="38">
        <f t="shared" si="73"/>
        <v>5</v>
      </c>
      <c r="AB131" s="37">
        <f t="shared" si="74"/>
        <v>7.5</v>
      </c>
      <c r="AC131" s="37">
        <f t="shared" si="75"/>
        <v>7.5</v>
      </c>
      <c r="AD131" s="37">
        <f t="shared" si="76"/>
        <v>10</v>
      </c>
      <c r="AE131" s="37">
        <f t="shared" si="77"/>
        <v>2.5</v>
      </c>
      <c r="AF131" s="37">
        <f t="shared" si="78"/>
        <v>7.5</v>
      </c>
      <c r="AG131" s="37">
        <f t="shared" si="79"/>
        <v>2.5</v>
      </c>
      <c r="AH131" s="37">
        <f t="shared" si="80"/>
        <v>7.5</v>
      </c>
      <c r="AI131" s="37">
        <f t="shared" si="81"/>
        <v>10</v>
      </c>
      <c r="AJ131" s="39">
        <f t="shared" si="82"/>
        <v>7.5</v>
      </c>
    </row>
    <row r="132" spans="27:36">
      <c r="AA132" s="38">
        <f t="shared" si="73"/>
        <v>5</v>
      </c>
      <c r="AB132" s="37">
        <f t="shared" si="74"/>
        <v>5</v>
      </c>
      <c r="AC132" s="37">
        <f t="shared" si="75"/>
        <v>10</v>
      </c>
      <c r="AD132" s="37">
        <f t="shared" si="76"/>
        <v>10</v>
      </c>
      <c r="AE132" s="37">
        <f t="shared" si="77"/>
        <v>5</v>
      </c>
      <c r="AF132" s="37">
        <f t="shared" si="78"/>
        <v>10</v>
      </c>
      <c r="AG132" s="37">
        <f t="shared" si="79"/>
        <v>5</v>
      </c>
      <c r="AH132" s="37">
        <f t="shared" si="80"/>
        <v>7.5</v>
      </c>
      <c r="AI132" s="37">
        <f t="shared" si="81"/>
        <v>10</v>
      </c>
      <c r="AJ132" s="39">
        <f t="shared" si="82"/>
        <v>10</v>
      </c>
    </row>
    <row r="133" spans="27:36">
      <c r="AA133" s="38">
        <f t="shared" si="73"/>
        <v>5</v>
      </c>
      <c r="AB133" s="37">
        <f t="shared" si="74"/>
        <v>7.5</v>
      </c>
      <c r="AC133" s="37">
        <f t="shared" si="75"/>
        <v>2.5</v>
      </c>
      <c r="AD133" s="37">
        <f t="shared" si="76"/>
        <v>10</v>
      </c>
      <c r="AE133" s="37">
        <f t="shared" si="77"/>
        <v>5</v>
      </c>
      <c r="AF133" s="37">
        <f t="shared" si="78"/>
        <v>5</v>
      </c>
      <c r="AG133" s="37">
        <f t="shared" si="79"/>
        <v>7.5</v>
      </c>
      <c r="AH133" s="37">
        <f t="shared" si="80"/>
        <v>5</v>
      </c>
      <c r="AI133" s="37">
        <f t="shared" si="81"/>
        <v>7.5</v>
      </c>
      <c r="AJ133" s="39">
        <f t="shared" si="82"/>
        <v>5</v>
      </c>
    </row>
    <row r="134" spans="27:36">
      <c r="AA134" s="38">
        <f t="shared" si="73"/>
        <v>10</v>
      </c>
      <c r="AB134" s="37">
        <f t="shared" si="74"/>
        <v>7.5</v>
      </c>
      <c r="AC134" s="37">
        <f t="shared" si="75"/>
        <v>7.5</v>
      </c>
      <c r="AD134" s="37">
        <f t="shared" si="76"/>
        <v>10</v>
      </c>
      <c r="AE134" s="37">
        <f t="shared" si="77"/>
        <v>5</v>
      </c>
      <c r="AF134" s="37">
        <f t="shared" si="78"/>
        <v>10</v>
      </c>
      <c r="AG134" s="37">
        <f t="shared" si="79"/>
        <v>7.5</v>
      </c>
      <c r="AH134" s="37">
        <f t="shared" si="80"/>
        <v>10</v>
      </c>
      <c r="AI134" s="37">
        <f t="shared" si="81"/>
        <v>5</v>
      </c>
      <c r="AJ134" s="39">
        <f t="shared" si="82"/>
        <v>7.5</v>
      </c>
    </row>
    <row r="135" spans="27:36">
      <c r="AA135" s="74">
        <f t="shared" si="73"/>
        <v>5</v>
      </c>
      <c r="AB135" s="72">
        <f t="shared" si="74"/>
        <v>5</v>
      </c>
      <c r="AC135" s="72">
        <f t="shared" si="75"/>
        <v>10</v>
      </c>
      <c r="AD135" s="72">
        <f t="shared" si="76"/>
        <v>10</v>
      </c>
      <c r="AE135" s="72">
        <f t="shared" si="77"/>
        <v>5</v>
      </c>
      <c r="AF135" s="72">
        <f t="shared" si="78"/>
        <v>10</v>
      </c>
      <c r="AG135" s="72">
        <f t="shared" si="79"/>
        <v>5</v>
      </c>
      <c r="AH135" s="72">
        <f t="shared" si="80"/>
        <v>7.5</v>
      </c>
      <c r="AI135" s="72">
        <f t="shared" si="81"/>
        <v>10</v>
      </c>
      <c r="AJ135" s="73">
        <f t="shared" si="82"/>
        <v>10</v>
      </c>
    </row>
    <row r="136" spans="27:36"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</row>
    <row r="137" spans="27:36"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</row>
    <row r="138" spans="27:36">
      <c r="AA138" s="89" t="s">
        <v>79</v>
      </c>
      <c r="AB138" s="90" t="s">
        <v>75</v>
      </c>
      <c r="AC138" s="90" t="s">
        <v>80</v>
      </c>
      <c r="AD138" s="90" t="s">
        <v>81</v>
      </c>
      <c r="AE138" s="90" t="s">
        <v>82</v>
      </c>
      <c r="AF138" s="90" t="s">
        <v>83</v>
      </c>
      <c r="AG138" s="90" t="s">
        <v>84</v>
      </c>
      <c r="AH138" s="90" t="s">
        <v>85</v>
      </c>
      <c r="AI138" s="90" t="s">
        <v>86</v>
      </c>
      <c r="AJ138" s="91" t="s">
        <v>87</v>
      </c>
    </row>
    <row r="139" spans="27:36">
      <c r="AA139" s="92">
        <f t="shared" ref="AA139:AA152" si="83">AA30*2.5</f>
        <v>10</v>
      </c>
      <c r="AB139" s="93">
        <f t="shared" ref="AB139:AB152" si="84">(4-AB30)*2.5</f>
        <v>10</v>
      </c>
      <c r="AC139" s="93">
        <f t="shared" ref="AC139:AC152" si="85">AC30*2.5</f>
        <v>5</v>
      </c>
      <c r="AD139" s="93">
        <f t="shared" ref="AD139:AD152" si="86">(4-AD30)*2.5</f>
        <v>10</v>
      </c>
      <c r="AE139" s="93">
        <f t="shared" ref="AE139:AE152" si="87">AE30*2.5</f>
        <v>10</v>
      </c>
      <c r="AF139" s="93">
        <f t="shared" ref="AF139:AF152" si="88">(4-AF30)*2.5</f>
        <v>10</v>
      </c>
      <c r="AG139" s="93">
        <f t="shared" ref="AG139:AG152" si="89">AG30*2.5</f>
        <v>10</v>
      </c>
      <c r="AH139" s="93">
        <f t="shared" ref="AH139:AH152" si="90">(4-AH30)*2.5</f>
        <v>10</v>
      </c>
      <c r="AI139" s="93">
        <f t="shared" ref="AI139:AI152" si="91">AI30*2.5</f>
        <v>10</v>
      </c>
      <c r="AJ139" s="94">
        <f t="shared" ref="AJ139:AJ152" si="92">(4-AJ30)*2.5</f>
        <v>7.5</v>
      </c>
    </row>
    <row r="140" spans="27:36">
      <c r="AA140" s="38">
        <f t="shared" si="83"/>
        <v>5</v>
      </c>
      <c r="AB140" s="37">
        <f t="shared" si="84"/>
        <v>10</v>
      </c>
      <c r="AC140" s="37">
        <f t="shared" si="85"/>
        <v>7.5</v>
      </c>
      <c r="AD140" s="37">
        <f t="shared" si="86"/>
        <v>5</v>
      </c>
      <c r="AE140" s="37">
        <f t="shared" si="87"/>
        <v>10</v>
      </c>
      <c r="AF140" s="37">
        <f t="shared" si="88"/>
        <v>10</v>
      </c>
      <c r="AG140" s="37">
        <f t="shared" si="89"/>
        <v>10</v>
      </c>
      <c r="AH140" s="37">
        <f t="shared" si="90"/>
        <v>10</v>
      </c>
      <c r="AI140" s="37">
        <f t="shared" si="91"/>
        <v>2.5</v>
      </c>
      <c r="AJ140" s="39">
        <f t="shared" si="92"/>
        <v>7.5</v>
      </c>
    </row>
    <row r="141" spans="27:36">
      <c r="AA141" s="38">
        <f t="shared" si="83"/>
        <v>5</v>
      </c>
      <c r="AB141" s="37">
        <f t="shared" si="84"/>
        <v>10</v>
      </c>
      <c r="AC141" s="37">
        <f t="shared" si="85"/>
        <v>10</v>
      </c>
      <c r="AD141" s="37">
        <f t="shared" si="86"/>
        <v>10</v>
      </c>
      <c r="AE141" s="37">
        <f t="shared" si="87"/>
        <v>10</v>
      </c>
      <c r="AF141" s="37">
        <f t="shared" si="88"/>
        <v>10</v>
      </c>
      <c r="AG141" s="37">
        <f t="shared" si="89"/>
        <v>7.5</v>
      </c>
      <c r="AH141" s="37">
        <f t="shared" si="90"/>
        <v>7.5</v>
      </c>
      <c r="AI141" s="37">
        <f t="shared" si="91"/>
        <v>7.5</v>
      </c>
      <c r="AJ141" s="39">
        <f t="shared" si="92"/>
        <v>7.5</v>
      </c>
    </row>
    <row r="142" spans="27:36">
      <c r="AA142" s="38">
        <f t="shared" si="83"/>
        <v>10</v>
      </c>
      <c r="AB142" s="37">
        <f t="shared" si="84"/>
        <v>7.5</v>
      </c>
      <c r="AC142" s="37">
        <f t="shared" si="85"/>
        <v>10</v>
      </c>
      <c r="AD142" s="37">
        <f t="shared" si="86"/>
        <v>7.5</v>
      </c>
      <c r="AE142" s="37">
        <f t="shared" si="87"/>
        <v>10</v>
      </c>
      <c r="AF142" s="37">
        <f t="shared" si="88"/>
        <v>7.5</v>
      </c>
      <c r="AG142" s="37">
        <f t="shared" si="89"/>
        <v>10</v>
      </c>
      <c r="AH142" s="37">
        <f t="shared" si="90"/>
        <v>10</v>
      </c>
      <c r="AI142" s="37">
        <f t="shared" si="91"/>
        <v>10</v>
      </c>
      <c r="AJ142" s="39">
        <f t="shared" si="92"/>
        <v>10</v>
      </c>
    </row>
    <row r="143" spans="27:36">
      <c r="AA143" s="38">
        <f t="shared" si="83"/>
        <v>10</v>
      </c>
      <c r="AB143" s="37">
        <f t="shared" si="84"/>
        <v>5</v>
      </c>
      <c r="AC143" s="37">
        <f t="shared" si="85"/>
        <v>10</v>
      </c>
      <c r="AD143" s="37">
        <f t="shared" si="86"/>
        <v>7.5</v>
      </c>
      <c r="AE143" s="37">
        <f t="shared" si="87"/>
        <v>10</v>
      </c>
      <c r="AF143" s="37">
        <f t="shared" si="88"/>
        <v>5</v>
      </c>
      <c r="AG143" s="37">
        <f t="shared" si="89"/>
        <v>10</v>
      </c>
      <c r="AH143" s="37">
        <f t="shared" si="90"/>
        <v>10</v>
      </c>
      <c r="AI143" s="37">
        <f t="shared" si="91"/>
        <v>10</v>
      </c>
      <c r="AJ143" s="39">
        <f t="shared" si="92"/>
        <v>5</v>
      </c>
    </row>
    <row r="144" spans="27:36">
      <c r="AA144" s="38">
        <f t="shared" si="83"/>
        <v>10</v>
      </c>
      <c r="AB144" s="37">
        <f t="shared" si="84"/>
        <v>7.5</v>
      </c>
      <c r="AC144" s="37">
        <f t="shared" si="85"/>
        <v>5</v>
      </c>
      <c r="AD144" s="37">
        <f t="shared" si="86"/>
        <v>10</v>
      </c>
      <c r="AE144" s="37">
        <f t="shared" si="87"/>
        <v>5</v>
      </c>
      <c r="AF144" s="37">
        <f t="shared" si="88"/>
        <v>10</v>
      </c>
      <c r="AG144" s="37">
        <f t="shared" si="89"/>
        <v>2.5</v>
      </c>
      <c r="AH144" s="37">
        <f t="shared" si="90"/>
        <v>10</v>
      </c>
      <c r="AI144" s="37">
        <f t="shared" si="91"/>
        <v>5</v>
      </c>
      <c r="AJ144" s="39">
        <f t="shared" si="92"/>
        <v>10</v>
      </c>
    </row>
    <row r="145" spans="26:36">
      <c r="AA145" s="38">
        <f t="shared" si="83"/>
        <v>10</v>
      </c>
      <c r="AB145" s="37">
        <f t="shared" si="84"/>
        <v>10</v>
      </c>
      <c r="AC145" s="37">
        <f t="shared" si="85"/>
        <v>7.5</v>
      </c>
      <c r="AD145" s="37">
        <f t="shared" si="86"/>
        <v>10</v>
      </c>
      <c r="AE145" s="37">
        <f t="shared" si="87"/>
        <v>5</v>
      </c>
      <c r="AF145" s="37">
        <f t="shared" si="88"/>
        <v>10</v>
      </c>
      <c r="AG145" s="37">
        <f t="shared" si="89"/>
        <v>10</v>
      </c>
      <c r="AH145" s="37">
        <f t="shared" si="90"/>
        <v>10</v>
      </c>
      <c r="AI145" s="37">
        <f t="shared" si="91"/>
        <v>5</v>
      </c>
      <c r="AJ145" s="39">
        <f t="shared" si="92"/>
        <v>10</v>
      </c>
    </row>
    <row r="146" spans="26:36">
      <c r="AA146" s="38">
        <f t="shared" si="83"/>
        <v>10</v>
      </c>
      <c r="AB146" s="37">
        <f t="shared" si="84"/>
        <v>7.5</v>
      </c>
      <c r="AC146" s="37">
        <f t="shared" si="85"/>
        <v>7.5</v>
      </c>
      <c r="AD146" s="37">
        <f t="shared" si="86"/>
        <v>10</v>
      </c>
      <c r="AE146" s="37">
        <f t="shared" si="87"/>
        <v>7.5</v>
      </c>
      <c r="AF146" s="37">
        <f t="shared" si="88"/>
        <v>5</v>
      </c>
      <c r="AG146" s="37">
        <f t="shared" si="89"/>
        <v>10</v>
      </c>
      <c r="AH146" s="37">
        <f t="shared" si="90"/>
        <v>7.5</v>
      </c>
      <c r="AI146" s="37">
        <f t="shared" si="91"/>
        <v>10</v>
      </c>
      <c r="AJ146" s="39">
        <f t="shared" si="92"/>
        <v>7.5</v>
      </c>
    </row>
    <row r="147" spans="26:36">
      <c r="AA147" s="38">
        <f t="shared" si="83"/>
        <v>7.5</v>
      </c>
      <c r="AB147" s="37">
        <f t="shared" si="84"/>
        <v>7.5</v>
      </c>
      <c r="AC147" s="37">
        <f t="shared" si="85"/>
        <v>10</v>
      </c>
      <c r="AD147" s="37">
        <f t="shared" si="86"/>
        <v>5</v>
      </c>
      <c r="AE147" s="37">
        <f t="shared" si="87"/>
        <v>10</v>
      </c>
      <c r="AF147" s="37">
        <f t="shared" si="88"/>
        <v>7.5</v>
      </c>
      <c r="AG147" s="37">
        <f t="shared" si="89"/>
        <v>7.5</v>
      </c>
      <c r="AH147" s="37">
        <f t="shared" si="90"/>
        <v>7.5</v>
      </c>
      <c r="AI147" s="37">
        <f t="shared" si="91"/>
        <v>0</v>
      </c>
      <c r="AJ147" s="39">
        <f t="shared" si="92"/>
        <v>10</v>
      </c>
    </row>
    <row r="148" spans="26:36">
      <c r="AA148" s="38">
        <f t="shared" si="83"/>
        <v>2.5</v>
      </c>
      <c r="AB148" s="37">
        <f t="shared" si="84"/>
        <v>10</v>
      </c>
      <c r="AC148" s="37">
        <f t="shared" si="85"/>
        <v>10</v>
      </c>
      <c r="AD148" s="37">
        <f t="shared" si="86"/>
        <v>5</v>
      </c>
      <c r="AE148" s="37">
        <f t="shared" si="87"/>
        <v>10</v>
      </c>
      <c r="AF148" s="37">
        <f t="shared" si="88"/>
        <v>5</v>
      </c>
      <c r="AG148" s="37">
        <f t="shared" si="89"/>
        <v>10</v>
      </c>
      <c r="AH148" s="37">
        <f t="shared" si="90"/>
        <v>10</v>
      </c>
      <c r="AI148" s="37">
        <f t="shared" si="91"/>
        <v>5</v>
      </c>
      <c r="AJ148" s="39">
        <f t="shared" si="92"/>
        <v>5</v>
      </c>
    </row>
    <row r="149" spans="26:36">
      <c r="AA149" s="38">
        <f t="shared" si="83"/>
        <v>10</v>
      </c>
      <c r="AB149" s="37">
        <f t="shared" si="84"/>
        <v>2.5</v>
      </c>
      <c r="AC149" s="37">
        <f t="shared" si="85"/>
        <v>7.5</v>
      </c>
      <c r="AD149" s="37">
        <f t="shared" si="86"/>
        <v>10</v>
      </c>
      <c r="AE149" s="37">
        <f t="shared" si="87"/>
        <v>10</v>
      </c>
      <c r="AF149" s="37">
        <f t="shared" si="88"/>
        <v>7.5</v>
      </c>
      <c r="AG149" s="37">
        <f t="shared" si="89"/>
        <v>7.5</v>
      </c>
      <c r="AH149" s="37">
        <f t="shared" si="90"/>
        <v>10</v>
      </c>
      <c r="AI149" s="37">
        <f t="shared" si="91"/>
        <v>10</v>
      </c>
      <c r="AJ149" s="39">
        <f t="shared" si="92"/>
        <v>10</v>
      </c>
    </row>
    <row r="150" spans="26:36">
      <c r="AA150" s="38">
        <f t="shared" si="83"/>
        <v>10</v>
      </c>
      <c r="AB150" s="37">
        <f t="shared" si="84"/>
        <v>10</v>
      </c>
      <c r="AC150" s="37">
        <f t="shared" si="85"/>
        <v>7.5</v>
      </c>
      <c r="AD150" s="37">
        <f t="shared" si="86"/>
        <v>10</v>
      </c>
      <c r="AE150" s="37">
        <f t="shared" si="87"/>
        <v>5</v>
      </c>
      <c r="AF150" s="37">
        <f t="shared" si="88"/>
        <v>10</v>
      </c>
      <c r="AG150" s="37">
        <f t="shared" si="89"/>
        <v>10</v>
      </c>
      <c r="AH150" s="37">
        <f t="shared" si="90"/>
        <v>10</v>
      </c>
      <c r="AI150" s="37">
        <f t="shared" si="91"/>
        <v>5</v>
      </c>
      <c r="AJ150" s="39">
        <f t="shared" si="92"/>
        <v>10</v>
      </c>
    </row>
    <row r="151" spans="26:36">
      <c r="AA151" s="38">
        <f t="shared" si="83"/>
        <v>10</v>
      </c>
      <c r="AB151" s="37">
        <f t="shared" si="84"/>
        <v>7.5</v>
      </c>
      <c r="AC151" s="37">
        <f t="shared" si="85"/>
        <v>7.5</v>
      </c>
      <c r="AD151" s="37">
        <f t="shared" si="86"/>
        <v>10</v>
      </c>
      <c r="AE151" s="37">
        <f t="shared" si="87"/>
        <v>7.5</v>
      </c>
      <c r="AF151" s="37">
        <f t="shared" si="88"/>
        <v>5</v>
      </c>
      <c r="AG151" s="37">
        <f t="shared" si="89"/>
        <v>10</v>
      </c>
      <c r="AH151" s="37">
        <f t="shared" si="90"/>
        <v>7.5</v>
      </c>
      <c r="AI151" s="37">
        <f t="shared" si="91"/>
        <v>10</v>
      </c>
      <c r="AJ151" s="39">
        <f t="shared" si="92"/>
        <v>7.5</v>
      </c>
    </row>
    <row r="152" spans="26:36">
      <c r="AA152" s="74">
        <f t="shared" si="83"/>
        <v>7.5</v>
      </c>
      <c r="AB152" s="72">
        <f t="shared" si="84"/>
        <v>7.5</v>
      </c>
      <c r="AC152" s="72">
        <f t="shared" si="85"/>
        <v>10</v>
      </c>
      <c r="AD152" s="72">
        <f t="shared" si="86"/>
        <v>5</v>
      </c>
      <c r="AE152" s="72">
        <f t="shared" si="87"/>
        <v>10</v>
      </c>
      <c r="AF152" s="72">
        <f t="shared" si="88"/>
        <v>7.5</v>
      </c>
      <c r="AG152" s="72">
        <f t="shared" si="89"/>
        <v>7.5</v>
      </c>
      <c r="AH152" s="72">
        <f t="shared" si="90"/>
        <v>7.5</v>
      </c>
      <c r="AI152" s="72">
        <f t="shared" si="91"/>
        <v>0</v>
      </c>
      <c r="AJ152" s="73">
        <f t="shared" si="92"/>
        <v>10</v>
      </c>
    </row>
    <row r="155" spans="26:36">
      <c r="Z155" s="105" t="s">
        <v>142</v>
      </c>
      <c r="AA155" s="106" t="s">
        <v>143</v>
      </c>
    </row>
    <row r="156" spans="26:36">
      <c r="Z156" s="107">
        <v>5</v>
      </c>
      <c r="AA156" s="108">
        <v>3.0000000000000001E-3</v>
      </c>
    </row>
    <row r="157" spans="26:36">
      <c r="Z157" s="109">
        <v>10</v>
      </c>
      <c r="AA157" s="110">
        <v>4.0000000000000001E-3</v>
      </c>
    </row>
    <row r="158" spans="26:36">
      <c r="Z158" s="109">
        <v>15</v>
      </c>
      <c r="AA158" s="110">
        <v>6.9999999999999993E-3</v>
      </c>
    </row>
    <row r="159" spans="26:36">
      <c r="Z159" s="109">
        <v>20</v>
      </c>
      <c r="AA159" s="110">
        <v>0.01</v>
      </c>
    </row>
    <row r="160" spans="26:36">
      <c r="Z160" s="109">
        <v>25</v>
      </c>
      <c r="AA160" s="110">
        <v>1.4999999999999999E-2</v>
      </c>
    </row>
    <row r="161" spans="26:27">
      <c r="Z161" s="109">
        <v>30</v>
      </c>
      <c r="AA161" s="110">
        <v>0.02</v>
      </c>
    </row>
    <row r="162" spans="26:27">
      <c r="Z162" s="109">
        <v>35</v>
      </c>
      <c r="AA162" s="110">
        <v>0.04</v>
      </c>
    </row>
    <row r="163" spans="26:27">
      <c r="Z163" s="109">
        <v>40</v>
      </c>
      <c r="AA163" s="110">
        <v>0.06</v>
      </c>
    </row>
    <row r="164" spans="26:27">
      <c r="Z164" s="109">
        <v>45</v>
      </c>
      <c r="AA164" s="110">
        <v>0.08</v>
      </c>
    </row>
    <row r="165" spans="26:27">
      <c r="Z165" s="109">
        <v>50</v>
      </c>
      <c r="AA165" s="110">
        <v>0.13</v>
      </c>
    </row>
    <row r="166" spans="26:27">
      <c r="Z166" s="109">
        <v>55</v>
      </c>
      <c r="AA166" s="110">
        <v>0.19</v>
      </c>
    </row>
    <row r="167" spans="26:27">
      <c r="Z167" s="109">
        <v>60</v>
      </c>
      <c r="AA167" s="110">
        <v>0.28999999999999998</v>
      </c>
    </row>
    <row r="168" spans="26:27">
      <c r="Z168" s="109">
        <v>65</v>
      </c>
      <c r="AA168" s="110">
        <v>0.41</v>
      </c>
    </row>
    <row r="169" spans="26:27">
      <c r="Z169" s="109">
        <v>66</v>
      </c>
      <c r="AA169" s="110">
        <v>0.44</v>
      </c>
    </row>
    <row r="170" spans="26:27">
      <c r="Z170" s="111">
        <v>67</v>
      </c>
      <c r="AA170" s="110">
        <v>0.47</v>
      </c>
    </row>
    <row r="171" spans="26:27">
      <c r="Z171" s="109">
        <v>68</v>
      </c>
      <c r="AA171" s="110">
        <v>0.5</v>
      </c>
    </row>
    <row r="172" spans="26:27">
      <c r="Z172" s="109">
        <v>69</v>
      </c>
      <c r="AA172" s="110">
        <v>0.53</v>
      </c>
    </row>
    <row r="173" spans="26:27">
      <c r="Z173" s="109">
        <v>70</v>
      </c>
      <c r="AA173" s="110">
        <v>0.56000000000000005</v>
      </c>
    </row>
    <row r="174" spans="26:27">
      <c r="Z174" s="109">
        <v>71</v>
      </c>
      <c r="AA174" s="110">
        <v>0.6</v>
      </c>
    </row>
    <row r="175" spans="26:27">
      <c r="Z175" s="109">
        <v>72</v>
      </c>
      <c r="AA175" s="110">
        <v>0.63</v>
      </c>
    </row>
    <row r="176" spans="26:27">
      <c r="Z176" s="109">
        <v>73</v>
      </c>
      <c r="AA176" s="110">
        <v>0.67</v>
      </c>
    </row>
    <row r="177" spans="26:27">
      <c r="Z177" s="109">
        <v>74</v>
      </c>
      <c r="AA177" s="110">
        <v>0.7</v>
      </c>
    </row>
    <row r="178" spans="26:27">
      <c r="Z178" s="109">
        <v>75</v>
      </c>
      <c r="AA178" s="110">
        <v>0.73</v>
      </c>
    </row>
    <row r="179" spans="26:27">
      <c r="Z179" s="109">
        <v>76</v>
      </c>
      <c r="AA179" s="110">
        <v>0.77</v>
      </c>
    </row>
    <row r="180" spans="26:27">
      <c r="Z180" s="109">
        <v>77</v>
      </c>
      <c r="AA180" s="110">
        <v>0.8</v>
      </c>
    </row>
    <row r="181" spans="26:27">
      <c r="Z181" s="109">
        <v>78</v>
      </c>
      <c r="AA181" s="110">
        <v>0.83</v>
      </c>
    </row>
    <row r="182" spans="26:27">
      <c r="Z182" s="109">
        <v>79</v>
      </c>
      <c r="AA182" s="110">
        <v>0.86</v>
      </c>
    </row>
    <row r="183" spans="26:27">
      <c r="Z183" s="109">
        <v>80</v>
      </c>
      <c r="AA183" s="110">
        <v>0.88</v>
      </c>
    </row>
    <row r="184" spans="26:27">
      <c r="Z184" s="109">
        <v>85</v>
      </c>
      <c r="AA184" s="110">
        <v>0.97</v>
      </c>
    </row>
    <row r="185" spans="26:27">
      <c r="Z185" s="111">
        <v>90</v>
      </c>
      <c r="AA185" s="110">
        <v>0.998</v>
      </c>
    </row>
    <row r="186" spans="26:27">
      <c r="Z186" s="109">
        <v>95</v>
      </c>
      <c r="AA186" s="112">
        <v>0.99999000000000005</v>
      </c>
    </row>
    <row r="187" spans="26:27">
      <c r="Z187" s="113">
        <v>100</v>
      </c>
      <c r="AA187" s="114">
        <v>1</v>
      </c>
    </row>
  </sheetData>
  <mergeCells count="17">
    <mergeCell ref="J83:N83"/>
    <mergeCell ref="C83:G83"/>
    <mergeCell ref="Q70:U70"/>
    <mergeCell ref="Q46:U46"/>
    <mergeCell ref="Q58:U58"/>
    <mergeCell ref="C70:G70"/>
    <mergeCell ref="AA46:AJ46"/>
    <mergeCell ref="AA60:AJ60"/>
    <mergeCell ref="P82:U82"/>
    <mergeCell ref="J46:N46"/>
    <mergeCell ref="J58:N58"/>
    <mergeCell ref="J70:N70"/>
    <mergeCell ref="A2:A12"/>
    <mergeCell ref="A15:A26"/>
    <mergeCell ref="A30:A43"/>
    <mergeCell ref="C46:G46"/>
    <mergeCell ref="C58:G5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B120"/>
  <sheetViews>
    <sheetView topLeftCell="C8" zoomScale="70" zoomScaleNormal="70" workbookViewId="0">
      <selection activeCell="I54" sqref="I54"/>
    </sheetView>
  </sheetViews>
  <sheetFormatPr defaultColWidth="10.875" defaultRowHeight="15.75"/>
  <cols>
    <col min="1" max="1" width="7.5" style="1" bestFit="1" customWidth="1"/>
    <col min="2" max="2" width="14" style="4" bestFit="1" customWidth="1"/>
    <col min="3" max="7" width="12.875" style="12" bestFit="1" customWidth="1"/>
    <col min="8" max="8" width="12.875" style="12" customWidth="1"/>
    <col min="9" max="9" width="12.875" style="186" customWidth="1"/>
    <col min="10" max="11" width="15.375" style="12" bestFit="1" customWidth="1"/>
    <col min="12" max="12" width="13.375" style="12" bestFit="1" customWidth="1"/>
    <col min="13" max="18" width="12.875" style="12" customWidth="1"/>
    <col min="19" max="19" width="4.125" style="12" customWidth="1"/>
    <col min="20" max="24" width="12.875" style="13" bestFit="1" customWidth="1"/>
    <col min="25" max="35" width="12.875" style="13" customWidth="1"/>
    <col min="36" max="36" width="2.5" style="14" customWidth="1"/>
    <col min="37" max="41" width="12.875" style="12" bestFit="1" customWidth="1"/>
    <col min="42" max="42" width="3.5" style="14" customWidth="1"/>
    <col min="43" max="43" width="12.875" style="19" bestFit="1" customWidth="1"/>
    <col min="44" max="51" width="9.5" style="12" bestFit="1" customWidth="1"/>
    <col min="52" max="52" width="10.5" style="12" bestFit="1" customWidth="1"/>
    <col min="53" max="16384" width="10.875" style="1"/>
  </cols>
  <sheetData>
    <row r="1" spans="1:54" s="2" customFormat="1">
      <c r="B1" s="20" t="s">
        <v>0</v>
      </c>
      <c r="C1" s="246" t="s">
        <v>12</v>
      </c>
      <c r="D1" s="34" t="s">
        <v>13</v>
      </c>
      <c r="E1" s="34" t="s">
        <v>14</v>
      </c>
      <c r="F1" s="34" t="s">
        <v>15</v>
      </c>
      <c r="G1" s="250" t="s">
        <v>16</v>
      </c>
      <c r="H1" s="32"/>
      <c r="I1" s="257" t="s">
        <v>191</v>
      </c>
      <c r="J1" s="259" t="s">
        <v>189</v>
      </c>
      <c r="K1" s="246" t="s">
        <v>190</v>
      </c>
      <c r="L1" s="258" t="s">
        <v>193</v>
      </c>
      <c r="M1" s="34" t="s">
        <v>192</v>
      </c>
      <c r="N1" s="34" t="s">
        <v>194</v>
      </c>
      <c r="O1" s="35" t="s">
        <v>195</v>
      </c>
      <c r="P1" s="32"/>
      <c r="Q1" s="32"/>
      <c r="R1" s="32"/>
      <c r="S1" s="32"/>
      <c r="T1" s="139" t="s">
        <v>155</v>
      </c>
      <c r="U1" s="24" t="s">
        <v>156</v>
      </c>
      <c r="V1" s="24" t="s">
        <v>157</v>
      </c>
      <c r="W1" s="251" t="s">
        <v>158</v>
      </c>
      <c r="X1" s="140" t="s">
        <v>159</v>
      </c>
      <c r="Y1" s="202"/>
      <c r="Z1" s="139" t="s">
        <v>191</v>
      </c>
      <c r="AA1" s="251" t="s">
        <v>158</v>
      </c>
      <c r="AB1" s="264" t="s">
        <v>193</v>
      </c>
      <c r="AC1" s="24" t="s">
        <v>192</v>
      </c>
      <c r="AD1" s="140" t="s">
        <v>194</v>
      </c>
      <c r="AE1" s="202"/>
      <c r="AF1" s="202"/>
      <c r="AG1" s="202"/>
      <c r="AH1" s="202"/>
      <c r="AI1" s="202"/>
      <c r="AJ1" s="32"/>
      <c r="AK1" s="41" t="s">
        <v>88</v>
      </c>
      <c r="AL1" s="34" t="s">
        <v>89</v>
      </c>
      <c r="AM1" s="34" t="s">
        <v>90</v>
      </c>
      <c r="AN1" s="34" t="s">
        <v>91</v>
      </c>
      <c r="AO1" s="35" t="s">
        <v>92</v>
      </c>
      <c r="AP1" s="32"/>
      <c r="AQ1" s="225" t="s">
        <v>27</v>
      </c>
      <c r="AS1" s="41" t="s">
        <v>17</v>
      </c>
      <c r="AT1" s="34" t="s">
        <v>18</v>
      </c>
      <c r="AU1" s="34" t="s">
        <v>19</v>
      </c>
      <c r="AV1" s="34" t="s">
        <v>20</v>
      </c>
      <c r="AW1" s="34" t="s">
        <v>21</v>
      </c>
      <c r="AX1" s="34" t="s">
        <v>22</v>
      </c>
      <c r="AY1" s="34" t="s">
        <v>23</v>
      </c>
      <c r="AZ1" s="34" t="s">
        <v>24</v>
      </c>
      <c r="BA1" s="34" t="s">
        <v>25</v>
      </c>
      <c r="BB1" s="35" t="s">
        <v>26</v>
      </c>
    </row>
    <row r="2" spans="1:54">
      <c r="A2" s="405" t="s">
        <v>103</v>
      </c>
      <c r="B2" s="5" t="s">
        <v>1</v>
      </c>
      <c r="C2" s="247">
        <v>55</v>
      </c>
      <c r="D2" s="10">
        <v>28</v>
      </c>
      <c r="E2" s="10">
        <v>34</v>
      </c>
      <c r="F2" s="10">
        <v>48</v>
      </c>
      <c r="G2" s="233">
        <v>59</v>
      </c>
      <c r="H2" s="14"/>
      <c r="I2" s="255">
        <v>1</v>
      </c>
      <c r="J2" s="260">
        <v>50</v>
      </c>
      <c r="K2" s="206">
        <v>41</v>
      </c>
      <c r="L2" s="177">
        <f>(I2-0.5)/MAX(I2:I12)</f>
        <v>4.5454545454545456E-2</v>
      </c>
      <c r="M2" s="14">
        <f>_xlfn.NORM.S.INV(L2)</f>
        <v>-1.6906216295848977</v>
      </c>
      <c r="N2" s="177">
        <f>(J2-AVERAGE(J$2:J$12))/_xlfn.STDEV.S(J$2:J$12)</f>
        <v>-1.1007146501180527</v>
      </c>
      <c r="O2" s="15">
        <f>(K2-AVERAGE(K$2:K$12))/_xlfn.STDEV.S(K$2:K$12)</f>
        <v>-2.0597729171677015</v>
      </c>
      <c r="P2" s="14"/>
      <c r="Q2" s="14"/>
      <c r="R2" s="14"/>
      <c r="S2" s="14"/>
      <c r="T2" s="220">
        <v>5.4</v>
      </c>
      <c r="U2" s="13">
        <v>1.3</v>
      </c>
      <c r="V2" s="13">
        <v>8.1999999999999993</v>
      </c>
      <c r="W2" s="210">
        <v>5.6</v>
      </c>
      <c r="X2" s="28">
        <v>6.5</v>
      </c>
      <c r="Z2" s="218">
        <v>1</v>
      </c>
      <c r="AA2" s="265">
        <v>5.2</v>
      </c>
      <c r="AB2" s="218">
        <f>(Z2-0.5)/MAX(Z$2:Z$12)</f>
        <v>4.5454545454545456E-2</v>
      </c>
      <c r="AC2" s="218">
        <f>_xlfn.NORM.S.INV(AB2)</f>
        <v>-1.6906216295848977</v>
      </c>
      <c r="AD2" s="218">
        <f>(AA2-AVERAGE(AA$2:AA$12))/_xlfn.STDEV.S(AA$2:AA$12)</f>
        <v>-1.1277183617355999</v>
      </c>
      <c r="AK2" s="170">
        <v>334</v>
      </c>
      <c r="AL2" s="10">
        <v>318</v>
      </c>
      <c r="AM2" s="10">
        <v>171</v>
      </c>
      <c r="AN2" s="10">
        <v>195</v>
      </c>
      <c r="AO2" s="11">
        <v>399</v>
      </c>
      <c r="AQ2" s="218">
        <v>5</v>
      </c>
      <c r="AS2" s="170">
        <v>1</v>
      </c>
      <c r="AT2" s="10">
        <v>0</v>
      </c>
      <c r="AU2" s="10">
        <v>2</v>
      </c>
      <c r="AV2" s="10">
        <v>0</v>
      </c>
      <c r="AW2" s="10">
        <v>1</v>
      </c>
      <c r="AX2" s="10">
        <v>2</v>
      </c>
      <c r="AY2" s="10">
        <v>1</v>
      </c>
      <c r="AZ2" s="10">
        <v>0</v>
      </c>
      <c r="BA2" s="10">
        <v>1</v>
      </c>
      <c r="BB2" s="11">
        <v>0</v>
      </c>
    </row>
    <row r="3" spans="1:54">
      <c r="A3" s="406"/>
      <c r="B3" s="6" t="s">
        <v>2</v>
      </c>
      <c r="C3" s="248">
        <v>71</v>
      </c>
      <c r="D3" s="14">
        <v>12</v>
      </c>
      <c r="E3" s="14">
        <v>9</v>
      </c>
      <c r="F3" s="14">
        <v>24</v>
      </c>
      <c r="G3" s="235">
        <v>59</v>
      </c>
      <c r="H3" s="14"/>
      <c r="I3" s="255">
        <v>2</v>
      </c>
      <c r="J3" s="261">
        <v>50</v>
      </c>
      <c r="K3" s="206">
        <v>45</v>
      </c>
      <c r="L3" s="178">
        <f t="shared" ref="L3:L12" si="0">(I3-0.5)/MAX(I3:I13)</f>
        <v>0.13636363636363635</v>
      </c>
      <c r="M3" s="14">
        <f t="shared" ref="M3:M12" si="1">_xlfn.NORM.S.INV(L3)</f>
        <v>-1.096803562093513</v>
      </c>
      <c r="N3" s="178">
        <f t="shared" ref="N3:N12" si="2">(J3-AVERAGE(J$2:J$12))/_xlfn.STDEV.S(J$2:J$12)</f>
        <v>-1.1007146501180527</v>
      </c>
      <c r="O3" s="15">
        <f t="shared" ref="O3:O12" si="3">(K3-AVERAGE(K$2:K$12))/_xlfn.STDEV.S(K$2:K$12)</f>
        <v>-1.6133196740377562</v>
      </c>
      <c r="P3" s="14"/>
      <c r="Q3" s="14"/>
      <c r="R3" s="14"/>
      <c r="S3" s="14"/>
      <c r="T3" s="220">
        <v>4.9000000000000004</v>
      </c>
      <c r="U3" s="13">
        <v>9.6</v>
      </c>
      <c r="V3" s="13">
        <v>8.5</v>
      </c>
      <c r="W3" s="210">
        <v>5.8</v>
      </c>
      <c r="X3" s="28">
        <v>4.9000000000000004</v>
      </c>
      <c r="Z3" s="219">
        <v>2</v>
      </c>
      <c r="AA3" s="266">
        <v>5.3</v>
      </c>
      <c r="AB3" s="219">
        <f>(Z3-0.5)/MAX(Z$2:Z$12)</f>
        <v>0.13636363636363635</v>
      </c>
      <c r="AC3" s="219">
        <f t="shared" ref="AC3:AC12" si="4">_xlfn.NORM.S.INV(AB3)</f>
        <v>-1.096803562093513</v>
      </c>
      <c r="AD3" s="219">
        <f t="shared" ref="AD3:AD11" si="5">(AA3-AVERAGE(AA$2:AA$12))/_xlfn.STDEV.S(AA$2:AA$12)</f>
        <v>-1.0189034320944459</v>
      </c>
      <c r="AK3" s="171">
        <v>307</v>
      </c>
      <c r="AL3" s="14">
        <v>360</v>
      </c>
      <c r="AM3" s="14">
        <v>369</v>
      </c>
      <c r="AN3" s="14">
        <v>355</v>
      </c>
      <c r="AO3" s="15">
        <v>272</v>
      </c>
      <c r="AQ3" s="219">
        <v>8</v>
      </c>
      <c r="AS3" s="171">
        <v>2</v>
      </c>
      <c r="AT3" s="14">
        <v>0</v>
      </c>
      <c r="AU3" s="14">
        <v>1</v>
      </c>
      <c r="AV3" s="14">
        <v>0</v>
      </c>
      <c r="AW3" s="14">
        <v>2</v>
      </c>
      <c r="AX3" s="14">
        <v>0</v>
      </c>
      <c r="AY3" s="14">
        <v>1</v>
      </c>
      <c r="AZ3" s="14">
        <v>0</v>
      </c>
      <c r="BA3" s="14">
        <v>2</v>
      </c>
      <c r="BB3" s="15">
        <v>0</v>
      </c>
    </row>
    <row r="4" spans="1:54">
      <c r="A4" s="406"/>
      <c r="B4" s="6" t="s">
        <v>3</v>
      </c>
      <c r="C4" s="248">
        <v>73</v>
      </c>
      <c r="D4" s="14">
        <v>34</v>
      </c>
      <c r="E4" s="14">
        <v>25</v>
      </c>
      <c r="F4" s="14">
        <v>40</v>
      </c>
      <c r="G4" s="235">
        <v>64</v>
      </c>
      <c r="H4" s="14"/>
      <c r="I4" s="255">
        <v>3</v>
      </c>
      <c r="J4" s="261">
        <v>54</v>
      </c>
      <c r="K4" s="206">
        <v>58</v>
      </c>
      <c r="L4" s="178">
        <f t="shared" si="0"/>
        <v>0.22727272727272727</v>
      </c>
      <c r="M4" s="14">
        <f t="shared" si="1"/>
        <v>-0.74785859476330196</v>
      </c>
      <c r="N4" s="178">
        <f t="shared" si="2"/>
        <v>-0.58548651602024093</v>
      </c>
      <c r="O4" s="15">
        <f t="shared" si="3"/>
        <v>-0.16234663386543446</v>
      </c>
      <c r="P4" s="14"/>
      <c r="Q4" s="14"/>
      <c r="R4" s="14"/>
      <c r="S4" s="14"/>
      <c r="T4" s="220">
        <v>7.1</v>
      </c>
      <c r="U4" s="13">
        <v>9.4</v>
      </c>
      <c r="V4" s="13">
        <v>5.8</v>
      </c>
      <c r="W4" s="210">
        <v>5.6</v>
      </c>
      <c r="X4" s="28">
        <v>4.3</v>
      </c>
      <c r="Z4" s="219">
        <v>3</v>
      </c>
      <c r="AA4" s="266">
        <v>5.6</v>
      </c>
      <c r="AB4" s="219">
        <f>(Z4-0.5)/MAX(Z$2:Z$12)</f>
        <v>0.22727272727272727</v>
      </c>
      <c r="AC4" s="219">
        <f t="shared" si="4"/>
        <v>-0.74785859476330196</v>
      </c>
      <c r="AD4" s="219">
        <f t="shared" si="5"/>
        <v>-0.6924586431709826</v>
      </c>
      <c r="AK4" s="171">
        <v>473</v>
      </c>
      <c r="AL4" s="14">
        <v>287</v>
      </c>
      <c r="AM4" s="14">
        <v>116</v>
      </c>
      <c r="AN4" s="14">
        <v>238</v>
      </c>
      <c r="AO4" s="15">
        <v>432</v>
      </c>
      <c r="AQ4" s="219">
        <v>6</v>
      </c>
      <c r="AS4" s="171">
        <v>0</v>
      </c>
      <c r="AT4" s="14">
        <v>0</v>
      </c>
      <c r="AU4" s="14">
        <v>1</v>
      </c>
      <c r="AV4" s="14">
        <v>1</v>
      </c>
      <c r="AW4" s="14">
        <v>2</v>
      </c>
      <c r="AX4" s="14">
        <v>0</v>
      </c>
      <c r="AY4" s="14">
        <v>1</v>
      </c>
      <c r="AZ4" s="14">
        <v>1</v>
      </c>
      <c r="BA4" s="14">
        <v>0</v>
      </c>
      <c r="BB4" s="15">
        <v>0</v>
      </c>
    </row>
    <row r="5" spans="1:54">
      <c r="A5" s="406"/>
      <c r="B5" s="6" t="s">
        <v>4</v>
      </c>
      <c r="C5" s="248">
        <v>50</v>
      </c>
      <c r="D5" s="14">
        <v>35</v>
      </c>
      <c r="E5" s="14">
        <v>21</v>
      </c>
      <c r="F5" s="14">
        <v>43</v>
      </c>
      <c r="G5" s="235">
        <v>66</v>
      </c>
      <c r="H5" s="14"/>
      <c r="I5" s="255">
        <v>4</v>
      </c>
      <c r="J5" s="261">
        <v>55</v>
      </c>
      <c r="K5" s="206">
        <v>59</v>
      </c>
      <c r="L5" s="178">
        <f t="shared" si="0"/>
        <v>0.31818181818181818</v>
      </c>
      <c r="M5" s="14">
        <f t="shared" si="1"/>
        <v>-0.47278912099226744</v>
      </c>
      <c r="N5" s="178">
        <f t="shared" si="2"/>
        <v>-0.45667948249578794</v>
      </c>
      <c r="O5" s="15">
        <f t="shared" si="3"/>
        <v>-5.0733323082948173E-2</v>
      </c>
      <c r="P5" s="14"/>
      <c r="Q5" s="14"/>
      <c r="R5" s="14"/>
      <c r="S5" s="14"/>
      <c r="T5" s="220">
        <v>1</v>
      </c>
      <c r="U5" s="13">
        <v>7.8</v>
      </c>
      <c r="V5" s="13">
        <v>8.1999999999999993</v>
      </c>
      <c r="W5" s="210">
        <v>5.2</v>
      </c>
      <c r="X5" s="28">
        <v>6.1</v>
      </c>
      <c r="Z5" s="219">
        <v>4</v>
      </c>
      <c r="AA5" s="266">
        <v>5.6</v>
      </c>
      <c r="AB5" s="219">
        <f t="shared" ref="AB5:AB12" si="6">(Z5-0.5)/MAX(Z$2:Z$12)</f>
        <v>0.31818181818181818</v>
      </c>
      <c r="AC5" s="219">
        <f t="shared" si="4"/>
        <v>-0.47278912099226744</v>
      </c>
      <c r="AD5" s="219">
        <f t="shared" si="5"/>
        <v>-0.6924586431709826</v>
      </c>
      <c r="AK5" s="171">
        <v>371</v>
      </c>
      <c r="AL5" s="14">
        <v>317</v>
      </c>
      <c r="AM5" s="14">
        <v>232</v>
      </c>
      <c r="AN5" s="14">
        <v>189</v>
      </c>
      <c r="AO5" s="15">
        <v>379</v>
      </c>
      <c r="AQ5" s="219">
        <v>3</v>
      </c>
      <c r="AS5" s="171">
        <v>1</v>
      </c>
      <c r="AT5" s="14">
        <v>0</v>
      </c>
      <c r="AU5" s="14">
        <v>3</v>
      </c>
      <c r="AV5" s="14">
        <v>0</v>
      </c>
      <c r="AW5" s="14">
        <v>1</v>
      </c>
      <c r="AX5" s="14">
        <v>0</v>
      </c>
      <c r="AY5" s="14">
        <v>2</v>
      </c>
      <c r="AZ5" s="14">
        <v>0</v>
      </c>
      <c r="BA5" s="14">
        <v>0</v>
      </c>
      <c r="BB5" s="15">
        <v>0</v>
      </c>
    </row>
    <row r="6" spans="1:54">
      <c r="A6" s="406"/>
      <c r="B6" s="6" t="s">
        <v>5</v>
      </c>
      <c r="C6" s="248">
        <v>54</v>
      </c>
      <c r="D6" s="14">
        <v>15</v>
      </c>
      <c r="E6" s="14">
        <v>30</v>
      </c>
      <c r="F6" s="14">
        <v>40</v>
      </c>
      <c r="G6" s="235">
        <v>45</v>
      </c>
      <c r="H6" s="14"/>
      <c r="I6" s="255">
        <v>5</v>
      </c>
      <c r="J6" s="261">
        <v>55</v>
      </c>
      <c r="K6" s="206">
        <v>59</v>
      </c>
      <c r="L6" s="178">
        <f t="shared" si="0"/>
        <v>0.40909090909090912</v>
      </c>
      <c r="M6" s="14">
        <f t="shared" si="1"/>
        <v>-0.22988411757923208</v>
      </c>
      <c r="N6" s="178">
        <f t="shared" si="2"/>
        <v>-0.45667948249578794</v>
      </c>
      <c r="O6" s="15">
        <f t="shared" si="3"/>
        <v>-5.0733323082948173E-2</v>
      </c>
      <c r="P6" s="14"/>
      <c r="Q6" s="14"/>
      <c r="R6" s="14"/>
      <c r="S6" s="14"/>
      <c r="T6" s="220">
        <v>1.1000000000000001</v>
      </c>
      <c r="U6" s="13">
        <v>6.1</v>
      </c>
      <c r="V6" s="13">
        <v>8.1999999999999993</v>
      </c>
      <c r="W6" s="210">
        <v>5.7</v>
      </c>
      <c r="X6" s="28">
        <v>6.4</v>
      </c>
      <c r="Z6" s="219">
        <v>5</v>
      </c>
      <c r="AA6" s="266">
        <v>5.7</v>
      </c>
      <c r="AB6" s="219">
        <f t="shared" si="6"/>
        <v>0.40909090909090912</v>
      </c>
      <c r="AC6" s="219">
        <f t="shared" si="4"/>
        <v>-0.22988411757923208</v>
      </c>
      <c r="AD6" s="219">
        <f t="shared" si="5"/>
        <v>-0.58364371352982747</v>
      </c>
      <c r="AK6" s="171">
        <v>402</v>
      </c>
      <c r="AL6" s="14">
        <v>256</v>
      </c>
      <c r="AM6" s="14">
        <v>353</v>
      </c>
      <c r="AN6" s="14">
        <v>243</v>
      </c>
      <c r="AO6" s="15">
        <v>491</v>
      </c>
      <c r="AQ6" s="219">
        <v>5</v>
      </c>
      <c r="AS6" s="171">
        <v>0</v>
      </c>
      <c r="AT6" s="14">
        <v>0</v>
      </c>
      <c r="AU6" s="14">
        <v>0</v>
      </c>
      <c r="AV6" s="14">
        <v>0</v>
      </c>
      <c r="AW6" s="14">
        <v>1</v>
      </c>
      <c r="AX6" s="14">
        <v>0</v>
      </c>
      <c r="AY6" s="14">
        <v>1</v>
      </c>
      <c r="AZ6" s="14">
        <v>0</v>
      </c>
      <c r="BA6" s="14">
        <v>0</v>
      </c>
      <c r="BB6" s="15">
        <v>0</v>
      </c>
    </row>
    <row r="7" spans="1:54">
      <c r="A7" s="406"/>
      <c r="B7" s="6" t="s">
        <v>6</v>
      </c>
      <c r="C7" s="248">
        <v>55</v>
      </c>
      <c r="D7" s="14">
        <v>21</v>
      </c>
      <c r="E7" s="14">
        <v>25</v>
      </c>
      <c r="F7" s="14">
        <v>28</v>
      </c>
      <c r="G7" s="235">
        <v>58</v>
      </c>
      <c r="H7" s="14"/>
      <c r="I7" s="255">
        <v>6</v>
      </c>
      <c r="J7" s="261">
        <v>55</v>
      </c>
      <c r="K7" s="206">
        <v>62</v>
      </c>
      <c r="L7" s="178">
        <f t="shared" si="0"/>
        <v>0.5</v>
      </c>
      <c r="M7" s="14">
        <f t="shared" si="1"/>
        <v>0</v>
      </c>
      <c r="N7" s="178">
        <f t="shared" si="2"/>
        <v>-0.45667948249578794</v>
      </c>
      <c r="O7" s="15">
        <f t="shared" si="3"/>
        <v>0.2841066092645107</v>
      </c>
      <c r="P7" s="14"/>
      <c r="Q7" s="14"/>
      <c r="R7" s="14"/>
      <c r="S7" s="14"/>
      <c r="T7" s="220">
        <v>2.2000000000000002</v>
      </c>
      <c r="U7" s="13">
        <v>6.5</v>
      </c>
      <c r="V7" s="13">
        <v>7.8</v>
      </c>
      <c r="W7" s="210">
        <v>7.4</v>
      </c>
      <c r="X7" s="28">
        <v>7.4</v>
      </c>
      <c r="Z7" s="219">
        <v>6</v>
      </c>
      <c r="AA7" s="266">
        <v>5.8</v>
      </c>
      <c r="AB7" s="219">
        <f t="shared" si="6"/>
        <v>0.5</v>
      </c>
      <c r="AC7" s="219">
        <f t="shared" si="4"/>
        <v>0</v>
      </c>
      <c r="AD7" s="219">
        <f t="shared" si="5"/>
        <v>-0.47482878388867339</v>
      </c>
      <c r="AK7" s="171">
        <v>413</v>
      </c>
      <c r="AL7" s="14">
        <v>241</v>
      </c>
      <c r="AM7" s="14">
        <v>242</v>
      </c>
      <c r="AN7" s="14">
        <v>312</v>
      </c>
      <c r="AO7" s="15">
        <v>298</v>
      </c>
      <c r="AQ7" s="219">
        <v>6</v>
      </c>
      <c r="AS7" s="171">
        <v>2</v>
      </c>
      <c r="AT7" s="14">
        <v>0</v>
      </c>
      <c r="AU7" s="14">
        <v>2</v>
      </c>
      <c r="AV7" s="14">
        <v>2</v>
      </c>
      <c r="AW7" s="14">
        <v>0</v>
      </c>
      <c r="AX7" s="14">
        <v>0</v>
      </c>
      <c r="AY7" s="14">
        <v>2</v>
      </c>
      <c r="AZ7" s="14">
        <v>0</v>
      </c>
      <c r="BA7" s="14">
        <v>1</v>
      </c>
      <c r="BB7" s="15">
        <v>0</v>
      </c>
    </row>
    <row r="8" spans="1:54">
      <c r="A8" s="406"/>
      <c r="B8" s="6" t="s">
        <v>7</v>
      </c>
      <c r="C8" s="248">
        <v>55</v>
      </c>
      <c r="D8" s="14">
        <v>28</v>
      </c>
      <c r="E8" s="14">
        <v>40</v>
      </c>
      <c r="F8" s="14">
        <v>33</v>
      </c>
      <c r="G8" s="235">
        <v>67</v>
      </c>
      <c r="H8" s="14"/>
      <c r="I8" s="255">
        <v>7</v>
      </c>
      <c r="J8" s="261">
        <v>57</v>
      </c>
      <c r="K8" s="206">
        <v>63</v>
      </c>
      <c r="L8" s="178">
        <f t="shared" si="0"/>
        <v>0.59090909090909094</v>
      </c>
      <c r="M8" s="14">
        <f t="shared" si="1"/>
        <v>0.22988411757923222</v>
      </c>
      <c r="N8" s="178">
        <f t="shared" si="2"/>
        <v>-0.19906541544688203</v>
      </c>
      <c r="O8" s="15">
        <f t="shared" si="3"/>
        <v>0.39571992004699702</v>
      </c>
      <c r="P8" s="14"/>
      <c r="Q8" s="14"/>
      <c r="R8" s="14"/>
      <c r="S8" s="14"/>
      <c r="T8" s="220">
        <v>1.9</v>
      </c>
      <c r="U8" s="13">
        <v>4.2</v>
      </c>
      <c r="V8" s="13">
        <v>6.5</v>
      </c>
      <c r="W8" s="210">
        <v>7</v>
      </c>
      <c r="X8" s="28">
        <v>8</v>
      </c>
      <c r="Z8" s="219">
        <v>7</v>
      </c>
      <c r="AA8" s="266">
        <v>6</v>
      </c>
      <c r="AB8" s="219">
        <f t="shared" si="6"/>
        <v>0.59090909090909094</v>
      </c>
      <c r="AC8" s="219">
        <f t="shared" si="4"/>
        <v>0.22988411757923222</v>
      </c>
      <c r="AD8" s="219">
        <f t="shared" si="5"/>
        <v>-0.25719892460636418</v>
      </c>
      <c r="AK8" s="171">
        <v>224</v>
      </c>
      <c r="AL8" s="14">
        <v>222</v>
      </c>
      <c r="AM8" s="14">
        <v>370</v>
      </c>
      <c r="AN8" s="14">
        <v>205</v>
      </c>
      <c r="AO8" s="15">
        <v>358</v>
      </c>
      <c r="AQ8" s="219">
        <v>5</v>
      </c>
      <c r="AS8" s="171">
        <v>1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1</v>
      </c>
      <c r="AZ8" s="14">
        <v>0</v>
      </c>
      <c r="BA8" s="14">
        <v>0</v>
      </c>
      <c r="BB8" s="15">
        <v>0</v>
      </c>
    </row>
    <row r="9" spans="1:54">
      <c r="A9" s="406"/>
      <c r="B9" s="6" t="s">
        <v>8</v>
      </c>
      <c r="C9" s="248">
        <v>57</v>
      </c>
      <c r="D9" s="14">
        <v>34</v>
      </c>
      <c r="E9" s="14">
        <v>27</v>
      </c>
      <c r="F9" s="14">
        <v>37</v>
      </c>
      <c r="G9" s="235">
        <v>62</v>
      </c>
      <c r="H9" s="14"/>
      <c r="I9" s="255">
        <v>8</v>
      </c>
      <c r="J9" s="261">
        <v>60</v>
      </c>
      <c r="K9" s="206">
        <v>64</v>
      </c>
      <c r="L9" s="178">
        <f t="shared" si="0"/>
        <v>0.68181818181818177</v>
      </c>
      <c r="M9" s="14">
        <f t="shared" si="1"/>
        <v>0.47278912099226728</v>
      </c>
      <c r="N9" s="178">
        <f t="shared" si="2"/>
        <v>0.18735568512647688</v>
      </c>
      <c r="O9" s="15">
        <f t="shared" si="3"/>
        <v>0.50733323082948334</v>
      </c>
      <c r="P9" s="14"/>
      <c r="Q9" s="14"/>
      <c r="R9" s="14"/>
      <c r="S9" s="14"/>
      <c r="T9" s="220">
        <v>5.3</v>
      </c>
      <c r="U9" s="13">
        <v>6.8</v>
      </c>
      <c r="V9" s="13">
        <v>8.1999999999999993</v>
      </c>
      <c r="W9" s="210">
        <v>6</v>
      </c>
      <c r="X9" s="28">
        <v>4.5999999999999996</v>
      </c>
      <c r="Z9" s="219">
        <v>8</v>
      </c>
      <c r="AA9" s="266">
        <v>7</v>
      </c>
      <c r="AB9" s="219">
        <f t="shared" si="6"/>
        <v>0.68181818181818177</v>
      </c>
      <c r="AC9" s="219">
        <f t="shared" si="4"/>
        <v>0.47278912099226728</v>
      </c>
      <c r="AD9" s="219">
        <f t="shared" si="5"/>
        <v>0.83095037180518083</v>
      </c>
      <c r="AK9" s="171">
        <v>392</v>
      </c>
      <c r="AL9" s="14">
        <v>192</v>
      </c>
      <c r="AM9" s="14">
        <v>275</v>
      </c>
      <c r="AN9" s="14">
        <v>392</v>
      </c>
      <c r="AO9" s="15">
        <v>356</v>
      </c>
      <c r="AQ9" s="219">
        <v>5</v>
      </c>
      <c r="AS9" s="171">
        <v>0</v>
      </c>
      <c r="AT9" s="14">
        <v>0</v>
      </c>
      <c r="AU9" s="14">
        <v>1</v>
      </c>
      <c r="AV9" s="14">
        <v>0</v>
      </c>
      <c r="AW9" s="14">
        <v>1</v>
      </c>
      <c r="AX9" s="14">
        <v>0</v>
      </c>
      <c r="AY9" s="14">
        <v>2</v>
      </c>
      <c r="AZ9" s="14">
        <v>0</v>
      </c>
      <c r="BA9" s="14">
        <v>2</v>
      </c>
      <c r="BB9" s="15">
        <v>0</v>
      </c>
    </row>
    <row r="10" spans="1:54">
      <c r="A10" s="406"/>
      <c r="B10" s="6" t="s">
        <v>9</v>
      </c>
      <c r="C10" s="248">
        <v>50</v>
      </c>
      <c r="D10" s="14">
        <v>40</v>
      </c>
      <c r="E10" s="14">
        <v>19</v>
      </c>
      <c r="F10" s="14">
        <v>28</v>
      </c>
      <c r="G10" s="235">
        <v>70</v>
      </c>
      <c r="H10" s="14"/>
      <c r="I10" s="255">
        <v>9</v>
      </c>
      <c r="J10" s="261">
        <v>64</v>
      </c>
      <c r="K10" s="206">
        <v>66</v>
      </c>
      <c r="L10" s="178">
        <f t="shared" si="0"/>
        <v>0.77272727272727271</v>
      </c>
      <c r="M10" s="14">
        <f t="shared" si="1"/>
        <v>0.74785859476330196</v>
      </c>
      <c r="N10" s="178">
        <f t="shared" si="2"/>
        <v>0.7025838192242887</v>
      </c>
      <c r="O10" s="15">
        <f t="shared" si="3"/>
        <v>0.73055985239445587</v>
      </c>
      <c r="P10" s="14"/>
      <c r="Q10" s="14"/>
      <c r="R10" s="14"/>
      <c r="S10" s="14"/>
      <c r="T10" s="220">
        <v>0</v>
      </c>
      <c r="U10" s="13">
        <v>9</v>
      </c>
      <c r="V10" s="13">
        <v>9</v>
      </c>
      <c r="W10" s="210">
        <v>5.3</v>
      </c>
      <c r="X10" s="28">
        <v>4.5999999999999996</v>
      </c>
      <c r="Z10" s="219">
        <v>9</v>
      </c>
      <c r="AA10" s="266">
        <v>7.4</v>
      </c>
      <c r="AB10" s="219">
        <f t="shared" si="6"/>
        <v>0.77272727272727271</v>
      </c>
      <c r="AC10" s="219">
        <f t="shared" si="4"/>
        <v>0.74785859476330196</v>
      </c>
      <c r="AD10" s="219">
        <f t="shared" si="5"/>
        <v>1.2662100903697993</v>
      </c>
      <c r="AK10" s="171">
        <v>524</v>
      </c>
      <c r="AL10" s="14">
        <v>452</v>
      </c>
      <c r="AM10" s="14">
        <v>257</v>
      </c>
      <c r="AN10" s="14">
        <v>385</v>
      </c>
      <c r="AO10" s="15">
        <v>325</v>
      </c>
      <c r="AQ10" s="219">
        <v>5</v>
      </c>
      <c r="AS10" s="171">
        <v>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2</v>
      </c>
      <c r="AZ10" s="14">
        <v>0</v>
      </c>
      <c r="BA10" s="14">
        <v>2</v>
      </c>
      <c r="BB10" s="15">
        <v>0</v>
      </c>
    </row>
    <row r="11" spans="1:54">
      <c r="A11" s="406"/>
      <c r="B11" s="6" t="s">
        <v>10</v>
      </c>
      <c r="C11" s="248">
        <v>60</v>
      </c>
      <c r="D11" s="14">
        <v>18</v>
      </c>
      <c r="E11" s="14">
        <v>23</v>
      </c>
      <c r="F11" s="14">
        <v>44</v>
      </c>
      <c r="G11" s="235">
        <v>41</v>
      </c>
      <c r="H11" s="14"/>
      <c r="I11" s="255">
        <v>10</v>
      </c>
      <c r="J11" s="261">
        <v>71</v>
      </c>
      <c r="K11" s="206">
        <v>67</v>
      </c>
      <c r="L11" s="178">
        <f t="shared" si="0"/>
        <v>0.86363636363636365</v>
      </c>
      <c r="M11" s="14">
        <f t="shared" si="1"/>
        <v>1.096803562093513</v>
      </c>
      <c r="N11" s="178">
        <f t="shared" si="2"/>
        <v>1.6042330538954594</v>
      </c>
      <c r="O11" s="15">
        <f t="shared" si="3"/>
        <v>0.84217316317694224</v>
      </c>
      <c r="P11" s="14"/>
      <c r="Q11" s="14"/>
      <c r="R11" s="14"/>
      <c r="S11" s="14"/>
      <c r="T11" s="220">
        <v>4.5999999999999996</v>
      </c>
      <c r="U11" s="13">
        <v>7.6</v>
      </c>
      <c r="V11" s="13">
        <v>3.8</v>
      </c>
      <c r="W11" s="210">
        <v>7.6</v>
      </c>
      <c r="X11" s="28">
        <v>10</v>
      </c>
      <c r="Z11" s="219">
        <v>10</v>
      </c>
      <c r="AA11" s="266">
        <v>7.4</v>
      </c>
      <c r="AB11" s="219">
        <f t="shared" si="6"/>
        <v>0.86363636363636365</v>
      </c>
      <c r="AC11" s="219">
        <f t="shared" si="4"/>
        <v>1.096803562093513</v>
      </c>
      <c r="AD11" s="219">
        <f t="shared" si="5"/>
        <v>1.2662100903697993</v>
      </c>
      <c r="AK11" s="171">
        <v>396</v>
      </c>
      <c r="AL11" s="14">
        <v>218</v>
      </c>
      <c r="AM11" s="14">
        <v>253</v>
      </c>
      <c r="AN11" s="14">
        <v>291</v>
      </c>
      <c r="AO11" s="15">
        <v>324</v>
      </c>
      <c r="AQ11" s="219">
        <v>5</v>
      </c>
      <c r="AS11" s="171">
        <v>1</v>
      </c>
      <c r="AT11" s="14">
        <v>0</v>
      </c>
      <c r="AU11" s="14">
        <v>2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5">
        <v>0</v>
      </c>
    </row>
    <row r="12" spans="1:54">
      <c r="A12" s="407"/>
      <c r="B12" s="7" t="s">
        <v>11</v>
      </c>
      <c r="C12" s="249">
        <v>64</v>
      </c>
      <c r="D12" s="17">
        <v>29</v>
      </c>
      <c r="E12" s="17">
        <v>41</v>
      </c>
      <c r="F12" s="17">
        <v>37</v>
      </c>
      <c r="G12" s="236">
        <v>63</v>
      </c>
      <c r="H12" s="14"/>
      <c r="I12" s="256">
        <v>11</v>
      </c>
      <c r="J12" s="262">
        <v>73</v>
      </c>
      <c r="K12" s="263">
        <v>70</v>
      </c>
      <c r="L12" s="179">
        <f t="shared" si="0"/>
        <v>0.95454545454545459</v>
      </c>
      <c r="M12" s="17">
        <f t="shared" si="1"/>
        <v>1.6906216295848984</v>
      </c>
      <c r="N12" s="179">
        <f t="shared" si="2"/>
        <v>1.8618471209443654</v>
      </c>
      <c r="O12" s="18">
        <f t="shared" si="3"/>
        <v>1.1770130955244011</v>
      </c>
      <c r="P12" s="14"/>
      <c r="Q12" s="14"/>
      <c r="R12" s="14"/>
      <c r="S12" s="14"/>
      <c r="T12" s="212">
        <v>2.5</v>
      </c>
      <c r="U12" s="16">
        <v>4.5999999999999996</v>
      </c>
      <c r="V12" s="16">
        <v>9.6</v>
      </c>
      <c r="W12" s="244">
        <v>7.4</v>
      </c>
      <c r="X12" s="174">
        <v>7</v>
      </c>
      <c r="Z12" s="224">
        <v>11</v>
      </c>
      <c r="AA12" s="267">
        <v>7.6</v>
      </c>
      <c r="AB12" s="224">
        <f t="shared" si="6"/>
        <v>0.95454545454545459</v>
      </c>
      <c r="AC12" s="224">
        <f t="shared" si="4"/>
        <v>1.6906216295848984</v>
      </c>
      <c r="AD12" s="224">
        <f>(AA12-AVERAGE(AA$2:AA$12))/_xlfn.STDEV.S(AA$2:AA$12)</f>
        <v>1.4838399496521073</v>
      </c>
      <c r="AK12" s="172">
        <v>319</v>
      </c>
      <c r="AL12" s="17">
        <v>165</v>
      </c>
      <c r="AM12" s="17">
        <v>431</v>
      </c>
      <c r="AN12" s="17">
        <v>336</v>
      </c>
      <c r="AO12" s="18">
        <v>297</v>
      </c>
      <c r="AQ12" s="224">
        <v>3</v>
      </c>
      <c r="AS12" s="172">
        <v>3</v>
      </c>
      <c r="AT12" s="17">
        <v>0</v>
      </c>
      <c r="AU12" s="17">
        <v>1</v>
      </c>
      <c r="AV12" s="17">
        <v>1</v>
      </c>
      <c r="AW12" s="17">
        <v>1</v>
      </c>
      <c r="AX12" s="17">
        <v>0</v>
      </c>
      <c r="AY12" s="17">
        <v>0</v>
      </c>
      <c r="AZ12" s="17">
        <v>0</v>
      </c>
      <c r="BA12" s="17">
        <v>0</v>
      </c>
      <c r="BB12" s="18">
        <v>0</v>
      </c>
    </row>
    <row r="13" spans="1:54">
      <c r="BA13" s="12"/>
      <c r="BB13" s="12"/>
    </row>
    <row r="14" spans="1:54" s="2" customFormat="1">
      <c r="B14" s="20" t="s">
        <v>0</v>
      </c>
      <c r="C14" s="34" t="s">
        <v>28</v>
      </c>
      <c r="D14" s="34" t="s">
        <v>29</v>
      </c>
      <c r="E14" s="34" t="s">
        <v>30</v>
      </c>
      <c r="F14" s="34" t="s">
        <v>31</v>
      </c>
      <c r="G14" s="35" t="s">
        <v>32</v>
      </c>
      <c r="H14" s="32"/>
      <c r="I14" s="253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139" t="s">
        <v>160</v>
      </c>
      <c r="U14" s="24" t="s">
        <v>161</v>
      </c>
      <c r="V14" s="24" t="s">
        <v>162</v>
      </c>
      <c r="W14" s="24" t="s">
        <v>163</v>
      </c>
      <c r="X14" s="140" t="s">
        <v>164</v>
      </c>
      <c r="Y14" s="202"/>
      <c r="Z14" s="202"/>
      <c r="AA14" s="202"/>
      <c r="AB14" s="202"/>
      <c r="AC14" s="202"/>
      <c r="AD14" s="202"/>
      <c r="AE14" s="202"/>
      <c r="AF14" s="202"/>
      <c r="AG14" s="202"/>
      <c r="AH14" s="202"/>
      <c r="AI14" s="202"/>
      <c r="AJ14" s="32"/>
      <c r="AK14" s="41" t="s">
        <v>93</v>
      </c>
      <c r="AL14" s="34" t="s">
        <v>94</v>
      </c>
      <c r="AM14" s="34" t="s">
        <v>95</v>
      </c>
      <c r="AN14" s="34" t="s">
        <v>96</v>
      </c>
      <c r="AO14" s="35" t="s">
        <v>97</v>
      </c>
      <c r="AP14" s="32"/>
      <c r="AQ14" s="225" t="s">
        <v>33</v>
      </c>
      <c r="AS14" s="41" t="s">
        <v>78</v>
      </c>
      <c r="AT14" s="34" t="s">
        <v>34</v>
      </c>
      <c r="AU14" s="34" t="s">
        <v>35</v>
      </c>
      <c r="AV14" s="34" t="s">
        <v>36</v>
      </c>
      <c r="AW14" s="34" t="s">
        <v>37</v>
      </c>
      <c r="AX14" s="34" t="s">
        <v>38</v>
      </c>
      <c r="AY14" s="34" t="s">
        <v>39</v>
      </c>
      <c r="AZ14" s="34" t="s">
        <v>40</v>
      </c>
      <c r="BA14" s="34" t="s">
        <v>41</v>
      </c>
      <c r="BB14" s="35" t="s">
        <v>42</v>
      </c>
    </row>
    <row r="15" spans="1:54">
      <c r="A15" s="405" t="s">
        <v>104</v>
      </c>
      <c r="B15" s="5" t="s">
        <v>43</v>
      </c>
      <c r="C15" s="170">
        <v>9</v>
      </c>
      <c r="D15" s="10">
        <v>21</v>
      </c>
      <c r="E15" s="10">
        <v>38</v>
      </c>
      <c r="F15" s="10">
        <v>28</v>
      </c>
      <c r="G15" s="11">
        <v>57</v>
      </c>
      <c r="H15" s="14"/>
      <c r="I15" s="25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20">
        <v>3.3</v>
      </c>
      <c r="U15" s="13">
        <v>4.9000000000000004</v>
      </c>
      <c r="V15" s="13">
        <v>6.2</v>
      </c>
      <c r="W15" s="13">
        <v>7.8</v>
      </c>
      <c r="X15" s="28">
        <v>6.2</v>
      </c>
      <c r="AK15" s="170">
        <v>268</v>
      </c>
      <c r="AL15" s="10">
        <v>255</v>
      </c>
      <c r="AM15" s="10">
        <v>190</v>
      </c>
      <c r="AN15" s="10">
        <v>347</v>
      </c>
      <c r="AO15" s="11">
        <v>323</v>
      </c>
      <c r="AQ15" s="218">
        <v>7</v>
      </c>
      <c r="AS15" s="170">
        <v>3</v>
      </c>
      <c r="AT15" s="10">
        <v>0</v>
      </c>
      <c r="AU15" s="10">
        <v>3</v>
      </c>
      <c r="AV15" s="10">
        <v>1</v>
      </c>
      <c r="AW15" s="10">
        <v>2</v>
      </c>
      <c r="AX15" s="10">
        <v>0</v>
      </c>
      <c r="AY15" s="10">
        <v>1</v>
      </c>
      <c r="AZ15" s="10">
        <v>0</v>
      </c>
      <c r="BA15" s="10">
        <v>3</v>
      </c>
      <c r="BB15" s="11">
        <v>2</v>
      </c>
    </row>
    <row r="16" spans="1:54">
      <c r="A16" s="406"/>
      <c r="B16" s="6" t="s">
        <v>44</v>
      </c>
      <c r="C16" s="171">
        <v>20</v>
      </c>
      <c r="D16" s="14">
        <v>25</v>
      </c>
      <c r="E16" s="14">
        <v>9</v>
      </c>
      <c r="F16" s="14">
        <v>20</v>
      </c>
      <c r="G16" s="15">
        <v>50</v>
      </c>
      <c r="H16" s="14"/>
      <c r="I16" s="25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20">
        <v>4.8</v>
      </c>
      <c r="U16" s="13">
        <v>3.8</v>
      </c>
      <c r="V16" s="13">
        <v>5.9</v>
      </c>
      <c r="W16" s="13">
        <v>6.6</v>
      </c>
      <c r="X16" s="28">
        <v>7.5</v>
      </c>
      <c r="AK16" s="171">
        <v>179</v>
      </c>
      <c r="AL16" s="14">
        <v>345</v>
      </c>
      <c r="AM16" s="14">
        <v>447</v>
      </c>
      <c r="AN16" s="14">
        <v>206</v>
      </c>
      <c r="AO16" s="15">
        <v>320</v>
      </c>
      <c r="AQ16" s="219">
        <v>6</v>
      </c>
      <c r="AS16" s="171">
        <v>2</v>
      </c>
      <c r="AT16" s="14">
        <v>0</v>
      </c>
      <c r="AU16" s="14">
        <v>4</v>
      </c>
      <c r="AV16" s="14">
        <v>3</v>
      </c>
      <c r="AW16" s="14">
        <v>2</v>
      </c>
      <c r="AX16" s="14">
        <v>0</v>
      </c>
      <c r="AY16" s="14">
        <v>3</v>
      </c>
      <c r="AZ16" s="14">
        <v>0</v>
      </c>
      <c r="BA16" s="14">
        <v>3</v>
      </c>
      <c r="BB16" s="15">
        <v>0</v>
      </c>
    </row>
    <row r="17" spans="1:54">
      <c r="A17" s="406"/>
      <c r="B17" s="6" t="s">
        <v>45</v>
      </c>
      <c r="C17" s="171">
        <v>8</v>
      </c>
      <c r="D17" s="14">
        <v>6</v>
      </c>
      <c r="E17" s="14">
        <v>34</v>
      </c>
      <c r="F17" s="14">
        <v>24</v>
      </c>
      <c r="G17" s="15">
        <v>58</v>
      </c>
      <c r="H17" s="14"/>
      <c r="I17" s="25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20">
        <v>8.1999999999999993</v>
      </c>
      <c r="U17" s="13">
        <v>9.4</v>
      </c>
      <c r="V17" s="13">
        <v>11.3</v>
      </c>
      <c r="W17" s="13">
        <v>10.7</v>
      </c>
      <c r="X17" s="28">
        <v>9.8000000000000007</v>
      </c>
      <c r="AK17" s="171">
        <v>306</v>
      </c>
      <c r="AL17" s="14">
        <v>379</v>
      </c>
      <c r="AM17" s="14">
        <v>323</v>
      </c>
      <c r="AN17" s="14">
        <v>281</v>
      </c>
      <c r="AO17" s="15">
        <v>419</v>
      </c>
      <c r="AQ17" s="219">
        <v>7</v>
      </c>
      <c r="AS17" s="171">
        <v>4</v>
      </c>
      <c r="AT17" s="14">
        <v>0</v>
      </c>
      <c r="AU17" s="14">
        <v>4</v>
      </c>
      <c r="AV17" s="14">
        <v>0</v>
      </c>
      <c r="AW17" s="14">
        <v>2</v>
      </c>
      <c r="AX17" s="14">
        <v>1</v>
      </c>
      <c r="AY17" s="14">
        <v>1</v>
      </c>
      <c r="AZ17" s="14">
        <v>0</v>
      </c>
      <c r="BA17" s="14">
        <v>2</v>
      </c>
      <c r="BB17" s="15">
        <v>0</v>
      </c>
    </row>
    <row r="18" spans="1:54">
      <c r="A18" s="406"/>
      <c r="B18" s="6" t="s">
        <v>46</v>
      </c>
      <c r="C18" s="171">
        <v>44</v>
      </c>
      <c r="D18" s="14">
        <v>24</v>
      </c>
      <c r="E18" s="14">
        <v>21</v>
      </c>
      <c r="F18" s="14">
        <v>29</v>
      </c>
      <c r="G18" s="15">
        <v>49</v>
      </c>
      <c r="H18" s="14"/>
      <c r="I18" s="25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20">
        <v>8.1999999999999993</v>
      </c>
      <c r="U18" s="13">
        <v>4.4000000000000004</v>
      </c>
      <c r="V18" s="13">
        <v>6.5</v>
      </c>
      <c r="W18" s="13">
        <v>9.6</v>
      </c>
      <c r="X18" s="28">
        <v>7.3</v>
      </c>
      <c r="AK18" s="171">
        <v>327</v>
      </c>
      <c r="AL18" s="14">
        <v>426</v>
      </c>
      <c r="AM18" s="14">
        <v>203</v>
      </c>
      <c r="AN18" s="14">
        <v>283</v>
      </c>
      <c r="AO18" s="15">
        <v>480</v>
      </c>
      <c r="AQ18" s="219">
        <v>7</v>
      </c>
      <c r="AS18" s="171">
        <v>3</v>
      </c>
      <c r="AT18" s="14">
        <v>0</v>
      </c>
      <c r="AU18" s="14">
        <v>2</v>
      </c>
      <c r="AV18" s="14">
        <v>0</v>
      </c>
      <c r="AW18" s="14">
        <v>2</v>
      </c>
      <c r="AX18" s="14">
        <v>1</v>
      </c>
      <c r="AY18" s="14">
        <v>1</v>
      </c>
      <c r="AZ18" s="14">
        <v>0</v>
      </c>
      <c r="BA18" s="14">
        <v>3</v>
      </c>
      <c r="BB18" s="15">
        <v>2</v>
      </c>
    </row>
    <row r="19" spans="1:54">
      <c r="A19" s="406"/>
      <c r="B19" s="6" t="s">
        <v>47</v>
      </c>
      <c r="C19" s="171">
        <v>9</v>
      </c>
      <c r="D19" s="14">
        <v>42</v>
      </c>
      <c r="E19" s="14">
        <v>29</v>
      </c>
      <c r="F19" s="14">
        <v>27</v>
      </c>
      <c r="G19" s="15">
        <v>38</v>
      </c>
      <c r="H19" s="14"/>
      <c r="I19" s="25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20">
        <v>7.7</v>
      </c>
      <c r="U19" s="13">
        <v>10.3</v>
      </c>
      <c r="V19" s="13">
        <v>9.1999999999999993</v>
      </c>
      <c r="W19" s="13">
        <v>9.1</v>
      </c>
      <c r="X19" s="28">
        <v>4.9000000000000004</v>
      </c>
      <c r="AK19" s="171">
        <v>260</v>
      </c>
      <c r="AL19" s="14">
        <v>120</v>
      </c>
      <c r="AM19" s="14">
        <v>293</v>
      </c>
      <c r="AN19" s="14">
        <v>436</v>
      </c>
      <c r="AO19" s="15">
        <v>232</v>
      </c>
      <c r="AQ19" s="219">
        <v>8</v>
      </c>
      <c r="AS19" s="171">
        <v>3</v>
      </c>
      <c r="AT19" s="14">
        <v>1</v>
      </c>
      <c r="AU19" s="14">
        <v>1</v>
      </c>
      <c r="AV19" s="14">
        <v>2</v>
      </c>
      <c r="AW19" s="14">
        <v>2</v>
      </c>
      <c r="AX19" s="14">
        <v>2</v>
      </c>
      <c r="AY19" s="14">
        <v>3</v>
      </c>
      <c r="AZ19" s="14">
        <v>0</v>
      </c>
      <c r="BA19" s="14">
        <v>3</v>
      </c>
      <c r="BB19" s="15">
        <v>0</v>
      </c>
    </row>
    <row r="20" spans="1:54">
      <c r="A20" s="406"/>
      <c r="B20" s="6" t="s">
        <v>48</v>
      </c>
      <c r="C20" s="171">
        <v>29</v>
      </c>
      <c r="D20" s="14">
        <v>35</v>
      </c>
      <c r="E20" s="14">
        <v>26</v>
      </c>
      <c r="F20" s="14">
        <v>28</v>
      </c>
      <c r="G20" s="15">
        <v>59</v>
      </c>
      <c r="H20" s="14"/>
      <c r="I20" s="25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20">
        <v>5.2</v>
      </c>
      <c r="U20" s="13">
        <v>6</v>
      </c>
      <c r="V20" s="13">
        <v>6.6</v>
      </c>
      <c r="W20" s="13">
        <v>7.7</v>
      </c>
      <c r="X20" s="28">
        <v>5.9</v>
      </c>
      <c r="AK20" s="171">
        <v>356</v>
      </c>
      <c r="AL20" s="14">
        <v>275</v>
      </c>
      <c r="AM20" s="14">
        <v>279</v>
      </c>
      <c r="AN20" s="14">
        <v>167</v>
      </c>
      <c r="AO20" s="15">
        <v>209</v>
      </c>
      <c r="AQ20" s="219">
        <v>6</v>
      </c>
      <c r="AS20" s="171">
        <v>4</v>
      </c>
      <c r="AT20" s="14">
        <v>1</v>
      </c>
      <c r="AU20" s="14">
        <v>2</v>
      </c>
      <c r="AV20" s="14">
        <v>1</v>
      </c>
      <c r="AW20" s="14">
        <v>2</v>
      </c>
      <c r="AX20" s="14">
        <v>1</v>
      </c>
      <c r="AY20" s="14">
        <v>4</v>
      </c>
      <c r="AZ20" s="14">
        <v>1</v>
      </c>
      <c r="BA20" s="14">
        <v>2</v>
      </c>
      <c r="BB20" s="15">
        <v>2</v>
      </c>
    </row>
    <row r="21" spans="1:54">
      <c r="A21" s="406"/>
      <c r="B21" s="6" t="s">
        <v>49</v>
      </c>
      <c r="C21" s="171">
        <v>24</v>
      </c>
      <c r="D21" s="14">
        <v>46</v>
      </c>
      <c r="E21" s="14">
        <v>40</v>
      </c>
      <c r="F21" s="14">
        <v>51</v>
      </c>
      <c r="G21" s="15">
        <v>49</v>
      </c>
      <c r="H21" s="14"/>
      <c r="I21" s="25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20">
        <v>6</v>
      </c>
      <c r="U21" s="13">
        <v>7.8</v>
      </c>
      <c r="V21" s="13">
        <v>4.9000000000000004</v>
      </c>
      <c r="W21" s="13">
        <v>8.3000000000000007</v>
      </c>
      <c r="X21" s="28">
        <v>7.1</v>
      </c>
      <c r="AK21" s="171">
        <v>263</v>
      </c>
      <c r="AL21" s="14">
        <v>281</v>
      </c>
      <c r="AM21" s="14">
        <v>243</v>
      </c>
      <c r="AN21" s="14">
        <v>172</v>
      </c>
      <c r="AO21" s="15">
        <v>313</v>
      </c>
      <c r="AQ21" s="219">
        <v>6</v>
      </c>
      <c r="AS21" s="171">
        <v>3</v>
      </c>
      <c r="AT21" s="14">
        <v>2</v>
      </c>
      <c r="AU21" s="14">
        <v>1</v>
      </c>
      <c r="AV21" s="14">
        <v>1</v>
      </c>
      <c r="AW21" s="14">
        <v>2</v>
      </c>
      <c r="AX21" s="14">
        <v>2</v>
      </c>
      <c r="AY21" s="14">
        <v>4</v>
      </c>
      <c r="AZ21" s="14">
        <v>0</v>
      </c>
      <c r="BA21" s="14">
        <v>2</v>
      </c>
      <c r="BB21" s="15">
        <v>1</v>
      </c>
    </row>
    <row r="22" spans="1:54">
      <c r="A22" s="406"/>
      <c r="B22" s="6" t="s">
        <v>50</v>
      </c>
      <c r="C22" s="171">
        <v>30</v>
      </c>
      <c r="D22" s="14">
        <v>6</v>
      </c>
      <c r="E22" s="14">
        <v>11</v>
      </c>
      <c r="F22" s="14">
        <v>40</v>
      </c>
      <c r="G22" s="15">
        <v>43</v>
      </c>
      <c r="H22" s="14"/>
      <c r="I22" s="25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20">
        <v>6.9</v>
      </c>
      <c r="U22" s="13">
        <v>6.8</v>
      </c>
      <c r="V22" s="13">
        <v>3.3</v>
      </c>
      <c r="W22" s="13">
        <v>8.6</v>
      </c>
      <c r="X22" s="28">
        <v>9</v>
      </c>
      <c r="AK22" s="171">
        <v>266</v>
      </c>
      <c r="AL22" s="14">
        <v>206</v>
      </c>
      <c r="AM22" s="14">
        <v>229</v>
      </c>
      <c r="AN22" s="14">
        <v>372</v>
      </c>
      <c r="AO22" s="15">
        <v>338</v>
      </c>
      <c r="AQ22" s="219">
        <v>7</v>
      </c>
      <c r="AS22" s="171">
        <v>2</v>
      </c>
      <c r="AT22" s="14">
        <v>1</v>
      </c>
      <c r="AU22" s="14">
        <v>3</v>
      </c>
      <c r="AV22" s="14">
        <v>0</v>
      </c>
      <c r="AW22" s="14">
        <v>1</v>
      </c>
      <c r="AX22" s="14">
        <v>1</v>
      </c>
      <c r="AY22" s="14">
        <v>1</v>
      </c>
      <c r="AZ22" s="14">
        <v>1</v>
      </c>
      <c r="BA22" s="14">
        <v>4</v>
      </c>
      <c r="BB22" s="15">
        <v>1</v>
      </c>
    </row>
    <row r="23" spans="1:54">
      <c r="A23" s="406"/>
      <c r="B23" s="6" t="s">
        <v>51</v>
      </c>
      <c r="C23" s="171">
        <v>32</v>
      </c>
      <c r="D23" s="14">
        <v>22</v>
      </c>
      <c r="E23" s="14">
        <v>10</v>
      </c>
      <c r="F23" s="14">
        <v>39</v>
      </c>
      <c r="G23" s="15">
        <v>43</v>
      </c>
      <c r="H23" s="14"/>
      <c r="I23" s="25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20">
        <v>4.4000000000000004</v>
      </c>
      <c r="U23" s="13">
        <v>9.6999999999999993</v>
      </c>
      <c r="V23" s="13">
        <v>6.3</v>
      </c>
      <c r="W23" s="13">
        <v>8.1</v>
      </c>
      <c r="X23" s="28">
        <v>2.9</v>
      </c>
      <c r="AK23" s="171">
        <v>297</v>
      </c>
      <c r="AL23" s="14">
        <v>175</v>
      </c>
      <c r="AM23" s="14">
        <v>151</v>
      </c>
      <c r="AN23" s="14">
        <v>218</v>
      </c>
      <c r="AO23" s="15">
        <v>274</v>
      </c>
      <c r="AQ23" s="219">
        <v>10</v>
      </c>
      <c r="AS23" s="171">
        <v>2</v>
      </c>
      <c r="AT23" s="14">
        <v>2</v>
      </c>
      <c r="AU23" s="14">
        <v>4</v>
      </c>
      <c r="AV23" s="14">
        <v>0</v>
      </c>
      <c r="AW23" s="14">
        <v>2</v>
      </c>
      <c r="AX23" s="14">
        <v>0</v>
      </c>
      <c r="AY23" s="14">
        <v>2</v>
      </c>
      <c r="AZ23" s="14">
        <v>1</v>
      </c>
      <c r="BA23" s="14">
        <v>4</v>
      </c>
      <c r="BB23" s="15">
        <v>0</v>
      </c>
    </row>
    <row r="24" spans="1:54">
      <c r="A24" s="406"/>
      <c r="B24" s="6" t="s">
        <v>52</v>
      </c>
      <c r="C24" s="171">
        <v>30</v>
      </c>
      <c r="D24" s="14">
        <v>24</v>
      </c>
      <c r="E24" s="14">
        <v>18</v>
      </c>
      <c r="F24" s="14">
        <v>30</v>
      </c>
      <c r="G24" s="15">
        <v>47</v>
      </c>
      <c r="H24" s="14"/>
      <c r="I24" s="25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20">
        <v>8.1999999999999993</v>
      </c>
      <c r="U24" s="13">
        <v>5.6</v>
      </c>
      <c r="V24" s="13">
        <v>5.7</v>
      </c>
      <c r="W24" s="13">
        <v>6.9</v>
      </c>
      <c r="X24" s="28">
        <v>10</v>
      </c>
      <c r="AK24" s="171">
        <v>298</v>
      </c>
      <c r="AL24" s="14">
        <v>241</v>
      </c>
      <c r="AM24" s="14">
        <v>279</v>
      </c>
      <c r="AN24" s="14">
        <v>279</v>
      </c>
      <c r="AO24" s="15">
        <v>389</v>
      </c>
      <c r="AQ24" s="219">
        <v>7</v>
      </c>
      <c r="AS24" s="171">
        <v>2</v>
      </c>
      <c r="AT24" s="14">
        <v>1</v>
      </c>
      <c r="AU24" s="14">
        <v>1</v>
      </c>
      <c r="AV24" s="14">
        <v>0</v>
      </c>
      <c r="AW24" s="14">
        <v>2</v>
      </c>
      <c r="AX24" s="14">
        <v>2</v>
      </c>
      <c r="AY24" s="14">
        <v>3</v>
      </c>
      <c r="AZ24" s="14">
        <v>2</v>
      </c>
      <c r="BA24" s="14">
        <v>3</v>
      </c>
      <c r="BB24" s="15">
        <v>2</v>
      </c>
    </row>
    <row r="25" spans="1:54">
      <c r="A25" s="406"/>
      <c r="B25" s="6" t="s">
        <v>53</v>
      </c>
      <c r="C25" s="171">
        <v>20</v>
      </c>
      <c r="D25" s="14">
        <v>30</v>
      </c>
      <c r="E25" s="14">
        <v>11</v>
      </c>
      <c r="F25" s="14">
        <v>47</v>
      </c>
      <c r="G25" s="15">
        <v>50</v>
      </c>
      <c r="H25" s="14"/>
      <c r="I25" s="25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20">
        <v>7.4</v>
      </c>
      <c r="U25" s="13">
        <v>8.1999999999999993</v>
      </c>
      <c r="V25" s="13">
        <v>6</v>
      </c>
      <c r="W25" s="13">
        <v>9.4</v>
      </c>
      <c r="X25" s="28">
        <v>8.6999999999999993</v>
      </c>
      <c r="AK25" s="171">
        <v>182</v>
      </c>
      <c r="AL25" s="14">
        <v>263</v>
      </c>
      <c r="AM25" s="14">
        <v>286</v>
      </c>
      <c r="AN25" s="14">
        <v>315</v>
      </c>
      <c r="AO25" s="15">
        <v>234</v>
      </c>
      <c r="AQ25" s="219">
        <v>5</v>
      </c>
      <c r="AS25" s="171">
        <v>4</v>
      </c>
      <c r="AT25" s="14">
        <v>1</v>
      </c>
      <c r="AU25" s="14">
        <v>3</v>
      </c>
      <c r="AV25" s="14">
        <v>0</v>
      </c>
      <c r="AW25" s="14">
        <v>2</v>
      </c>
      <c r="AX25" s="14">
        <v>0</v>
      </c>
      <c r="AY25" s="14">
        <v>3</v>
      </c>
      <c r="AZ25" s="14">
        <v>0</v>
      </c>
      <c r="BA25" s="14">
        <v>2</v>
      </c>
      <c r="BB25" s="15">
        <v>1</v>
      </c>
    </row>
    <row r="26" spans="1:54">
      <c r="A26" s="407"/>
      <c r="B26" s="7" t="s">
        <v>54</v>
      </c>
      <c r="C26" s="172">
        <v>20</v>
      </c>
      <c r="D26" s="17">
        <v>30</v>
      </c>
      <c r="E26" s="17">
        <v>26</v>
      </c>
      <c r="F26" s="17">
        <v>26</v>
      </c>
      <c r="G26" s="18">
        <v>50</v>
      </c>
      <c r="H26" s="14"/>
      <c r="I26" s="25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12">
        <v>7.3</v>
      </c>
      <c r="U26" s="16">
        <v>6.7</v>
      </c>
      <c r="V26" s="16">
        <v>9.4</v>
      </c>
      <c r="W26" s="16">
        <v>8.5</v>
      </c>
      <c r="X26" s="174">
        <v>8.1</v>
      </c>
      <c r="AK26" s="172">
        <v>264</v>
      </c>
      <c r="AL26" s="17">
        <v>334</v>
      </c>
      <c r="AM26" s="17">
        <v>113</v>
      </c>
      <c r="AN26" s="17">
        <v>307</v>
      </c>
      <c r="AO26" s="18">
        <v>455</v>
      </c>
      <c r="AQ26" s="224">
        <v>10</v>
      </c>
      <c r="AS26" s="172">
        <v>2</v>
      </c>
      <c r="AT26" s="17">
        <v>2</v>
      </c>
      <c r="AU26" s="17">
        <v>4</v>
      </c>
      <c r="AV26" s="17">
        <v>0</v>
      </c>
      <c r="AW26" s="17">
        <v>2</v>
      </c>
      <c r="AX26" s="17">
        <v>0</v>
      </c>
      <c r="AY26" s="17">
        <v>2</v>
      </c>
      <c r="AZ26" s="17">
        <v>1</v>
      </c>
      <c r="BA26" s="17">
        <v>4</v>
      </c>
      <c r="BB26" s="18">
        <v>0</v>
      </c>
    </row>
    <row r="27" spans="1:54">
      <c r="BA27" s="12"/>
      <c r="BB27" s="12"/>
    </row>
    <row r="28" spans="1:54">
      <c r="BA28" s="12"/>
      <c r="BB28" s="12"/>
    </row>
    <row r="29" spans="1:54" s="2" customFormat="1">
      <c r="B29" s="20" t="s">
        <v>0</v>
      </c>
      <c r="C29" s="34" t="s">
        <v>69</v>
      </c>
      <c r="D29" s="34" t="s">
        <v>70</v>
      </c>
      <c r="E29" s="34" t="s">
        <v>71</v>
      </c>
      <c r="F29" s="34" t="s">
        <v>72</v>
      </c>
      <c r="G29" s="35" t="s">
        <v>73</v>
      </c>
      <c r="H29" s="32"/>
      <c r="I29" s="253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139" t="s">
        <v>165</v>
      </c>
      <c r="U29" s="24" t="s">
        <v>166</v>
      </c>
      <c r="V29" s="24" t="s">
        <v>167</v>
      </c>
      <c r="W29" s="24" t="s">
        <v>168</v>
      </c>
      <c r="X29" s="140" t="s">
        <v>169</v>
      </c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32"/>
      <c r="AK29" s="41" t="s">
        <v>98</v>
      </c>
      <c r="AL29" s="34" t="s">
        <v>99</v>
      </c>
      <c r="AM29" s="34" t="s">
        <v>100</v>
      </c>
      <c r="AN29" s="34" t="s">
        <v>101</v>
      </c>
      <c r="AO29" s="35" t="s">
        <v>102</v>
      </c>
      <c r="AP29" s="32"/>
      <c r="AQ29" s="225" t="s">
        <v>74</v>
      </c>
      <c r="AS29" s="41" t="s">
        <v>79</v>
      </c>
      <c r="AT29" s="34" t="s">
        <v>75</v>
      </c>
      <c r="AU29" s="34" t="s">
        <v>80</v>
      </c>
      <c r="AV29" s="34" t="s">
        <v>81</v>
      </c>
      <c r="AW29" s="34" t="s">
        <v>82</v>
      </c>
      <c r="AX29" s="34" t="s">
        <v>83</v>
      </c>
      <c r="AY29" s="34" t="s">
        <v>84</v>
      </c>
      <c r="AZ29" s="34" t="s">
        <v>85</v>
      </c>
      <c r="BA29" s="34" t="s">
        <v>86</v>
      </c>
      <c r="BB29" s="35" t="s">
        <v>87</v>
      </c>
    </row>
    <row r="30" spans="1:54">
      <c r="A30" s="405" t="s">
        <v>105</v>
      </c>
      <c r="B30" s="5" t="s">
        <v>55</v>
      </c>
      <c r="C30" s="170">
        <v>0</v>
      </c>
      <c r="D30" s="10">
        <v>15</v>
      </c>
      <c r="E30" s="10">
        <v>26</v>
      </c>
      <c r="F30" s="10">
        <v>28</v>
      </c>
      <c r="G30" s="11">
        <v>34</v>
      </c>
      <c r="H30" s="14"/>
      <c r="I30" s="25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220">
        <v>10.1</v>
      </c>
      <c r="U30" s="13">
        <v>4.2</v>
      </c>
      <c r="V30" s="13">
        <v>7.3</v>
      </c>
      <c r="W30" s="13">
        <v>4.2</v>
      </c>
      <c r="X30" s="28">
        <v>7.3</v>
      </c>
      <c r="AK30" s="170">
        <v>153</v>
      </c>
      <c r="AL30" s="10">
        <v>176</v>
      </c>
      <c r="AM30" s="10">
        <v>239</v>
      </c>
      <c r="AN30" s="10">
        <v>230</v>
      </c>
      <c r="AO30" s="11">
        <v>246</v>
      </c>
      <c r="AQ30" s="218">
        <v>9</v>
      </c>
      <c r="AS30" s="170">
        <v>4</v>
      </c>
      <c r="AT30" s="10">
        <v>0</v>
      </c>
      <c r="AU30" s="10">
        <v>2</v>
      </c>
      <c r="AV30" s="10">
        <v>0</v>
      </c>
      <c r="AW30" s="10">
        <v>4</v>
      </c>
      <c r="AX30" s="10">
        <v>0</v>
      </c>
      <c r="AY30" s="10">
        <v>4</v>
      </c>
      <c r="AZ30" s="10">
        <v>0</v>
      </c>
      <c r="BA30" s="10">
        <v>4</v>
      </c>
      <c r="BB30" s="11">
        <v>1</v>
      </c>
    </row>
    <row r="31" spans="1:54">
      <c r="A31" s="406"/>
      <c r="B31" s="6" t="s">
        <v>56</v>
      </c>
      <c r="C31" s="171">
        <v>7</v>
      </c>
      <c r="D31" s="14">
        <v>16</v>
      </c>
      <c r="E31" s="14">
        <v>20</v>
      </c>
      <c r="F31" s="14">
        <v>14</v>
      </c>
      <c r="G31" s="15">
        <v>32</v>
      </c>
      <c r="H31" s="14"/>
      <c r="I31" s="25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220">
        <v>3.5</v>
      </c>
      <c r="U31" s="13">
        <v>5.6</v>
      </c>
      <c r="V31" s="13">
        <v>7.7</v>
      </c>
      <c r="W31" s="13">
        <v>7.1</v>
      </c>
      <c r="X31" s="28">
        <v>8.1</v>
      </c>
      <c r="AK31" s="171">
        <v>212</v>
      </c>
      <c r="AL31" s="14">
        <v>221</v>
      </c>
      <c r="AM31" s="14">
        <v>223</v>
      </c>
      <c r="AN31" s="14">
        <v>181</v>
      </c>
      <c r="AO31" s="15">
        <v>261</v>
      </c>
      <c r="AQ31" s="219">
        <v>7</v>
      </c>
      <c r="AS31" s="171">
        <v>2</v>
      </c>
      <c r="AT31" s="14">
        <v>0</v>
      </c>
      <c r="AU31" s="14">
        <v>3</v>
      </c>
      <c r="AV31" s="14">
        <v>2</v>
      </c>
      <c r="AW31" s="14">
        <v>4</v>
      </c>
      <c r="AX31" s="14">
        <v>0</v>
      </c>
      <c r="AY31" s="14">
        <v>4</v>
      </c>
      <c r="AZ31" s="14">
        <v>0</v>
      </c>
      <c r="BA31" s="14">
        <v>1</v>
      </c>
      <c r="BB31" s="15">
        <v>1</v>
      </c>
    </row>
    <row r="32" spans="1:54">
      <c r="A32" s="406"/>
      <c r="B32" s="6" t="s">
        <v>57</v>
      </c>
      <c r="C32" s="171">
        <v>12</v>
      </c>
      <c r="D32" s="14">
        <v>24</v>
      </c>
      <c r="E32" s="14">
        <v>19</v>
      </c>
      <c r="F32" s="14">
        <v>21</v>
      </c>
      <c r="G32" s="15">
        <v>29</v>
      </c>
      <c r="H32" s="14"/>
      <c r="I32" s="25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220">
        <v>8.6999999999999993</v>
      </c>
      <c r="U32" s="13">
        <v>7.7</v>
      </c>
      <c r="V32" s="13">
        <v>8.3000000000000007</v>
      </c>
      <c r="W32" s="13">
        <v>7.8</v>
      </c>
      <c r="X32" s="28">
        <v>6.9</v>
      </c>
      <c r="AK32" s="171">
        <v>201</v>
      </c>
      <c r="AL32" s="14">
        <v>274</v>
      </c>
      <c r="AM32" s="14">
        <v>228</v>
      </c>
      <c r="AN32" s="14">
        <v>320</v>
      </c>
      <c r="AO32" s="15">
        <v>313</v>
      </c>
      <c r="AQ32" s="219">
        <v>8</v>
      </c>
      <c r="AS32" s="171">
        <v>2</v>
      </c>
      <c r="AT32" s="14">
        <v>0</v>
      </c>
      <c r="AU32" s="14">
        <v>4</v>
      </c>
      <c r="AV32" s="14">
        <v>0</v>
      </c>
      <c r="AW32" s="14">
        <v>4</v>
      </c>
      <c r="AX32" s="14">
        <v>0</v>
      </c>
      <c r="AY32" s="14">
        <v>3</v>
      </c>
      <c r="AZ32" s="14">
        <v>1</v>
      </c>
      <c r="BA32" s="14">
        <v>3</v>
      </c>
      <c r="BB32" s="15">
        <v>1</v>
      </c>
    </row>
    <row r="33" spans="1:54">
      <c r="A33" s="406"/>
      <c r="B33" s="6" t="s">
        <v>58</v>
      </c>
      <c r="C33" s="171">
        <v>2</v>
      </c>
      <c r="D33" s="14">
        <v>23</v>
      </c>
      <c r="E33" s="14">
        <v>28</v>
      </c>
      <c r="F33" s="14">
        <v>40</v>
      </c>
      <c r="G33" s="15">
        <v>37</v>
      </c>
      <c r="H33" s="14"/>
      <c r="I33" s="25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220">
        <v>9.1999999999999993</v>
      </c>
      <c r="U33" s="13">
        <v>6.1</v>
      </c>
      <c r="V33" s="13">
        <v>8.4</v>
      </c>
      <c r="W33" s="13">
        <v>6.4</v>
      </c>
      <c r="X33" s="28">
        <v>8.3000000000000007</v>
      </c>
      <c r="AK33" s="171">
        <v>61</v>
      </c>
      <c r="AL33" s="14">
        <v>138</v>
      </c>
      <c r="AM33" s="14">
        <v>218</v>
      </c>
      <c r="AN33" s="14">
        <v>331</v>
      </c>
      <c r="AO33" s="15">
        <v>234</v>
      </c>
      <c r="AQ33" s="219">
        <v>9</v>
      </c>
      <c r="AS33" s="171">
        <v>4</v>
      </c>
      <c r="AT33" s="14">
        <v>1</v>
      </c>
      <c r="AU33" s="14">
        <v>4</v>
      </c>
      <c r="AV33" s="14">
        <v>1</v>
      </c>
      <c r="AW33" s="14">
        <v>4</v>
      </c>
      <c r="AX33" s="14">
        <v>1</v>
      </c>
      <c r="AY33" s="14">
        <v>4</v>
      </c>
      <c r="AZ33" s="14">
        <v>0</v>
      </c>
      <c r="BA33" s="14">
        <v>4</v>
      </c>
      <c r="BB33" s="15">
        <v>0</v>
      </c>
    </row>
    <row r="34" spans="1:54">
      <c r="A34" s="406"/>
      <c r="B34" s="6" t="s">
        <v>59</v>
      </c>
      <c r="C34" s="171">
        <v>18</v>
      </c>
      <c r="D34" s="14">
        <v>4</v>
      </c>
      <c r="E34" s="14">
        <v>31</v>
      </c>
      <c r="F34" s="14">
        <v>37</v>
      </c>
      <c r="G34" s="15">
        <v>20</v>
      </c>
      <c r="H34" s="14"/>
      <c r="I34" s="25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220">
        <v>6.5</v>
      </c>
      <c r="U34" s="13">
        <v>7.3</v>
      </c>
      <c r="V34" s="13">
        <v>9.1</v>
      </c>
      <c r="W34" s="13">
        <v>6.7</v>
      </c>
      <c r="X34" s="28">
        <v>7.2</v>
      </c>
      <c r="AK34" s="171">
        <v>238</v>
      </c>
      <c r="AL34" s="14">
        <v>31</v>
      </c>
      <c r="AM34" s="14">
        <v>338</v>
      </c>
      <c r="AN34" s="14">
        <v>194</v>
      </c>
      <c r="AO34" s="15">
        <v>238</v>
      </c>
      <c r="AQ34" s="219">
        <v>8</v>
      </c>
      <c r="AS34" s="171">
        <v>4</v>
      </c>
      <c r="AT34" s="14">
        <v>2</v>
      </c>
      <c r="AU34" s="14">
        <v>4</v>
      </c>
      <c r="AV34" s="14">
        <v>1</v>
      </c>
      <c r="AW34" s="14">
        <v>4</v>
      </c>
      <c r="AX34" s="14">
        <v>2</v>
      </c>
      <c r="AY34" s="14">
        <v>4</v>
      </c>
      <c r="AZ34" s="14">
        <v>0</v>
      </c>
      <c r="BA34" s="14">
        <v>4</v>
      </c>
      <c r="BB34" s="15">
        <v>2</v>
      </c>
    </row>
    <row r="35" spans="1:54">
      <c r="A35" s="406"/>
      <c r="B35" s="6" t="s">
        <v>60</v>
      </c>
      <c r="C35" s="171">
        <v>14</v>
      </c>
      <c r="D35" s="14">
        <v>20</v>
      </c>
      <c r="E35" s="14">
        <v>22</v>
      </c>
      <c r="F35" s="14">
        <v>56</v>
      </c>
      <c r="G35" s="15">
        <v>52</v>
      </c>
      <c r="H35" s="14"/>
      <c r="I35" s="25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20">
        <v>6.4</v>
      </c>
      <c r="U35" s="13">
        <v>8</v>
      </c>
      <c r="V35" s="13">
        <v>8.1999999999999993</v>
      </c>
      <c r="W35" s="13">
        <v>8.1</v>
      </c>
      <c r="X35" s="28">
        <v>6.4</v>
      </c>
      <c r="AK35" s="171">
        <v>193</v>
      </c>
      <c r="AL35" s="14">
        <v>375</v>
      </c>
      <c r="AM35" s="14">
        <v>216</v>
      </c>
      <c r="AN35" s="14">
        <v>236</v>
      </c>
      <c r="AO35" s="15">
        <v>205</v>
      </c>
      <c r="AQ35" s="219">
        <v>7</v>
      </c>
      <c r="AS35" s="171">
        <v>4</v>
      </c>
      <c r="AT35" s="14">
        <v>1</v>
      </c>
      <c r="AU35" s="14">
        <v>2</v>
      </c>
      <c r="AV35" s="14">
        <v>0</v>
      </c>
      <c r="AW35" s="14">
        <v>2</v>
      </c>
      <c r="AX35" s="14">
        <v>0</v>
      </c>
      <c r="AY35" s="14">
        <v>1</v>
      </c>
      <c r="AZ35" s="14">
        <v>0</v>
      </c>
      <c r="BA35" s="14">
        <v>2</v>
      </c>
      <c r="BB35" s="15">
        <v>0</v>
      </c>
    </row>
    <row r="36" spans="1:54">
      <c r="A36" s="406"/>
      <c r="B36" s="6" t="s">
        <v>61</v>
      </c>
      <c r="C36" s="171">
        <v>22</v>
      </c>
      <c r="D36" s="14">
        <v>31</v>
      </c>
      <c r="E36" s="14">
        <v>26</v>
      </c>
      <c r="F36" s="14">
        <v>27</v>
      </c>
      <c r="G36" s="15">
        <v>40</v>
      </c>
      <c r="H36" s="14"/>
      <c r="I36" s="25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20">
        <v>4</v>
      </c>
      <c r="U36" s="13">
        <v>3.2</v>
      </c>
      <c r="V36" s="13">
        <v>4.7</v>
      </c>
      <c r="W36" s="13">
        <v>5.8</v>
      </c>
      <c r="X36" s="28">
        <v>6.5</v>
      </c>
      <c r="AK36" s="171">
        <v>66</v>
      </c>
      <c r="AL36" s="14">
        <v>326</v>
      </c>
      <c r="AM36" s="14">
        <v>217</v>
      </c>
      <c r="AN36" s="14">
        <v>316</v>
      </c>
      <c r="AO36" s="15">
        <v>364</v>
      </c>
      <c r="AQ36" s="219">
        <v>9</v>
      </c>
      <c r="AS36" s="171">
        <v>4</v>
      </c>
      <c r="AT36" s="14">
        <v>0</v>
      </c>
      <c r="AU36" s="14">
        <v>3</v>
      </c>
      <c r="AV36" s="14">
        <v>0</v>
      </c>
      <c r="AW36" s="14">
        <v>2</v>
      </c>
      <c r="AX36" s="14">
        <v>0</v>
      </c>
      <c r="AY36" s="14">
        <v>4</v>
      </c>
      <c r="AZ36" s="14">
        <v>0</v>
      </c>
      <c r="BA36" s="14">
        <v>2</v>
      </c>
      <c r="BB36" s="15">
        <v>0</v>
      </c>
    </row>
    <row r="37" spans="1:54">
      <c r="A37" s="406"/>
      <c r="B37" s="6" t="s">
        <v>62</v>
      </c>
      <c r="C37" s="171">
        <v>17</v>
      </c>
      <c r="D37" s="14">
        <v>11</v>
      </c>
      <c r="E37" s="14">
        <v>16</v>
      </c>
      <c r="F37" s="14">
        <v>19</v>
      </c>
      <c r="G37" s="15">
        <v>23</v>
      </c>
      <c r="H37" s="14"/>
      <c r="I37" s="25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20">
        <v>8.8000000000000007</v>
      </c>
      <c r="U37" s="13">
        <v>5.7</v>
      </c>
      <c r="V37" s="13">
        <v>8.1999999999999993</v>
      </c>
      <c r="W37" s="13">
        <v>6.7</v>
      </c>
      <c r="X37" s="28">
        <v>7.4</v>
      </c>
      <c r="AK37" s="171">
        <v>167</v>
      </c>
      <c r="AL37" s="14">
        <v>150</v>
      </c>
      <c r="AM37" s="14">
        <v>204</v>
      </c>
      <c r="AN37" s="14">
        <v>283</v>
      </c>
      <c r="AO37" s="15">
        <v>378</v>
      </c>
      <c r="AQ37" s="219">
        <v>8</v>
      </c>
      <c r="AS37" s="171">
        <v>4</v>
      </c>
      <c r="AT37" s="14">
        <v>1</v>
      </c>
      <c r="AU37" s="14">
        <v>3</v>
      </c>
      <c r="AV37" s="14">
        <v>0</v>
      </c>
      <c r="AW37" s="14">
        <v>3</v>
      </c>
      <c r="AX37" s="14">
        <v>2</v>
      </c>
      <c r="AY37" s="14">
        <v>4</v>
      </c>
      <c r="AZ37" s="14">
        <v>1</v>
      </c>
      <c r="BA37" s="14">
        <v>4</v>
      </c>
      <c r="BB37" s="15">
        <v>1</v>
      </c>
    </row>
    <row r="38" spans="1:54">
      <c r="A38" s="406"/>
      <c r="B38" s="6" t="s">
        <v>63</v>
      </c>
      <c r="C38" s="171">
        <v>0</v>
      </c>
      <c r="D38" s="14">
        <v>16</v>
      </c>
      <c r="E38" s="14">
        <v>30</v>
      </c>
      <c r="F38" s="14">
        <v>27</v>
      </c>
      <c r="G38" s="15">
        <v>39</v>
      </c>
      <c r="H38" s="14"/>
      <c r="I38" s="25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20">
        <v>6.5</v>
      </c>
      <c r="U38" s="13">
        <v>2.2000000000000002</v>
      </c>
      <c r="V38" s="13">
        <v>11.7</v>
      </c>
      <c r="W38" s="13">
        <v>7.8</v>
      </c>
      <c r="X38" s="28">
        <v>6.6</v>
      </c>
      <c r="AK38" s="171">
        <v>289</v>
      </c>
      <c r="AL38" s="14">
        <v>367</v>
      </c>
      <c r="AM38" s="14">
        <v>405</v>
      </c>
      <c r="AN38" s="14">
        <v>189</v>
      </c>
      <c r="AO38" s="15">
        <v>133</v>
      </c>
      <c r="AQ38" s="219">
        <v>9</v>
      </c>
      <c r="AS38" s="171">
        <v>3</v>
      </c>
      <c r="AT38" s="14">
        <v>1</v>
      </c>
      <c r="AU38" s="14">
        <v>4</v>
      </c>
      <c r="AV38" s="14">
        <v>2</v>
      </c>
      <c r="AW38" s="14">
        <v>4</v>
      </c>
      <c r="AX38" s="14">
        <v>1</v>
      </c>
      <c r="AY38" s="14">
        <v>3</v>
      </c>
      <c r="AZ38" s="14">
        <v>1</v>
      </c>
      <c r="BA38" s="14">
        <v>0</v>
      </c>
      <c r="BB38" s="15">
        <v>0</v>
      </c>
    </row>
    <row r="39" spans="1:54">
      <c r="A39" s="406"/>
      <c r="B39" s="6" t="s">
        <v>64</v>
      </c>
      <c r="C39" s="171">
        <v>11</v>
      </c>
      <c r="D39" s="14">
        <v>27</v>
      </c>
      <c r="E39" s="14">
        <v>7</v>
      </c>
      <c r="F39" s="14">
        <v>45</v>
      </c>
      <c r="G39" s="15">
        <v>20</v>
      </c>
      <c r="H39" s="14"/>
      <c r="I39" s="25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20">
        <v>6.5</v>
      </c>
      <c r="U39" s="13">
        <v>8.1999999999999993</v>
      </c>
      <c r="V39" s="13">
        <v>6.9</v>
      </c>
      <c r="W39" s="13">
        <v>5.4</v>
      </c>
      <c r="X39" s="28">
        <v>8.1</v>
      </c>
      <c r="AK39" s="171">
        <v>297</v>
      </c>
      <c r="AL39" s="14">
        <v>253</v>
      </c>
      <c r="AM39" s="14">
        <v>199</v>
      </c>
      <c r="AN39" s="14">
        <v>405</v>
      </c>
      <c r="AO39" s="15">
        <v>302</v>
      </c>
      <c r="AQ39" s="219">
        <v>7</v>
      </c>
      <c r="AS39" s="171">
        <v>1</v>
      </c>
      <c r="AT39" s="14">
        <v>0</v>
      </c>
      <c r="AU39" s="14">
        <v>4</v>
      </c>
      <c r="AV39" s="14">
        <v>2</v>
      </c>
      <c r="AW39" s="14">
        <v>4</v>
      </c>
      <c r="AX39" s="14">
        <v>2</v>
      </c>
      <c r="AY39" s="14">
        <v>4</v>
      </c>
      <c r="AZ39" s="14">
        <v>0</v>
      </c>
      <c r="BA39" s="14">
        <v>2</v>
      </c>
      <c r="BB39" s="15">
        <v>2</v>
      </c>
    </row>
    <row r="40" spans="1:54">
      <c r="A40" s="406"/>
      <c r="B40" s="6" t="s">
        <v>65</v>
      </c>
      <c r="C40" s="171">
        <v>6</v>
      </c>
      <c r="D40" s="14">
        <v>25</v>
      </c>
      <c r="E40" s="14">
        <v>6</v>
      </c>
      <c r="F40" s="14">
        <v>15</v>
      </c>
      <c r="G40" s="15">
        <v>15</v>
      </c>
      <c r="H40" s="14"/>
      <c r="I40" s="25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220">
        <v>7.9</v>
      </c>
      <c r="U40" s="13">
        <v>6.8</v>
      </c>
      <c r="V40" s="13">
        <v>8.6</v>
      </c>
      <c r="W40" s="13">
        <v>6.3</v>
      </c>
      <c r="X40" s="28">
        <v>9</v>
      </c>
      <c r="AK40" s="171">
        <v>385</v>
      </c>
      <c r="AL40" s="14">
        <v>288</v>
      </c>
      <c r="AM40" s="14">
        <v>215</v>
      </c>
      <c r="AN40" s="14">
        <v>229</v>
      </c>
      <c r="AO40" s="15">
        <v>260</v>
      </c>
      <c r="AQ40" s="219">
        <v>9</v>
      </c>
      <c r="AS40" s="171">
        <v>4</v>
      </c>
      <c r="AT40" s="14">
        <v>3</v>
      </c>
      <c r="AU40" s="14">
        <v>3</v>
      </c>
      <c r="AV40" s="14">
        <v>0</v>
      </c>
      <c r="AW40" s="14">
        <v>4</v>
      </c>
      <c r="AX40" s="14">
        <v>1</v>
      </c>
      <c r="AY40" s="14">
        <v>3</v>
      </c>
      <c r="AZ40" s="14">
        <v>0</v>
      </c>
      <c r="BA40" s="14">
        <v>4</v>
      </c>
      <c r="BB40" s="15">
        <v>0</v>
      </c>
    </row>
    <row r="41" spans="1:54">
      <c r="A41" s="406"/>
      <c r="B41" s="6" t="s">
        <v>66</v>
      </c>
      <c r="C41" s="171">
        <v>1</v>
      </c>
      <c r="D41" s="14">
        <v>15</v>
      </c>
      <c r="E41" s="14">
        <v>24</v>
      </c>
      <c r="F41" s="14">
        <v>24</v>
      </c>
      <c r="G41" s="15">
        <v>27</v>
      </c>
      <c r="H41" s="14"/>
      <c r="I41" s="25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20">
        <v>6.3</v>
      </c>
      <c r="U41" s="13">
        <v>4.7</v>
      </c>
      <c r="V41" s="13">
        <v>8.6999999999999993</v>
      </c>
      <c r="W41" s="13">
        <v>7.9</v>
      </c>
      <c r="X41" s="28">
        <v>5.9</v>
      </c>
      <c r="AK41" s="171">
        <v>462</v>
      </c>
      <c r="AL41" s="14">
        <v>273</v>
      </c>
      <c r="AM41" s="14">
        <v>237</v>
      </c>
      <c r="AN41" s="14">
        <v>230</v>
      </c>
      <c r="AO41" s="15">
        <v>341</v>
      </c>
      <c r="AQ41" s="219">
        <v>9</v>
      </c>
      <c r="AS41" s="171">
        <v>4</v>
      </c>
      <c r="AT41" s="14">
        <v>0</v>
      </c>
      <c r="AU41" s="14">
        <v>3</v>
      </c>
      <c r="AV41" s="14">
        <v>0</v>
      </c>
      <c r="AW41" s="14">
        <v>2</v>
      </c>
      <c r="AX41" s="14">
        <v>0</v>
      </c>
      <c r="AY41" s="14">
        <v>4</v>
      </c>
      <c r="AZ41" s="14">
        <v>0</v>
      </c>
      <c r="BA41" s="14">
        <v>2</v>
      </c>
      <c r="BB41" s="15">
        <v>0</v>
      </c>
    </row>
    <row r="42" spans="1:54">
      <c r="A42" s="406"/>
      <c r="B42" s="6" t="s">
        <v>67</v>
      </c>
      <c r="C42" s="171">
        <v>5</v>
      </c>
      <c r="D42" s="14">
        <v>11</v>
      </c>
      <c r="E42" s="14">
        <v>5</v>
      </c>
      <c r="F42" s="14">
        <v>41</v>
      </c>
      <c r="G42" s="15">
        <v>51</v>
      </c>
      <c r="H42" s="14"/>
      <c r="I42" s="25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220">
        <v>7.4</v>
      </c>
      <c r="U42" s="13">
        <v>4.8</v>
      </c>
      <c r="V42" s="13">
        <v>5.2</v>
      </c>
      <c r="W42" s="13">
        <v>7.2</v>
      </c>
      <c r="X42" s="28">
        <v>7.5</v>
      </c>
      <c r="AK42" s="171">
        <v>266</v>
      </c>
      <c r="AL42" s="14">
        <v>242</v>
      </c>
      <c r="AM42" s="14">
        <v>237</v>
      </c>
      <c r="AN42" s="14">
        <v>253</v>
      </c>
      <c r="AO42" s="15">
        <v>328</v>
      </c>
      <c r="AQ42" s="219">
        <v>10</v>
      </c>
      <c r="AS42" s="171">
        <v>4</v>
      </c>
      <c r="AT42" s="14">
        <v>1</v>
      </c>
      <c r="AU42" s="14">
        <v>3</v>
      </c>
      <c r="AV42" s="14">
        <v>0</v>
      </c>
      <c r="AW42" s="14">
        <v>3</v>
      </c>
      <c r="AX42" s="14">
        <v>2</v>
      </c>
      <c r="AY42" s="14">
        <v>4</v>
      </c>
      <c r="AZ42" s="14">
        <v>1</v>
      </c>
      <c r="BA42" s="14">
        <v>4</v>
      </c>
      <c r="BB42" s="15">
        <v>1</v>
      </c>
    </row>
    <row r="43" spans="1:54">
      <c r="A43" s="407"/>
      <c r="B43" s="7" t="s">
        <v>68</v>
      </c>
      <c r="C43" s="172">
        <v>9</v>
      </c>
      <c r="D43" s="17">
        <v>16</v>
      </c>
      <c r="E43" s="17">
        <v>14</v>
      </c>
      <c r="F43" s="17">
        <v>31</v>
      </c>
      <c r="G43" s="18">
        <v>29</v>
      </c>
      <c r="H43" s="14"/>
      <c r="I43" s="25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212">
        <v>7.2</v>
      </c>
      <c r="U43" s="16">
        <v>6.9</v>
      </c>
      <c r="V43" s="16">
        <v>7.6</v>
      </c>
      <c r="W43" s="16">
        <v>6.4</v>
      </c>
      <c r="X43" s="174">
        <v>10</v>
      </c>
      <c r="AK43" s="172">
        <v>15</v>
      </c>
      <c r="AL43" s="17">
        <v>323</v>
      </c>
      <c r="AM43" s="17">
        <v>237</v>
      </c>
      <c r="AN43" s="17">
        <v>220</v>
      </c>
      <c r="AO43" s="18">
        <v>258</v>
      </c>
      <c r="AQ43" s="224">
        <v>10</v>
      </c>
      <c r="AS43" s="172">
        <v>3</v>
      </c>
      <c r="AT43" s="17">
        <v>1</v>
      </c>
      <c r="AU43" s="17">
        <v>4</v>
      </c>
      <c r="AV43" s="17">
        <v>2</v>
      </c>
      <c r="AW43" s="17">
        <v>4</v>
      </c>
      <c r="AX43" s="17">
        <v>1</v>
      </c>
      <c r="AY43" s="17">
        <v>3</v>
      </c>
      <c r="AZ43" s="17">
        <v>1</v>
      </c>
      <c r="BA43" s="17">
        <v>0</v>
      </c>
      <c r="BB43" s="18">
        <v>0</v>
      </c>
    </row>
    <row r="48" spans="1:54">
      <c r="A48" s="449" t="s">
        <v>103</v>
      </c>
      <c r="B48" s="221" t="s">
        <v>76</v>
      </c>
      <c r="C48" s="170">
        <f>AVERAGE(C2:C12)</f>
        <v>58.545454545454547</v>
      </c>
      <c r="D48" s="10">
        <f>AVERAGE(D2:D12)</f>
        <v>26.727272727272727</v>
      </c>
      <c r="E48" s="10">
        <f>AVERAGE(E2:E12)</f>
        <v>26.727272727272727</v>
      </c>
      <c r="F48" s="10">
        <f>AVERAGE(F2:F12)</f>
        <v>36.545454545454547</v>
      </c>
      <c r="G48" s="11">
        <f>AVERAGE(G2:G12)</f>
        <v>59.454545454545453</v>
      </c>
      <c r="H48" s="14"/>
      <c r="I48" s="25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209">
        <f>AVERAGE(T2:T12)</f>
        <v>3.2727272727272729</v>
      </c>
      <c r="U48" s="9">
        <f>AVERAGE(U2:U12)</f>
        <v>6.6272727272727261</v>
      </c>
      <c r="V48" s="9">
        <f>AVERAGE(V2:V12)</f>
        <v>7.6181818181818164</v>
      </c>
      <c r="W48" s="9">
        <f>AVERAGE(W2:W12)</f>
        <v>6.2363636363636354</v>
      </c>
      <c r="X48" s="173">
        <f>AVERAGE(X2:X12)</f>
        <v>6.3454545454545448</v>
      </c>
      <c r="AK48" s="170">
        <f>AVERAGE(AK2:AK12)</f>
        <v>377.72727272727275</v>
      </c>
      <c r="AL48" s="10">
        <f>AVERAGE(AL2:AL12)</f>
        <v>275.27272727272725</v>
      </c>
      <c r="AM48" s="10">
        <f>AVERAGE(AM2:AM12)</f>
        <v>279</v>
      </c>
      <c r="AN48" s="10">
        <f>AVERAGE(AN2:AN12)</f>
        <v>285.54545454545456</v>
      </c>
      <c r="AO48" s="11">
        <f>AVERAGE(AO2:AO12)</f>
        <v>357.36363636363637</v>
      </c>
      <c r="AQ48" s="13"/>
    </row>
    <row r="49" spans="1:43" s="1" customFormat="1">
      <c r="A49" s="450"/>
      <c r="B49" s="222" t="s">
        <v>174</v>
      </c>
      <c r="C49" s="171">
        <f>MEDIAN(C2:C12)</f>
        <v>55</v>
      </c>
      <c r="D49" s="14">
        <f>MEDIAN(D2:D12)</f>
        <v>28</v>
      </c>
      <c r="E49" s="14">
        <f>MEDIAN(E2:E12)</f>
        <v>25</v>
      </c>
      <c r="F49" s="14">
        <f>MEDIAN(F2:F12)</f>
        <v>37</v>
      </c>
      <c r="G49" s="15">
        <f>MEDIAN(G2:G12)</f>
        <v>62</v>
      </c>
      <c r="H49" s="14"/>
      <c r="I49" s="25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220">
        <f>MEDIAN(T2:T12)</f>
        <v>2.5</v>
      </c>
      <c r="U49" s="13">
        <f>MEDIAN(U2:U12)</f>
        <v>6.8</v>
      </c>
      <c r="V49" s="13">
        <f>MEDIAN(V2:V12)</f>
        <v>8.1999999999999993</v>
      </c>
      <c r="W49" s="13">
        <f>MEDIAN(W2:W12)</f>
        <v>5.8</v>
      </c>
      <c r="X49" s="28">
        <f>MEDIAN(X2:X12)</f>
        <v>6.4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171">
        <f>MEDIAN(AK2:AK12)</f>
        <v>392</v>
      </c>
      <c r="AL49" s="14">
        <f>MEDIAN(AL2:AL12)</f>
        <v>256</v>
      </c>
      <c r="AM49" s="14">
        <f>MEDIAN(AM2:AM12)</f>
        <v>257</v>
      </c>
      <c r="AN49" s="14">
        <f>MEDIAN(AN2:AN12)</f>
        <v>291</v>
      </c>
      <c r="AO49" s="15">
        <f>MEDIAN(AO2:AO12)</f>
        <v>356</v>
      </c>
      <c r="AP49" s="14"/>
      <c r="AQ49" s="13"/>
    </row>
    <row r="50" spans="1:43" s="1" customFormat="1">
      <c r="A50" s="450"/>
      <c r="B50" s="222" t="s">
        <v>173</v>
      </c>
      <c r="C50" s="171">
        <f>_xlfn.MODE.SNGL(C2:C12)</f>
        <v>55</v>
      </c>
      <c r="D50" s="14">
        <f>_xlfn.MODE.SNGL(D2:D12)</f>
        <v>28</v>
      </c>
      <c r="E50" s="14">
        <f>_xlfn.MODE.SNGL(E2:E12)</f>
        <v>25</v>
      </c>
      <c r="F50" s="14">
        <f>_xlfn.MODE.SNGL(F2:F12)</f>
        <v>40</v>
      </c>
      <c r="G50" s="15">
        <f>_xlfn.MODE.SNGL(G2:G12)</f>
        <v>59</v>
      </c>
      <c r="H50" s="14"/>
      <c r="I50" s="25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220" t="e">
        <f>_xlfn.MODE.SNGL(T2:T12)</f>
        <v>#N/A</v>
      </c>
      <c r="U50" s="13" t="e">
        <f>_xlfn.MODE.SNGL(U2:U12)</f>
        <v>#N/A</v>
      </c>
      <c r="V50" s="13">
        <f>_xlfn.MODE.SNGL(V2:V12)</f>
        <v>8.1999999999999993</v>
      </c>
      <c r="W50" s="13">
        <f>_xlfn.MODE.SNGL(W2:W12)</f>
        <v>5.6</v>
      </c>
      <c r="X50" s="28">
        <f>_xlfn.MODE.SNGL(X2:X12)</f>
        <v>4.5999999999999996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171" t="e">
        <f>_xlfn.MODE.SNGL(AK2:AK12)</f>
        <v>#N/A</v>
      </c>
      <c r="AL50" s="14" t="e">
        <f>_xlfn.MODE.SNGL(AL2:AL12)</f>
        <v>#N/A</v>
      </c>
      <c r="AM50" s="14" t="e">
        <f>_xlfn.MODE.SNGL(AM2:AM12)</f>
        <v>#N/A</v>
      </c>
      <c r="AN50" s="14" t="e">
        <f>_xlfn.MODE.SNGL(AN2:AN12)</f>
        <v>#N/A</v>
      </c>
      <c r="AO50" s="15" t="e">
        <f>_xlfn.MODE.SNGL(AO2:AO12)</f>
        <v>#N/A</v>
      </c>
      <c r="AP50" s="14"/>
      <c r="AQ50" s="13"/>
    </row>
    <row r="51" spans="1:43" s="1" customFormat="1">
      <c r="A51" s="450"/>
      <c r="B51" s="222" t="s">
        <v>181</v>
      </c>
      <c r="C51" s="171">
        <f t="array" ref="C51">ROUND(SUM((C2:C12 - C48)^2),3)</f>
        <v>602.72699999999998</v>
      </c>
      <c r="D51" s="14">
        <f t="array" ref="D51">ROUND(SUM((D2:D12 - D48)^2),3)</f>
        <v>822.18200000000002</v>
      </c>
      <c r="E51" s="14">
        <f t="array" ref="E51">ROUND(SUM((E2:E12 - E48)^2),3)</f>
        <v>870.18200000000002</v>
      </c>
      <c r="F51" s="14">
        <f t="array" ref="F51">ROUND(SUM((F2:F12 - F48)^2),3)</f>
        <v>568.72699999999998</v>
      </c>
      <c r="G51" s="15">
        <f t="array" ref="G51">ROUND(SUM((G2:G12 - G48)^2),3)</f>
        <v>802.72699999999998</v>
      </c>
      <c r="H51" s="14"/>
      <c r="I51" s="25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20">
        <f t="array" ref="T51">ROUND(SUM((T2:T12 - T48)^2),3)</f>
        <v>51.921999999999997</v>
      </c>
      <c r="U51" s="13">
        <f t="array" ref="U51">ROUND(SUM((U2:U12 - U48)^2),3)</f>
        <v>63.182000000000002</v>
      </c>
      <c r="V51" s="13">
        <f t="array" ref="V51">ROUND(SUM((V2:V12 - V48)^2),3)</f>
        <v>27.135999999999999</v>
      </c>
      <c r="W51" s="13">
        <f t="array" ref="W51">ROUND(SUM((W2:W12 - W48)^2),3)</f>
        <v>8.4450000000000003</v>
      </c>
      <c r="X51" s="28">
        <f t="array" ref="X51">ROUND(SUM((X2:X12 - X48)^2),3)</f>
        <v>30.087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171">
        <f t="array" ref="AK51">ROUND(SUM((AK2:AK12 - AK48)^2),3)</f>
        <v>66884.182000000001</v>
      </c>
      <c r="AL51" s="14">
        <f t="array" ref="AL51">ROUND(SUM((AL2:AL12 - AL48)^2),3)</f>
        <v>68874.182000000001</v>
      </c>
      <c r="AM51" s="14">
        <f t="array" ref="AM51">ROUND(SUM((AM2:AM12 - AM48)^2),3)</f>
        <v>87948</v>
      </c>
      <c r="AN51" s="14">
        <f t="array" ref="AN51">ROUND(SUM((AN2:AN12 - AN48)^2),3)</f>
        <v>57400.726999999999</v>
      </c>
      <c r="AO51" s="15">
        <f t="array" ref="AO51">ROUND(SUM((AO2:AO12 - AO48)^2),3)</f>
        <v>42248.544999999998</v>
      </c>
      <c r="AP51" s="14"/>
      <c r="AQ51" s="13"/>
    </row>
    <row r="52" spans="1:43" s="1" customFormat="1">
      <c r="A52" s="450"/>
      <c r="B52" s="222" t="s">
        <v>170</v>
      </c>
      <c r="C52" s="171">
        <f>_xlfn.VAR.S(C2:C12)</f>
        <v>60.272727272727209</v>
      </c>
      <c r="D52" s="14">
        <f>_xlfn.VAR.S(D2:D12)</f>
        <v>82.218181818181804</v>
      </c>
      <c r="E52" s="14">
        <f>_xlfn.VAR.S(E2:E12)</f>
        <v>87.018181818181802</v>
      </c>
      <c r="F52" s="14">
        <f>_xlfn.VAR.S(F2:F12)</f>
        <v>56.872727272727204</v>
      </c>
      <c r="G52" s="15">
        <f>_xlfn.VAR.S(G2:G12)</f>
        <v>80.272727272727209</v>
      </c>
      <c r="H52" s="14"/>
      <c r="I52" s="25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20">
        <f>_xlfn.VAR.S(T2:T12)</f>
        <v>5.1921818181818198</v>
      </c>
      <c r="U52" s="13">
        <f>_xlfn.VAR.S(U2:U12)</f>
        <v>6.3181818181818246</v>
      </c>
      <c r="V52" s="13">
        <f>_xlfn.VAR.S(V2:V12)</f>
        <v>2.7136363636363967</v>
      </c>
      <c r="W52" s="13">
        <f>_xlfn.VAR.S(W2:W12)</f>
        <v>0.84454545454545948</v>
      </c>
      <c r="X52" s="28">
        <f>_xlfn.VAR.S(X2:X12)</f>
        <v>3.0087272727272705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171">
        <f>_xlfn.VAR.S(AK2:AK12)</f>
        <v>6688.4181818181878</v>
      </c>
      <c r="AL52" s="14">
        <f>_xlfn.VAR.S(AL2:AL12)</f>
        <v>6887.4181818181769</v>
      </c>
      <c r="AM52" s="14">
        <f>_xlfn.VAR.S(AM2:AM12)</f>
        <v>8794.7999999999993</v>
      </c>
      <c r="AN52" s="14">
        <f>_xlfn.VAR.S(AN2:AN12)</f>
        <v>5740.072727272729</v>
      </c>
      <c r="AO52" s="15">
        <f>_xlfn.VAR.S(AO2:AO12)</f>
        <v>4224.854545454541</v>
      </c>
      <c r="AP52" s="14"/>
      <c r="AQ52" s="13"/>
    </row>
    <row r="53" spans="1:43" s="1" customFormat="1">
      <c r="A53" s="450"/>
      <c r="B53" s="222" t="s">
        <v>77</v>
      </c>
      <c r="C53" s="171">
        <f>_xlfn.STDEV.S(C2:C12)</f>
        <v>7.7635512024283839</v>
      </c>
      <c r="D53" s="14">
        <f>_xlfn.STDEV.S(D2:D12)</f>
        <v>9.0674242107768297</v>
      </c>
      <c r="E53" s="14">
        <f>_xlfn.STDEV.S(E2:E12)</f>
        <v>9.3283536499310422</v>
      </c>
      <c r="F53" s="14">
        <f>_xlfn.STDEV.S(F2:F12)</f>
        <v>7.5414008826429058</v>
      </c>
      <c r="G53" s="15">
        <f>_xlfn.STDEV.S(G2:G12)</f>
        <v>8.9595048564486639</v>
      </c>
      <c r="H53" s="14"/>
      <c r="I53" s="25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220">
        <f>_xlfn.STDEV.S(T2:T12)</f>
        <v>2.2786359556062963</v>
      </c>
      <c r="U53" s="13">
        <f>_xlfn.STDEV.S(U2:U12)</f>
        <v>2.5135993750360903</v>
      </c>
      <c r="V53" s="13">
        <f>_xlfn.STDEV.S(V2:V12)</f>
        <v>1.6473118598602987</v>
      </c>
      <c r="W53" s="13">
        <f>_xlfn.STDEV.S(W2:W12)</f>
        <v>0.91899154215121015</v>
      </c>
      <c r="X53" s="28">
        <f>_xlfn.STDEV.S(X2:X12)</f>
        <v>1.734568324606232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171">
        <f>_xlfn.STDEV.S(AK2:AK12)</f>
        <v>81.782749903743081</v>
      </c>
      <c r="AL53" s="14">
        <f>_xlfn.STDEV.S(AL2:AL12)</f>
        <v>82.990470427743546</v>
      </c>
      <c r="AM53" s="14">
        <f>_xlfn.STDEV.S(AM2:AM12)</f>
        <v>93.780595007709351</v>
      </c>
      <c r="AN53" s="14">
        <f>_xlfn.STDEV.S(AN2:AN12)</f>
        <v>75.763267664962342</v>
      </c>
      <c r="AO53" s="15">
        <f>_xlfn.STDEV.S(AO2:AO12)</f>
        <v>64.998881109250959</v>
      </c>
      <c r="AP53" s="14"/>
      <c r="AQ53" s="13"/>
    </row>
    <row r="54" spans="1:43" s="1" customFormat="1">
      <c r="A54" s="450"/>
      <c r="B54" s="222" t="s">
        <v>108</v>
      </c>
      <c r="C54" s="171">
        <f>COUNT(C2:C12)</f>
        <v>11</v>
      </c>
      <c r="D54" s="14">
        <f>COUNT(D2:D12)</f>
        <v>11</v>
      </c>
      <c r="E54" s="14">
        <f>COUNT(E2:E12)</f>
        <v>11</v>
      </c>
      <c r="F54" s="14">
        <f>COUNT(F2:F12)</f>
        <v>11</v>
      </c>
      <c r="G54" s="15">
        <f>COUNT(G2:G12)</f>
        <v>11</v>
      </c>
      <c r="H54" s="14"/>
      <c r="I54" s="25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220">
        <f>COUNT(T2:T12)</f>
        <v>11</v>
      </c>
      <c r="U54" s="13">
        <f>COUNT(U2:U12)</f>
        <v>11</v>
      </c>
      <c r="V54" s="13">
        <f>COUNT(V2:V12)</f>
        <v>11</v>
      </c>
      <c r="W54" s="13">
        <f>COUNT(W2:W12)</f>
        <v>11</v>
      </c>
      <c r="X54" s="28">
        <f>COUNT(X2:X12)</f>
        <v>11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171">
        <f>COUNT(AK2:AK12)</f>
        <v>11</v>
      </c>
      <c r="AL54" s="14">
        <f>COUNT(AL2:AL12)</f>
        <v>11</v>
      </c>
      <c r="AM54" s="14">
        <f>COUNT(AM2:AM12)</f>
        <v>11</v>
      </c>
      <c r="AN54" s="14">
        <f>COUNT(AN2:AN12)</f>
        <v>11</v>
      </c>
      <c r="AO54" s="15">
        <f>COUNT(AO2:AO12)</f>
        <v>11</v>
      </c>
      <c r="AP54" s="14"/>
      <c r="AQ54" s="13"/>
    </row>
    <row r="55" spans="1:43" s="1" customFormat="1">
      <c r="A55" s="450"/>
      <c r="B55" s="222" t="s">
        <v>171</v>
      </c>
      <c r="C55" s="171">
        <f>SKEW(C2:C12)</f>
        <v>0.95021900598506581</v>
      </c>
      <c r="D55" s="14">
        <f>SKEW(D2:D12)</f>
        <v>-0.32298534558322234</v>
      </c>
      <c r="E55" s="14">
        <f>SKEW(E2:E12)</f>
        <v>-9.2872367439694709E-2</v>
      </c>
      <c r="F55" s="14">
        <f>SKEW(F2:F12)</f>
        <v>-0.28451921866724389</v>
      </c>
      <c r="G55" s="15">
        <f>SKEW(G2:G12)</f>
        <v>-1.2355833668163103</v>
      </c>
      <c r="H55" s="14"/>
      <c r="I55" s="25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220">
        <f>SKEW(T2:T12)</f>
        <v>0.19974589712147589</v>
      </c>
      <c r="U55" s="13">
        <f>SKEW(U2:U12)</f>
        <v>-0.85028382919929968</v>
      </c>
      <c r="V55" s="13">
        <f>SKEW(V2:V12)</f>
        <v>-1.3990720521867284</v>
      </c>
      <c r="W55" s="13">
        <f>SKEW(W2:W12)</f>
        <v>0.54048262325888596</v>
      </c>
      <c r="X55" s="28">
        <f>SKEW(X2:X12)</f>
        <v>0.76270358855946196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171">
        <f>SKEW(AK2:AK12)</f>
        <v>-4.7273952639971327E-2</v>
      </c>
      <c r="AL55" s="14">
        <f>SKEW(AL2:AL12)</f>
        <v>0.85003421597495576</v>
      </c>
      <c r="AM55" s="14">
        <f>SKEW(AM2:AM12)</f>
        <v>-5.5365769485558283E-2</v>
      </c>
      <c r="AN55" s="14">
        <f>SKEW(AN2:AN12)</f>
        <v>9.0781589953840156E-2</v>
      </c>
      <c r="AO55" s="15">
        <f>SKEW(AO2:AO12)</f>
        <v>0.78440616255494222</v>
      </c>
      <c r="AP55" s="14"/>
      <c r="AQ55" s="13"/>
    </row>
    <row r="56" spans="1:43" s="1" customFormat="1">
      <c r="A56" s="450"/>
      <c r="B56" s="222" t="s">
        <v>172</v>
      </c>
      <c r="C56" s="171">
        <f>KURT(C2:C12)</f>
        <v>-0.12050804310586472</v>
      </c>
      <c r="D56" s="14">
        <f>KURT(D2:D12)</f>
        <v>-1.0700225177247042</v>
      </c>
      <c r="E56" s="14">
        <f>KURT(E2:E12)</f>
        <v>0.16848952407795181</v>
      </c>
      <c r="F56" s="14">
        <f>KURT(F2:F12)</f>
        <v>-0.88383847158901485</v>
      </c>
      <c r="G56" s="15">
        <f>KURT(G2:G12)</f>
        <v>0.88964548685436995</v>
      </c>
      <c r="H56" s="14"/>
      <c r="I56" s="25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220">
        <f>KURT(T2:T12)</f>
        <v>-1.2358763341681471</v>
      </c>
      <c r="U56" s="13">
        <f>KURT(U2:U12)</f>
        <v>0.55808181081033847</v>
      </c>
      <c r="V56" s="13">
        <f>KURT(V2:V12)</f>
        <v>1.9369730618474765</v>
      </c>
      <c r="W56" s="13">
        <f>KURT(W2:W12)</f>
        <v>-1.63815569982577</v>
      </c>
      <c r="X56" s="28">
        <f>KURT(X2:X12)</f>
        <v>0.44534754237699836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171">
        <f>KURT(AK2:AK12)</f>
        <v>0.51048449153005748</v>
      </c>
      <c r="AL56" s="14">
        <f>KURT(AL2:AL12)</f>
        <v>0.66308288049982789</v>
      </c>
      <c r="AM56" s="14">
        <f>KURT(AM2:AM12)</f>
        <v>-0.49904669756635567</v>
      </c>
      <c r="AN56" s="14">
        <f>KURT(AN2:AN12)</f>
        <v>-1.6011225698248213</v>
      </c>
      <c r="AO56" s="15">
        <f>KURT(AO2:AO12)</f>
        <v>0.29428691554909658</v>
      </c>
      <c r="AP56" s="14"/>
      <c r="AQ56" s="13"/>
    </row>
    <row r="57" spans="1:43" s="1" customFormat="1">
      <c r="A57" s="449" t="s">
        <v>104</v>
      </c>
      <c r="B57" s="221" t="s">
        <v>76</v>
      </c>
      <c r="C57" s="170">
        <f>AVERAGE(C15:C26)</f>
        <v>22.916666666666668</v>
      </c>
      <c r="D57" s="10">
        <f>AVERAGE(D15:D26)</f>
        <v>25.916666666666668</v>
      </c>
      <c r="E57" s="10">
        <f>AVERAGE(E15:E26)</f>
        <v>22.75</v>
      </c>
      <c r="F57" s="10">
        <f>AVERAGE(F15:F26)</f>
        <v>32.416666666666664</v>
      </c>
      <c r="G57" s="11">
        <f>AVERAGE(G15:G26)</f>
        <v>49.416666666666664</v>
      </c>
      <c r="H57" s="14"/>
      <c r="I57" s="25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09">
        <f>AVERAGE(T15:T26)</f>
        <v>6.4666666666666659</v>
      </c>
      <c r="U57" s="9">
        <f>AVERAGE(U15:U26)</f>
        <v>6.9666666666666659</v>
      </c>
      <c r="V57" s="9">
        <f>AVERAGE(V15:V26)</f>
        <v>6.7749999999999995</v>
      </c>
      <c r="W57" s="9">
        <f>AVERAGE(W15:W26)</f>
        <v>8.4416666666666664</v>
      </c>
      <c r="X57" s="173">
        <f>AVERAGE(X15:X26)</f>
        <v>7.2833333333333323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170">
        <f>AVERAGE(AK15:AK26)</f>
        <v>272.16666666666669</v>
      </c>
      <c r="AL57" s="10">
        <f>AVERAGE(AL15:AL26)</f>
        <v>275</v>
      </c>
      <c r="AM57" s="10">
        <f>AVERAGE(AM15:AM26)</f>
        <v>253</v>
      </c>
      <c r="AN57" s="10">
        <f>AVERAGE(AN15:AN26)</f>
        <v>281.91666666666669</v>
      </c>
      <c r="AO57" s="11">
        <f>AVERAGE(AO15:AO26)</f>
        <v>332.16666666666669</v>
      </c>
      <c r="AP57" s="14"/>
      <c r="AQ57" s="13"/>
    </row>
    <row r="58" spans="1:43" s="1" customFormat="1">
      <c r="A58" s="450"/>
      <c r="B58" s="222" t="s">
        <v>174</v>
      </c>
      <c r="C58" s="171">
        <f>MEDIAN(C15:C26)</f>
        <v>22</v>
      </c>
      <c r="D58" s="14">
        <f>MEDIAN(D15:D26)</f>
        <v>24.5</v>
      </c>
      <c r="E58" s="14">
        <f>MEDIAN(E15:E26)</f>
        <v>23.5</v>
      </c>
      <c r="F58" s="14">
        <f>MEDIAN(F15:F26)</f>
        <v>28.5</v>
      </c>
      <c r="G58" s="15">
        <f>MEDIAN(G15:G26)</f>
        <v>49.5</v>
      </c>
      <c r="H58" s="14"/>
      <c r="I58" s="25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220">
        <f>MEDIAN(T15:T26)</f>
        <v>7.1</v>
      </c>
      <c r="U58" s="13">
        <f>MEDIAN(U15:U26)</f>
        <v>6.75</v>
      </c>
      <c r="V58" s="13">
        <f>MEDIAN(V15:V26)</f>
        <v>6.25</v>
      </c>
      <c r="W58" s="13">
        <f>MEDIAN(W15:W26)</f>
        <v>8.4</v>
      </c>
      <c r="X58" s="28">
        <f>MEDIAN(X15:X26)</f>
        <v>7.4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171">
        <f>MEDIAN(AK15:AK26)</f>
        <v>267</v>
      </c>
      <c r="AL58" s="14">
        <f>MEDIAN(AL15:AL26)</f>
        <v>269</v>
      </c>
      <c r="AM58" s="14">
        <f>MEDIAN(AM15:AM26)</f>
        <v>261</v>
      </c>
      <c r="AN58" s="14">
        <f>MEDIAN(AN15:AN26)</f>
        <v>282</v>
      </c>
      <c r="AO58" s="15">
        <f>MEDIAN(AO15:AO26)</f>
        <v>321.5</v>
      </c>
      <c r="AP58" s="14"/>
      <c r="AQ58" s="13"/>
    </row>
    <row r="59" spans="1:43" s="1" customFormat="1">
      <c r="A59" s="450"/>
      <c r="B59" s="222" t="s">
        <v>173</v>
      </c>
      <c r="C59" s="171">
        <f>_xlfn.MODE.SNGL(C15:C26)</f>
        <v>20</v>
      </c>
      <c r="D59" s="14">
        <f>_xlfn.MODE.SNGL(D15:D26)</f>
        <v>6</v>
      </c>
      <c r="E59" s="14">
        <f>_xlfn.MODE.SNGL(E15:E26)</f>
        <v>26</v>
      </c>
      <c r="F59" s="14">
        <f>_xlfn.MODE.SNGL(F15:F26)</f>
        <v>28</v>
      </c>
      <c r="G59" s="15">
        <f>_xlfn.MODE.SNGL(G15:G26)</f>
        <v>50</v>
      </c>
      <c r="H59" s="14"/>
      <c r="I59" s="25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220">
        <f>_xlfn.MODE.SNGL(T15:T26)</f>
        <v>8.1999999999999993</v>
      </c>
      <c r="U59" s="13" t="e">
        <f>_xlfn.MODE.SNGL(U15:U26)</f>
        <v>#N/A</v>
      </c>
      <c r="V59" s="13" t="e">
        <f>_xlfn.MODE.SNGL(V15:V26)</f>
        <v>#N/A</v>
      </c>
      <c r="W59" s="13" t="e">
        <f>_xlfn.MODE.SNGL(W15:W26)</f>
        <v>#N/A</v>
      </c>
      <c r="X59" s="28" t="e">
        <f>_xlfn.MODE.SNGL(X15:X26)</f>
        <v>#N/A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171" t="e">
        <f>_xlfn.MODE.SNGL(AK15:AK26)</f>
        <v>#N/A</v>
      </c>
      <c r="AL59" s="14" t="e">
        <f>_xlfn.MODE.SNGL(AL15:AL26)</f>
        <v>#N/A</v>
      </c>
      <c r="AM59" s="14">
        <f>_xlfn.MODE.SNGL(AM15:AM26)</f>
        <v>279</v>
      </c>
      <c r="AN59" s="14" t="e">
        <f>_xlfn.MODE.SNGL(AN15:AN26)</f>
        <v>#N/A</v>
      </c>
      <c r="AO59" s="15" t="e">
        <f>_xlfn.MODE.SNGL(AO15:AO26)</f>
        <v>#N/A</v>
      </c>
      <c r="AP59" s="14"/>
      <c r="AQ59" s="13"/>
    </row>
    <row r="60" spans="1:43" s="1" customFormat="1">
      <c r="A60" s="450"/>
      <c r="B60" s="222" t="s">
        <v>181</v>
      </c>
      <c r="C60" s="171">
        <f t="array" ref="C60">ROUND(SUM((C15:C26 - C57)^2),3)</f>
        <v>1300.9169999999999</v>
      </c>
      <c r="D60" s="14">
        <f t="array" ref="D60">ROUND(SUM((D15:D26 - D57)^2),3)</f>
        <v>1618.9169999999999</v>
      </c>
      <c r="E60" s="14">
        <f t="array" ref="E60">ROUND(SUM((E15:E26 - E57)^2),3)</f>
        <v>1370.25</v>
      </c>
      <c r="F60" s="14">
        <f t="array" ref="F60">ROUND(SUM((F15:F26 - F57)^2),3)</f>
        <v>1010.917</v>
      </c>
      <c r="G60" s="15">
        <f t="array" ref="G60">ROUND(SUM((G15:G26 - G57)^2),3)</f>
        <v>442.91699999999997</v>
      </c>
      <c r="H60" s="14"/>
      <c r="I60" s="25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220">
        <f t="array" ref="T60">ROUND(SUM((T15:T26 - T57)^2),3)</f>
        <v>31.187000000000001</v>
      </c>
      <c r="U60" s="13">
        <f t="array" ref="U60">ROUND(SUM((U15:U26 - U57)^2),3)</f>
        <v>50.506999999999998</v>
      </c>
      <c r="V60" s="13">
        <f t="array" ref="V60">ROUND(SUM((V15:V26 - V57)^2),3)</f>
        <v>52.023000000000003</v>
      </c>
      <c r="W60" s="13">
        <f t="array" ref="W60">ROUND(SUM((W15:W26 - W57)^2),3)</f>
        <v>14.689</v>
      </c>
      <c r="X60" s="28">
        <f t="array" ref="X60">ROUND(SUM((X15:X26 - X57)^2),3)</f>
        <v>47.396999999999998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171">
        <f t="array" ref="AK60">ROUND(SUM((AK15:AK26 - AK57)^2),3)</f>
        <v>29627.667000000001</v>
      </c>
      <c r="AL60" s="14">
        <f t="array" ref="AL60">ROUND(SUM((AL15:AL26 - AL57)^2),3)</f>
        <v>82520</v>
      </c>
      <c r="AM60" s="14">
        <f t="array" ref="AM60">ROUND(SUM((AM15:AM26 - AM57)^2),3)</f>
        <v>83726</v>
      </c>
      <c r="AN60" s="14">
        <f t="array" ref="AN60">ROUND(SUM((AN15:AN26 - AN57)^2),3)</f>
        <v>72962.917000000001</v>
      </c>
      <c r="AO60" s="15">
        <f t="array" ref="AO60">ROUND(SUM((AO15:AO26 - AO57)^2),3)</f>
        <v>86569.667000000001</v>
      </c>
      <c r="AP60" s="14"/>
      <c r="AQ60" s="13"/>
    </row>
    <row r="61" spans="1:43" s="1" customFormat="1">
      <c r="A61" s="450"/>
      <c r="B61" s="222" t="s">
        <v>170</v>
      </c>
      <c r="C61" s="171">
        <f>_xlfn.VAR.S(C15:C26)</f>
        <v>118.26515151515154</v>
      </c>
      <c r="D61" s="14">
        <f>_xlfn.VAR.S(D15:D26)</f>
        <v>147.17424242424246</v>
      </c>
      <c r="E61" s="14">
        <f>_xlfn.VAR.S(E15:E26)</f>
        <v>124.56818181818181</v>
      </c>
      <c r="F61" s="14">
        <f>_xlfn.VAR.S(F15:F26)</f>
        <v>91.901515151515099</v>
      </c>
      <c r="G61" s="15">
        <f>_xlfn.VAR.S(G15:G26)</f>
        <v>40.265151515151622</v>
      </c>
      <c r="H61" s="14"/>
      <c r="I61" s="25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20">
        <f>_xlfn.VAR.S(T15:T26)</f>
        <v>2.8351515151515203</v>
      </c>
      <c r="U61" s="13">
        <f>_xlfn.VAR.S(U15:U26)</f>
        <v>4.5915151515151509</v>
      </c>
      <c r="V61" s="13">
        <f>_xlfn.VAR.S(V15:V26)</f>
        <v>4.7293181818181855</v>
      </c>
      <c r="W61" s="13">
        <f>_xlfn.VAR.S(W15:W26)</f>
        <v>1.3353787878787982</v>
      </c>
      <c r="X61" s="28">
        <f>_xlfn.VAR.S(X15:X26)</f>
        <v>4.3087878787878973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171">
        <f>_xlfn.VAR.S(AK15:AK26)</f>
        <v>2693.4242424242389</v>
      </c>
      <c r="AL61" s="14">
        <f>_xlfn.VAR.S(AL15:AL26)</f>
        <v>7501.818181818182</v>
      </c>
      <c r="AM61" s="14">
        <f>_xlfn.VAR.S(AM15:AM26)</f>
        <v>7611.454545454545</v>
      </c>
      <c r="AN61" s="14">
        <f>_xlfn.VAR.S(AN15:AN26)</f>
        <v>6632.9924242424204</v>
      </c>
      <c r="AO61" s="15">
        <f>_xlfn.VAR.S(AO15:AO26)</f>
        <v>7869.9696969697043</v>
      </c>
      <c r="AP61" s="14"/>
      <c r="AQ61" s="13"/>
    </row>
    <row r="62" spans="1:43" s="1" customFormat="1">
      <c r="A62" s="450"/>
      <c r="B62" s="222" t="s">
        <v>77</v>
      </c>
      <c r="C62" s="171">
        <f>_xlfn.STDEV.S(C15:C26)</f>
        <v>10.874978230559892</v>
      </c>
      <c r="D62" s="14">
        <f>_xlfn.STDEV.S(D15:D26)</f>
        <v>12.131539161386014</v>
      </c>
      <c r="E62" s="14">
        <f>_xlfn.STDEV.S(E15:E26)</f>
        <v>11.16101168434931</v>
      </c>
      <c r="F62" s="14">
        <f>_xlfn.STDEV.S(F15:F26)</f>
        <v>9.58652779433279</v>
      </c>
      <c r="G62" s="15">
        <f>_xlfn.STDEV.S(G15:G26)</f>
        <v>6.3454827645461007</v>
      </c>
      <c r="H62" s="14"/>
      <c r="I62" s="25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220">
        <f>_xlfn.STDEV.S(T15:T26)</f>
        <v>1.6837908169221971</v>
      </c>
      <c r="U62" s="13">
        <f>_xlfn.STDEV.S(U15:U26)</f>
        <v>2.1427821054682976</v>
      </c>
      <c r="V62" s="13">
        <f>_xlfn.STDEV.S(V15:V26)</f>
        <v>2.174699561276956</v>
      </c>
      <c r="W62" s="13">
        <f>_xlfn.STDEV.S(W15:W26)</f>
        <v>1.1555859067498175</v>
      </c>
      <c r="X62" s="28">
        <f>_xlfn.STDEV.S(X15:X26)</f>
        <v>2.0757619995529106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171">
        <f>_xlfn.STDEV.S(AK15:AK26)</f>
        <v>51.898210397124856</v>
      </c>
      <c r="AL62" s="14">
        <f>_xlfn.STDEV.S(AL15:AL26)</f>
        <v>86.61303701994396</v>
      </c>
      <c r="AM62" s="14">
        <f>_xlfn.STDEV.S(AM15:AM26)</f>
        <v>87.243650459242843</v>
      </c>
      <c r="AN62" s="14">
        <f>_xlfn.STDEV.S(AN15:AN26)</f>
        <v>81.443185253539909</v>
      </c>
      <c r="AO62" s="15">
        <f>_xlfn.STDEV.S(AO15:AO26)</f>
        <v>88.712849672241418</v>
      </c>
      <c r="AP62" s="14"/>
      <c r="AQ62" s="13"/>
    </row>
    <row r="63" spans="1:43" s="1" customFormat="1">
      <c r="A63" s="450"/>
      <c r="B63" s="222" t="s">
        <v>108</v>
      </c>
      <c r="C63" s="171">
        <f>COUNT(C15:C26)</f>
        <v>12</v>
      </c>
      <c r="D63" s="14">
        <f>COUNT(D15:D26)</f>
        <v>12</v>
      </c>
      <c r="E63" s="14">
        <f>COUNT(E15:E26)</f>
        <v>12</v>
      </c>
      <c r="F63" s="14">
        <f>COUNT(F15:F26)</f>
        <v>12</v>
      </c>
      <c r="G63" s="15">
        <f>COUNT(G15:G26)</f>
        <v>12</v>
      </c>
      <c r="H63" s="14"/>
      <c r="I63" s="25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20">
        <f>COUNT(T15:T26)</f>
        <v>12</v>
      </c>
      <c r="U63" s="13">
        <f>COUNT(U15:U26)</f>
        <v>12</v>
      </c>
      <c r="V63" s="13">
        <f>COUNT(V15:V26)</f>
        <v>12</v>
      </c>
      <c r="W63" s="13">
        <f>COUNT(W15:W26)</f>
        <v>12</v>
      </c>
      <c r="X63" s="28">
        <f>COUNT(X15:X26)</f>
        <v>12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171">
        <f>COUNT(AK15:AK26)</f>
        <v>12</v>
      </c>
      <c r="AL63" s="14">
        <f>COUNT(AL15:AL26)</f>
        <v>12</v>
      </c>
      <c r="AM63" s="14">
        <f>COUNT(AM15:AM26)</f>
        <v>12</v>
      </c>
      <c r="AN63" s="14">
        <f>COUNT(AN15:AN26)</f>
        <v>12</v>
      </c>
      <c r="AO63" s="15">
        <f>COUNT(AO15:AO26)</f>
        <v>12</v>
      </c>
      <c r="AP63" s="14"/>
      <c r="AQ63" s="13"/>
    </row>
    <row r="64" spans="1:43" s="1" customFormat="1">
      <c r="A64" s="450"/>
      <c r="B64" s="222" t="s">
        <v>171</v>
      </c>
      <c r="C64" s="171">
        <f>SKEW(C15:C26)</f>
        <v>0.19290297399592657</v>
      </c>
      <c r="D64" s="14">
        <f>SKEW(D15:D26)</f>
        <v>-0.17402877822805227</v>
      </c>
      <c r="E64" s="14">
        <f>SKEW(E15:E26)</f>
        <v>0.18728696340268866</v>
      </c>
      <c r="F64" s="14">
        <f>SKEW(F15:F26)</f>
        <v>0.87673355563207278</v>
      </c>
      <c r="G64" s="15">
        <f>SKEW(G15:G26)</f>
        <v>-3.4803760184966524E-2</v>
      </c>
      <c r="H64" s="14"/>
      <c r="I64" s="25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220">
        <f>SKEW(T15:T26)</f>
        <v>-0.64837716076129848</v>
      </c>
      <c r="U64" s="13">
        <f>SKEW(U15:U26)</f>
        <v>0.14803756686156519</v>
      </c>
      <c r="V64" s="13">
        <f>SKEW(V15:V26)</f>
        <v>0.78220863176270494</v>
      </c>
      <c r="W64" s="13">
        <f>SKEW(W15:W26)</f>
        <v>0.25562810739157732</v>
      </c>
      <c r="X64" s="28">
        <f>SKEW(X15:X26)</f>
        <v>-0.69811345350194609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171">
        <f>SKEW(AK15:AK26)</f>
        <v>-0.56177823502077773</v>
      </c>
      <c r="AL64" s="14">
        <f>SKEW(AL15:AL26)</f>
        <v>2.5174234083671729E-3</v>
      </c>
      <c r="AM64" s="14">
        <f>SKEW(AM15:AM26)</f>
        <v>0.58884747252921665</v>
      </c>
      <c r="AN64" s="14">
        <f>SKEW(AN15:AN26)</f>
        <v>0.23680999363896046</v>
      </c>
      <c r="AO64" s="15">
        <f>SKEW(AO15:AO26)</f>
        <v>0.29638096527868946</v>
      </c>
      <c r="AP64" s="14"/>
      <c r="AQ64" s="13"/>
    </row>
    <row r="65" spans="1:52">
      <c r="A65" s="450"/>
      <c r="B65" s="222" t="s">
        <v>172</v>
      </c>
      <c r="C65" s="171">
        <f>KURT(C15:C26)</f>
        <v>-0.25303193960167381</v>
      </c>
      <c r="D65" s="14">
        <f>KURT(D15:D26)</f>
        <v>-1.3918033059625579E-2</v>
      </c>
      <c r="E65" s="14">
        <f>KURT(E15:E26)</f>
        <v>-1.3807954173580885</v>
      </c>
      <c r="F65" s="14">
        <f>KURT(F15:F26)</f>
        <v>-0.26551793241152666</v>
      </c>
      <c r="G65" s="15">
        <f>KURT(G15:G26)</f>
        <v>-0.38055265586931997</v>
      </c>
      <c r="H65" s="14"/>
      <c r="I65" s="25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220">
        <f>KURT(T15:T26)</f>
        <v>-0.90054084129527956</v>
      </c>
      <c r="U65" s="13">
        <f>KURT(U15:U26)</f>
        <v>-1.1654364948389206</v>
      </c>
      <c r="V65" s="13">
        <f>KURT(V15:V26)</f>
        <v>0.63017896099722748</v>
      </c>
      <c r="W65" s="13">
        <f>KURT(W15:W26)</f>
        <v>7.4031462194582787E-2</v>
      </c>
      <c r="X65" s="28">
        <f>KURT(X15:X26)</f>
        <v>0.33102861662931904</v>
      </c>
      <c r="AK65" s="171">
        <f>KURT(AK15:AK26)</f>
        <v>0.35528228797755279</v>
      </c>
      <c r="AL65" s="14">
        <f>KURT(AL15:AL26)</f>
        <v>-0.18507055079583701</v>
      </c>
      <c r="AM65" s="14">
        <f>KURT(AM15:AM26)</f>
        <v>1.2973755939870069</v>
      </c>
      <c r="AN65" s="14">
        <f>KURT(AN15:AN26)</f>
        <v>-0.38257944948512934</v>
      </c>
      <c r="AO65" s="15">
        <f>KURT(AO15:AO26)</f>
        <v>-0.96040945896000629</v>
      </c>
      <c r="AQ65" s="13"/>
    </row>
    <row r="66" spans="1:52">
      <c r="A66" s="449" t="s">
        <v>105</v>
      </c>
      <c r="B66" s="221" t="s">
        <v>76</v>
      </c>
      <c r="C66" s="170">
        <f>AVERAGE(C30:C43)</f>
        <v>8.8571428571428577</v>
      </c>
      <c r="D66" s="10">
        <f>AVERAGE(D30:D43)</f>
        <v>18.142857142857142</v>
      </c>
      <c r="E66" s="10">
        <f>AVERAGE(E30:E43)</f>
        <v>19.571428571428573</v>
      </c>
      <c r="F66" s="10">
        <f>AVERAGE(F30:F43)</f>
        <v>30.357142857142858</v>
      </c>
      <c r="G66" s="11">
        <f>AVERAGE(G30:G43)</f>
        <v>32</v>
      </c>
      <c r="H66" s="14"/>
      <c r="I66" s="25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209">
        <f>AVERAGE(T30:T43)</f>
        <v>7.0714285714285721</v>
      </c>
      <c r="U66" s="9">
        <f>AVERAGE(U30:U43)</f>
        <v>5.8142857142857158</v>
      </c>
      <c r="V66" s="9">
        <f>AVERAGE(V30:V43)</f>
        <v>7.9</v>
      </c>
      <c r="W66" s="9">
        <f>AVERAGE(W30:W43)</f>
        <v>6.7000000000000011</v>
      </c>
      <c r="X66" s="173">
        <f>AVERAGE(X30:X43)</f>
        <v>7.5142857142857133</v>
      </c>
      <c r="AK66" s="170">
        <f>AVERAGE(AK30:AK43)</f>
        <v>214.64285714285714</v>
      </c>
      <c r="AL66" s="10">
        <f>AVERAGE(AL30:AL43)</f>
        <v>245.5</v>
      </c>
      <c r="AM66" s="10">
        <f>AVERAGE(AM30:AM43)</f>
        <v>243.78571428571428</v>
      </c>
      <c r="AN66" s="10">
        <f>AVERAGE(AN30:AN43)</f>
        <v>258.35714285714283</v>
      </c>
      <c r="AO66" s="11">
        <f>AVERAGE(AO30:AO43)</f>
        <v>275.78571428571428</v>
      </c>
      <c r="AQ66" s="13"/>
    </row>
    <row r="67" spans="1:52">
      <c r="A67" s="450"/>
      <c r="B67" s="222" t="s">
        <v>174</v>
      </c>
      <c r="C67" s="171">
        <f>MEDIAN(C30:C43)</f>
        <v>8</v>
      </c>
      <c r="D67" s="14">
        <f>MEDIAN(D30:D43)</f>
        <v>16</v>
      </c>
      <c r="E67" s="14">
        <f>MEDIAN(E30:E43)</f>
        <v>21</v>
      </c>
      <c r="F67" s="14">
        <f>MEDIAN(F30:F43)</f>
        <v>27.5</v>
      </c>
      <c r="G67" s="15">
        <f>MEDIAN(G30:G43)</f>
        <v>30.5</v>
      </c>
      <c r="H67" s="14"/>
      <c r="I67" s="25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20">
        <f>MEDIAN(T30:T43)</f>
        <v>6.85</v>
      </c>
      <c r="U67" s="13">
        <f>MEDIAN(U30:U43)</f>
        <v>5.9</v>
      </c>
      <c r="V67" s="13">
        <f>MEDIAN(V30:V43)</f>
        <v>8.1999999999999993</v>
      </c>
      <c r="W67" s="13">
        <f>MEDIAN(W30:W43)</f>
        <v>6.7</v>
      </c>
      <c r="X67" s="28">
        <f>MEDIAN(X30:X43)</f>
        <v>7.35</v>
      </c>
      <c r="AK67" s="171">
        <f>MEDIAN(AK30:AK43)</f>
        <v>206.5</v>
      </c>
      <c r="AL67" s="14">
        <f>MEDIAN(AL30:AL43)</f>
        <v>263</v>
      </c>
      <c r="AM67" s="14">
        <f>MEDIAN(AM30:AM43)</f>
        <v>225.5</v>
      </c>
      <c r="AN67" s="14">
        <f>MEDIAN(AN30:AN43)</f>
        <v>233</v>
      </c>
      <c r="AO67" s="15">
        <f>MEDIAN(AO30:AO43)</f>
        <v>260.5</v>
      </c>
      <c r="AQ67" s="13"/>
    </row>
    <row r="68" spans="1:52">
      <c r="A68" s="450"/>
      <c r="B68" s="222" t="s">
        <v>173</v>
      </c>
      <c r="C68" s="171">
        <f>_xlfn.MODE.SNGL(C30:C43)</f>
        <v>0</v>
      </c>
      <c r="D68" s="14">
        <f>_xlfn.MODE.SNGL(D30:D43)</f>
        <v>16</v>
      </c>
      <c r="E68" s="14">
        <f>_xlfn.MODE.SNGL(E30:E43)</f>
        <v>26</v>
      </c>
      <c r="F68" s="14">
        <f>_xlfn.MODE.SNGL(F30:F43)</f>
        <v>27</v>
      </c>
      <c r="G68" s="15">
        <f>_xlfn.MODE.SNGL(G30:G43)</f>
        <v>29</v>
      </c>
      <c r="H68" s="14"/>
      <c r="I68" s="25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220">
        <f>_xlfn.MODE.SNGL(T30:T43)</f>
        <v>6.5</v>
      </c>
      <c r="U68" s="13" t="e">
        <f>_xlfn.MODE.SNGL(U30:U43)</f>
        <v>#N/A</v>
      </c>
      <c r="V68" s="13">
        <f>_xlfn.MODE.SNGL(V30:V43)</f>
        <v>8.1999999999999993</v>
      </c>
      <c r="W68" s="13">
        <f>_xlfn.MODE.SNGL(W30:W43)</f>
        <v>7.8</v>
      </c>
      <c r="X68" s="28">
        <f>_xlfn.MODE.SNGL(X30:X43)</f>
        <v>8.1</v>
      </c>
      <c r="AK68" s="171" t="e">
        <f>_xlfn.MODE.SNGL(AK30:AK43)</f>
        <v>#N/A</v>
      </c>
      <c r="AL68" s="14" t="e">
        <f>_xlfn.MODE.SNGL(AL30:AL43)</f>
        <v>#N/A</v>
      </c>
      <c r="AM68" s="14">
        <f>_xlfn.MODE.SNGL(AM30:AM43)</f>
        <v>237</v>
      </c>
      <c r="AN68" s="14">
        <f>_xlfn.MODE.SNGL(AN30:AN43)</f>
        <v>230</v>
      </c>
      <c r="AO68" s="15" t="e">
        <f>_xlfn.MODE.SNGL(AO30:AO43)</f>
        <v>#N/A</v>
      </c>
      <c r="AQ68" s="13"/>
    </row>
    <row r="69" spans="1:52">
      <c r="A69" s="450"/>
      <c r="B69" s="222" t="s">
        <v>181</v>
      </c>
      <c r="C69" s="171">
        <f t="array" ref="C69">ROUND(SUM((C30:C43 - C66)^2),3)</f>
        <v>655.71400000000006</v>
      </c>
      <c r="D69" s="14">
        <f t="array" ref="D69">ROUND(SUM((D30:D43 - D66)^2),3)</f>
        <v>687.71400000000006</v>
      </c>
      <c r="E69" s="14">
        <f t="array" ref="E69">ROUND(SUM((E30:E43 - E66)^2),3)</f>
        <v>1017.429</v>
      </c>
      <c r="F69" s="14">
        <f t="array" ref="F69">ROUND(SUM((F30:F43 - F66)^2),3)</f>
        <v>1911.2139999999999</v>
      </c>
      <c r="G69" s="15">
        <f t="array" ref="G69">ROUND(SUM((G30:G43 - G66)^2),3)</f>
        <v>1604</v>
      </c>
      <c r="H69" s="14"/>
      <c r="I69" s="25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220">
        <f t="array" ref="T69">ROUND(SUM((T30:T43 - T66)^2),3)</f>
        <v>44.369</v>
      </c>
      <c r="U69" s="13">
        <f t="array" ref="U69">ROUND(SUM((U30:U43 - U66)^2),3)</f>
        <v>43.296999999999997</v>
      </c>
      <c r="V69" s="13">
        <f t="array" ref="V69">ROUND(SUM((V30:V43 - V66)^2),3)</f>
        <v>36.619999999999997</v>
      </c>
      <c r="W69" s="13">
        <f t="array" ref="W69">ROUND(SUM((W30:W43 - W66)^2),3)</f>
        <v>15.32</v>
      </c>
      <c r="X69" s="28">
        <f t="array" ref="X69">ROUND(SUM((X30:X43 - X66)^2),3)</f>
        <v>15.936999999999999</v>
      </c>
      <c r="AK69" s="171">
        <f t="array" ref="AK69">ROUND(SUM((AK30:AK43 - AK66)^2),3)</f>
        <v>197991.21400000001</v>
      </c>
      <c r="AL69" s="14">
        <f t="array" ref="AL69">ROUND(SUM((AL30:AL43 - AL66)^2),3)</f>
        <v>119579.5</v>
      </c>
      <c r="AM69" s="14">
        <f t="array" ref="AM69">ROUND(SUM((AM30:AM43 - AM66)^2),3)</f>
        <v>42280.357000000004</v>
      </c>
      <c r="AN69" s="14">
        <f t="array" ref="AN69">ROUND(SUM((AN30:AN43 - AN66)^2),3)</f>
        <v>53917.214</v>
      </c>
      <c r="AO69" s="15">
        <f t="array" ref="AO69">ROUND(SUM((AO30:AO43 - AO66)^2),3)</f>
        <v>57524.357000000004</v>
      </c>
      <c r="AQ69" s="13"/>
    </row>
    <row r="70" spans="1:52">
      <c r="A70" s="450"/>
      <c r="B70" s="222" t="s">
        <v>170</v>
      </c>
      <c r="C70" s="171">
        <f>_xlfn.VAR.S(C30:C43)</f>
        <v>50.439560439560445</v>
      </c>
      <c r="D70" s="14">
        <f>_xlfn.VAR.S(D30:D43)</f>
        <v>52.901098901098869</v>
      </c>
      <c r="E70" s="14">
        <f>_xlfn.VAR.S(E30:E43)</f>
        <v>78.263736263736277</v>
      </c>
      <c r="F70" s="14">
        <f>_xlfn.VAR.S(F30:F43)</f>
        <v>147.01648351648356</v>
      </c>
      <c r="G70" s="15">
        <f>_xlfn.VAR.S(G30:G43)</f>
        <v>123.38461538461539</v>
      </c>
      <c r="H70" s="14"/>
      <c r="I70" s="25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220">
        <f>_xlfn.VAR.S(T30:T43)</f>
        <v>3.4129670329670123</v>
      </c>
      <c r="U70" s="13">
        <f>_xlfn.VAR.S(U30:U43)</f>
        <v>3.3305494505494266</v>
      </c>
      <c r="V70" s="13">
        <f>_xlfn.VAR.S(V30:V43)</f>
        <v>2.8169230769230684</v>
      </c>
      <c r="W70" s="13">
        <f>_xlfn.VAR.S(W30:W43)</f>
        <v>1.1784615384615336</v>
      </c>
      <c r="X70" s="28">
        <f>_xlfn.VAR.S(X30:X43)</f>
        <v>1.2259340659340892</v>
      </c>
      <c r="AK70" s="171">
        <f>_xlfn.VAR.S(AK30:AK43)</f>
        <v>15230.093406593409</v>
      </c>
      <c r="AL70" s="14">
        <f>_xlfn.VAR.S(AL30:AL43)</f>
        <v>9198.4230769230762</v>
      </c>
      <c r="AM70" s="14">
        <f>_xlfn.VAR.S(AM30:AM43)</f>
        <v>3252.3351648351663</v>
      </c>
      <c r="AN70" s="14">
        <f>_xlfn.VAR.S(AN30:AN43)</f>
        <v>4147.4780219780241</v>
      </c>
      <c r="AO70" s="15">
        <f>_xlfn.VAR.S(AO30:AO43)</f>
        <v>4424.950549450542</v>
      </c>
      <c r="AQ70" s="13"/>
    </row>
    <row r="71" spans="1:52">
      <c r="A71" s="450"/>
      <c r="B71" s="222" t="s">
        <v>77</v>
      </c>
      <c r="C71" s="171">
        <f>_xlfn.STDEV.S(C30:C43)</f>
        <v>7.1020814160047792</v>
      </c>
      <c r="D71" s="14">
        <f>_xlfn.STDEV.S(D30:D43)</f>
        <v>7.2733141621339907</v>
      </c>
      <c r="E71" s="14">
        <f>_xlfn.STDEV.S(E30:E43)</f>
        <v>8.8466793919377604</v>
      </c>
      <c r="F71" s="14">
        <f>_xlfn.STDEV.S(F30:F43)</f>
        <v>12.125035402689905</v>
      </c>
      <c r="G71" s="15">
        <f>_xlfn.STDEV.S(G30:G43)</f>
        <v>11.107862773036738</v>
      </c>
      <c r="H71" s="14"/>
      <c r="I71" s="25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220">
        <f>_xlfn.STDEV.S(T30:T43)</f>
        <v>1.8474217258024797</v>
      </c>
      <c r="U71" s="13">
        <f>_xlfn.STDEV.S(U30:U43)</f>
        <v>1.8249793014030122</v>
      </c>
      <c r="V71" s="13">
        <f>_xlfn.STDEV.S(V30:V43)</f>
        <v>1.6783691718221794</v>
      </c>
      <c r="W71" s="13">
        <f>_xlfn.STDEV.S(W30:W43)</f>
        <v>1.0855696838349593</v>
      </c>
      <c r="X71" s="28">
        <f>_xlfn.STDEV.S(X30:X43)</f>
        <v>1.1072190686282861</v>
      </c>
      <c r="AK71" s="171">
        <f>_xlfn.STDEV.S(AK30:AK43)</f>
        <v>123.41026459170003</v>
      </c>
      <c r="AL71" s="14">
        <f>_xlfn.STDEV.S(AL30:AL43)</f>
        <v>95.908409834190635</v>
      </c>
      <c r="AM71" s="14">
        <f>_xlfn.STDEV.S(AM30:AM43)</f>
        <v>57.029248327811288</v>
      </c>
      <c r="AN71" s="14">
        <f>_xlfn.STDEV.S(AN30:AN43)</f>
        <v>64.400916313186286</v>
      </c>
      <c r="AO71" s="15">
        <f>_xlfn.STDEV.S(AO30:AO43)</f>
        <v>66.520301784121074</v>
      </c>
      <c r="AQ71" s="13"/>
    </row>
    <row r="72" spans="1:52">
      <c r="A72" s="450"/>
      <c r="B72" s="222" t="s">
        <v>108</v>
      </c>
      <c r="C72" s="171">
        <f>COUNT(C30:C43)</f>
        <v>14</v>
      </c>
      <c r="D72" s="14">
        <f>COUNT(D30:D43)</f>
        <v>14</v>
      </c>
      <c r="E72" s="14">
        <f>COUNT(E30:E43)</f>
        <v>14</v>
      </c>
      <c r="F72" s="14">
        <f>COUNT(F30:F43)</f>
        <v>14</v>
      </c>
      <c r="G72" s="15">
        <f>COUNT(G30:G43)</f>
        <v>14</v>
      </c>
      <c r="H72" s="14"/>
      <c r="I72" s="25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220">
        <f>COUNT(T30:T43)</f>
        <v>14</v>
      </c>
      <c r="U72" s="13">
        <f>COUNT(U30:U43)</f>
        <v>14</v>
      </c>
      <c r="V72" s="13">
        <f>COUNT(V30:V43)</f>
        <v>14</v>
      </c>
      <c r="W72" s="13">
        <f>COUNT(W30:W43)</f>
        <v>14</v>
      </c>
      <c r="X72" s="28">
        <f>COUNT(X30:X43)</f>
        <v>14</v>
      </c>
      <c r="AK72" s="171">
        <f>COUNT(AK30:AK43)</f>
        <v>14</v>
      </c>
      <c r="AL72" s="14">
        <f>COUNT(AL30:AL43)</f>
        <v>14</v>
      </c>
      <c r="AM72" s="14">
        <f>COUNT(AM30:AM43)</f>
        <v>14</v>
      </c>
      <c r="AN72" s="14">
        <f>COUNT(AN30:AN43)</f>
        <v>14</v>
      </c>
      <c r="AO72" s="15">
        <f>COUNT(AO30:AO43)</f>
        <v>14</v>
      </c>
      <c r="AQ72" s="13"/>
    </row>
    <row r="73" spans="1:52">
      <c r="A73" s="450"/>
      <c r="B73" s="222" t="s">
        <v>171</v>
      </c>
      <c r="C73" s="171">
        <f>SKEW(C30:C43)</f>
        <v>0.36753164298199353</v>
      </c>
      <c r="D73" s="14">
        <f>SKEW(D30:D43)</f>
        <v>-4.3097373841169566E-2</v>
      </c>
      <c r="E73" s="14">
        <f>SKEW(E30:E43)</f>
        <v>-0.51079221247034645</v>
      </c>
      <c r="F73" s="14">
        <f>SKEW(F30:F43)</f>
        <v>0.59248914534881503</v>
      </c>
      <c r="G73" s="15">
        <f>SKEW(G30:G43)</f>
        <v>0.43020681852850939</v>
      </c>
      <c r="H73" s="14"/>
      <c r="I73" s="25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220">
        <f>SKEW(T30:T43)</f>
        <v>-0.40332379998278922</v>
      </c>
      <c r="U73" s="13">
        <f>SKEW(U30:U43)</f>
        <v>-0.5235568427979681</v>
      </c>
      <c r="V73" s="13">
        <f>SKEW(V30:V43)</f>
        <v>7.5851895034462852E-2</v>
      </c>
      <c r="W73" s="13">
        <f>SKEW(W30:W43)</f>
        <v>-0.79592674281986375</v>
      </c>
      <c r="X73" s="28">
        <f>SKEW(X30:X43)</f>
        <v>0.78366203668389744</v>
      </c>
      <c r="AK73" s="171">
        <f>SKEW(AK30:AK43)</f>
        <v>0.28520539730381356</v>
      </c>
      <c r="AL73" s="14">
        <f>SKEW(AL30:AL43)</f>
        <v>-0.73846111550245697</v>
      </c>
      <c r="AM73" s="14">
        <f>SKEW(AM30:AM43)</f>
        <v>2.3117417299569962</v>
      </c>
      <c r="AN73" s="14">
        <f>SKEW(AN30:AN43)</f>
        <v>0.93261347800367322</v>
      </c>
      <c r="AO73" s="15">
        <f>SKEW(AO30:AO43)</f>
        <v>-0.36228628002669871</v>
      </c>
      <c r="AQ73" s="13"/>
    </row>
    <row r="74" spans="1:52">
      <c r="A74" s="451"/>
      <c r="B74" s="223" t="s">
        <v>172</v>
      </c>
      <c r="C74" s="172">
        <f>KURT(C30:C43)</f>
        <v>-0.92258455372642301</v>
      </c>
      <c r="D74" s="17">
        <f>KURT(D30:D43)</f>
        <v>-0.21533954288095991</v>
      </c>
      <c r="E74" s="17">
        <f>KURT(E30:E43)</f>
        <v>-0.98628951274644594</v>
      </c>
      <c r="F74" s="17">
        <f>KURT(F30:F43)</f>
        <v>-0.13113326290888461</v>
      </c>
      <c r="G74" s="18">
        <f>KURT(G30:G43)</f>
        <v>-0.38592223815885429</v>
      </c>
      <c r="H74" s="14"/>
      <c r="I74" s="25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212">
        <f>KURT(T30:T43)</f>
        <v>8.4850793509900324E-2</v>
      </c>
      <c r="U74" s="16">
        <f>KURT(U30:U43)</f>
        <v>-0.51108791023521949</v>
      </c>
      <c r="V74" s="16">
        <f>KURT(V30:V43)</f>
        <v>1.872816550473722</v>
      </c>
      <c r="W74" s="16">
        <f>KURT(W30:W43)</f>
        <v>0.70146611972516038</v>
      </c>
      <c r="X74" s="174">
        <f>KURT(X30:X43)</f>
        <v>0.54882806010411489</v>
      </c>
      <c r="AK74" s="172">
        <f>KURT(AK30:AK43)</f>
        <v>2.2964602304091031E-2</v>
      </c>
      <c r="AL74" s="17">
        <f>KURT(AL30:AL43)</f>
        <v>0.41006487326452667</v>
      </c>
      <c r="AM74" s="17">
        <f>KURT(AM30:AM43)</f>
        <v>4.9899746570625174</v>
      </c>
      <c r="AN74" s="17">
        <f>KURT(AN30:AN43)</f>
        <v>0.40405333594940185</v>
      </c>
      <c r="AO74" s="18">
        <f>KURT(AO30:AO43)</f>
        <v>0.18709508435175071</v>
      </c>
      <c r="AQ74" s="13"/>
    </row>
    <row r="75" spans="1:52" s="199" customFormat="1">
      <c r="A75" s="14"/>
      <c r="B75" s="183"/>
      <c r="C75" s="14"/>
      <c r="D75" s="14"/>
      <c r="E75" s="14"/>
      <c r="F75" s="14"/>
      <c r="G75" s="14"/>
      <c r="H75" s="14"/>
      <c r="I75" s="25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14"/>
      <c r="AL75" s="14"/>
      <c r="AM75" s="14"/>
      <c r="AN75" s="14"/>
      <c r="AO75" s="14"/>
      <c r="AP75" s="14"/>
      <c r="AQ75" s="13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52" s="199" customFormat="1">
      <c r="A76" s="14"/>
      <c r="B76" s="183"/>
      <c r="C76" s="396" t="s">
        <v>232</v>
      </c>
      <c r="D76" s="14"/>
      <c r="E76" s="14"/>
      <c r="F76" s="14"/>
      <c r="G76" s="14"/>
      <c r="H76" s="37">
        <v>1</v>
      </c>
      <c r="I76" s="37">
        <v>2</v>
      </c>
      <c r="J76" s="37">
        <v>3</v>
      </c>
      <c r="K76" s="37">
        <v>4</v>
      </c>
      <c r="L76" s="37">
        <v>5</v>
      </c>
      <c r="M76" s="14"/>
      <c r="N76" s="207">
        <v>1</v>
      </c>
      <c r="O76" s="37">
        <v>2</v>
      </c>
      <c r="P76" s="37">
        <v>3</v>
      </c>
      <c r="Q76" s="37">
        <v>4</v>
      </c>
      <c r="R76" s="206">
        <v>5</v>
      </c>
      <c r="S76" s="14"/>
      <c r="T76" s="13"/>
      <c r="U76" s="13"/>
      <c r="V76" s="13"/>
      <c r="W76" s="13"/>
      <c r="X76" s="13"/>
      <c r="Y76" s="230">
        <v>1</v>
      </c>
      <c r="Z76" s="230">
        <v>2</v>
      </c>
      <c r="AA76" s="230">
        <v>3</v>
      </c>
      <c r="AB76" s="230">
        <v>4</v>
      </c>
      <c r="AC76" s="230">
        <v>5</v>
      </c>
      <c r="AD76" s="230"/>
      <c r="AE76" s="230">
        <v>1</v>
      </c>
      <c r="AF76" s="230">
        <v>2</v>
      </c>
      <c r="AG76" s="230">
        <v>3</v>
      </c>
      <c r="AH76" s="210">
        <v>4</v>
      </c>
      <c r="AI76" s="230">
        <v>5</v>
      </c>
      <c r="AJ76" s="14"/>
      <c r="AK76" s="14"/>
      <c r="AL76" s="14"/>
      <c r="AM76" s="14"/>
      <c r="AN76" s="14"/>
      <c r="AO76" s="14"/>
      <c r="AP76" s="14"/>
      <c r="AQ76" s="13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52">
      <c r="B77" s="205"/>
      <c r="C77" s="41" t="s">
        <v>12</v>
      </c>
      <c r="D77" s="34" t="s">
        <v>13</v>
      </c>
      <c r="E77" s="34" t="s">
        <v>14</v>
      </c>
      <c r="F77" s="34" t="s">
        <v>15</v>
      </c>
      <c r="G77" s="35" t="s">
        <v>16</v>
      </c>
      <c r="H77" s="430" t="s">
        <v>178</v>
      </c>
      <c r="I77" s="431"/>
      <c r="J77" s="431"/>
      <c r="K77" s="431"/>
      <c r="L77" s="432"/>
      <c r="M77" s="226" t="s">
        <v>179</v>
      </c>
      <c r="N77" s="433" t="s">
        <v>180</v>
      </c>
      <c r="O77" s="434"/>
      <c r="P77" s="434"/>
      <c r="Q77" s="434"/>
      <c r="R77" s="435"/>
      <c r="S77" s="190"/>
      <c r="T77" s="139" t="s">
        <v>155</v>
      </c>
      <c r="U77" s="24" t="s">
        <v>156</v>
      </c>
      <c r="V77" s="24" t="s">
        <v>157</v>
      </c>
      <c r="W77" s="24" t="s">
        <v>158</v>
      </c>
      <c r="X77" s="140" t="s">
        <v>159</v>
      </c>
      <c r="Y77" s="440" t="s">
        <v>178</v>
      </c>
      <c r="Z77" s="441"/>
      <c r="AA77" s="441"/>
      <c r="AB77" s="441"/>
      <c r="AC77" s="442"/>
      <c r="AD77" s="228" t="s">
        <v>179</v>
      </c>
      <c r="AE77" s="443" t="s">
        <v>180</v>
      </c>
      <c r="AF77" s="444"/>
      <c r="AG77" s="444"/>
      <c r="AH77" s="444"/>
      <c r="AI77" s="445"/>
      <c r="AL77" s="449" t="s">
        <v>186</v>
      </c>
      <c r="AM77" s="452"/>
      <c r="AN77" s="453"/>
      <c r="AQ77" s="405" t="s">
        <v>188</v>
      </c>
      <c r="AR77" s="252"/>
      <c r="AS77" s="252"/>
      <c r="AT77" s="449" t="s">
        <v>187</v>
      </c>
      <c r="AU77" s="452"/>
      <c r="AV77" s="453"/>
    </row>
    <row r="78" spans="1:52">
      <c r="B78" s="205"/>
      <c r="C78" s="170">
        <v>50</v>
      </c>
      <c r="D78" s="10">
        <v>12</v>
      </c>
      <c r="E78" s="10">
        <v>9</v>
      </c>
      <c r="F78" s="10">
        <v>24</v>
      </c>
      <c r="G78" s="11">
        <v>41</v>
      </c>
      <c r="H78" s="170">
        <f>C88-C78</f>
        <v>23</v>
      </c>
      <c r="I78" s="192">
        <f t="shared" ref="I78:L78" si="7">D88-D78</f>
        <v>28</v>
      </c>
      <c r="J78" s="10">
        <f t="shared" si="7"/>
        <v>32</v>
      </c>
      <c r="K78" s="10">
        <f t="shared" si="7"/>
        <v>24</v>
      </c>
      <c r="L78" s="11">
        <f t="shared" si="7"/>
        <v>29</v>
      </c>
      <c r="M78" s="177">
        <v>0.56010000000000004</v>
      </c>
      <c r="N78" s="232">
        <f>H78*$M78</f>
        <v>12.882300000000001</v>
      </c>
      <c r="O78" s="10">
        <f t="shared" ref="O78:R82" si="8">I78*$M78</f>
        <v>15.6828</v>
      </c>
      <c r="P78" s="10">
        <f t="shared" si="8"/>
        <v>17.923200000000001</v>
      </c>
      <c r="Q78" s="10">
        <f t="shared" si="8"/>
        <v>13.442400000000001</v>
      </c>
      <c r="R78" s="397">
        <f t="shared" si="8"/>
        <v>16.242900000000002</v>
      </c>
      <c r="S78" s="14"/>
      <c r="T78" s="209">
        <v>0</v>
      </c>
      <c r="U78" s="9">
        <v>1.3</v>
      </c>
      <c r="V78" s="9">
        <v>3.8</v>
      </c>
      <c r="W78" s="9">
        <v>5.2</v>
      </c>
      <c r="X78" s="173">
        <v>4.3</v>
      </c>
      <c r="Y78" s="209">
        <f>T88-T78</f>
        <v>7.1</v>
      </c>
      <c r="Z78" s="9">
        <f t="shared" ref="Z78" si="9">U88-U78</f>
        <v>8.2999999999999989</v>
      </c>
      <c r="AA78" s="9">
        <f t="shared" ref="AA78" si="10">V88-V78</f>
        <v>5.8</v>
      </c>
      <c r="AB78" s="9">
        <f t="shared" ref="AB78" si="11">W88-W78</f>
        <v>2.3999999999999995</v>
      </c>
      <c r="AC78" s="173">
        <f t="shared" ref="AC78" si="12">X88-X78</f>
        <v>5.7</v>
      </c>
      <c r="AD78" s="218">
        <v>0.56010000000000004</v>
      </c>
      <c r="AE78" s="237">
        <f>Y78*$M78</f>
        <v>3.9767100000000002</v>
      </c>
      <c r="AF78" s="238">
        <f t="shared" ref="AF78:AF82" si="13">Z78*$M78</f>
        <v>4.6488299999999994</v>
      </c>
      <c r="AG78" s="238">
        <f t="shared" ref="AG78:AG82" si="14">AA78*$M78</f>
        <v>3.24858</v>
      </c>
      <c r="AH78" s="239">
        <f t="shared" ref="AH78:AH82" si="15">AB78*$M78</f>
        <v>1.3442399999999999</v>
      </c>
      <c r="AI78" s="240">
        <f t="shared" ref="AI78:AI81" si="16">AC78*$M78</f>
        <v>3.1925700000000004</v>
      </c>
      <c r="AL78" s="450"/>
      <c r="AM78" s="454"/>
      <c r="AN78" s="455"/>
      <c r="AQ78" s="406"/>
      <c r="AR78" s="252"/>
      <c r="AS78" s="252"/>
      <c r="AT78" s="450"/>
      <c r="AU78" s="454"/>
      <c r="AV78" s="455"/>
    </row>
    <row r="79" spans="1:52">
      <c r="B79" s="205"/>
      <c r="C79" s="171">
        <v>50</v>
      </c>
      <c r="D79" s="14">
        <v>15</v>
      </c>
      <c r="E79" s="14">
        <v>19</v>
      </c>
      <c r="F79" s="14">
        <v>28</v>
      </c>
      <c r="G79" s="15">
        <v>45</v>
      </c>
      <c r="H79" s="171">
        <f>C87-C79</f>
        <v>21</v>
      </c>
      <c r="I79" s="184">
        <f t="shared" ref="I79:L79" si="17">D87-D79</f>
        <v>20</v>
      </c>
      <c r="J79" s="14">
        <f t="shared" si="17"/>
        <v>21</v>
      </c>
      <c r="K79" s="14">
        <f t="shared" si="17"/>
        <v>16</v>
      </c>
      <c r="L79" s="15">
        <f t="shared" si="17"/>
        <v>22</v>
      </c>
      <c r="M79" s="178">
        <v>0.33150000000000002</v>
      </c>
      <c r="N79" s="234">
        <f t="shared" ref="N79:N82" si="18">H79*$M79</f>
        <v>6.9615</v>
      </c>
      <c r="O79" s="14">
        <f t="shared" si="8"/>
        <v>6.6300000000000008</v>
      </c>
      <c r="P79" s="14">
        <f t="shared" si="8"/>
        <v>6.9615</v>
      </c>
      <c r="Q79" s="14">
        <f t="shared" si="8"/>
        <v>5.3040000000000003</v>
      </c>
      <c r="R79" s="398">
        <f t="shared" si="8"/>
        <v>7.2930000000000001</v>
      </c>
      <c r="S79" s="14"/>
      <c r="T79" s="220">
        <v>1</v>
      </c>
      <c r="U79" s="13">
        <v>4.2</v>
      </c>
      <c r="V79" s="13">
        <v>5.8</v>
      </c>
      <c r="W79" s="13">
        <v>5.3</v>
      </c>
      <c r="X79" s="28">
        <v>4.5999999999999996</v>
      </c>
      <c r="Y79" s="220">
        <f>T87-T79</f>
        <v>4.4000000000000004</v>
      </c>
      <c r="Z79" s="13">
        <f t="shared" ref="Z79" si="19">U87-U79</f>
        <v>5.2</v>
      </c>
      <c r="AA79" s="13">
        <f t="shared" ref="AA79" si="20">V87-V79</f>
        <v>3.2</v>
      </c>
      <c r="AB79" s="13">
        <f t="shared" ref="AB79" si="21">W87-W79</f>
        <v>2.1000000000000005</v>
      </c>
      <c r="AC79" s="28">
        <f t="shared" ref="AC79" si="22">X87-X79</f>
        <v>3.4000000000000004</v>
      </c>
      <c r="AD79" s="219">
        <v>0.33150000000000002</v>
      </c>
      <c r="AE79" s="241">
        <f t="shared" ref="AE79:AE82" si="23">Y79*$M79</f>
        <v>1.4586000000000001</v>
      </c>
      <c r="AF79" s="213">
        <f t="shared" si="13"/>
        <v>1.7238000000000002</v>
      </c>
      <c r="AG79" s="213">
        <f t="shared" si="14"/>
        <v>1.0608000000000002</v>
      </c>
      <c r="AH79" s="210">
        <f t="shared" si="15"/>
        <v>0.69615000000000016</v>
      </c>
      <c r="AI79" s="242">
        <f t="shared" si="16"/>
        <v>1.1271000000000002</v>
      </c>
      <c r="AL79" s="450"/>
      <c r="AM79" s="454"/>
      <c r="AN79" s="455"/>
      <c r="AQ79" s="406"/>
      <c r="AR79" s="252"/>
      <c r="AS79" s="252"/>
      <c r="AT79" s="450"/>
      <c r="AU79" s="454"/>
      <c r="AV79" s="455"/>
    </row>
    <row r="80" spans="1:52">
      <c r="B80" s="205"/>
      <c r="C80" s="171">
        <v>54</v>
      </c>
      <c r="D80" s="14">
        <v>18</v>
      </c>
      <c r="E80" s="14">
        <v>21</v>
      </c>
      <c r="F80" s="14">
        <v>28</v>
      </c>
      <c r="G80" s="15">
        <v>58</v>
      </c>
      <c r="H80" s="171">
        <f>C86-C80</f>
        <v>10</v>
      </c>
      <c r="I80" s="184">
        <f t="shared" ref="I80:L80" si="24">D86-D80</f>
        <v>16</v>
      </c>
      <c r="J80" s="14">
        <f t="shared" si="24"/>
        <v>13</v>
      </c>
      <c r="K80" s="14">
        <f t="shared" si="24"/>
        <v>15</v>
      </c>
      <c r="L80" s="15">
        <f t="shared" si="24"/>
        <v>8</v>
      </c>
      <c r="M80" s="178">
        <v>0.22600000000000001</v>
      </c>
      <c r="N80" s="234">
        <f t="shared" si="18"/>
        <v>2.2600000000000002</v>
      </c>
      <c r="O80" s="14">
        <f t="shared" si="8"/>
        <v>3.6160000000000001</v>
      </c>
      <c r="P80" s="14">
        <f t="shared" si="8"/>
        <v>2.9380000000000002</v>
      </c>
      <c r="Q80" s="14">
        <f t="shared" si="8"/>
        <v>3.39</v>
      </c>
      <c r="R80" s="398">
        <f t="shared" si="8"/>
        <v>1.8080000000000001</v>
      </c>
      <c r="S80" s="14"/>
      <c r="T80" s="220">
        <v>1.1000000000000001</v>
      </c>
      <c r="U80" s="13">
        <v>4.5999999999999996</v>
      </c>
      <c r="V80" s="13">
        <v>6.5</v>
      </c>
      <c r="W80" s="13">
        <v>5.6</v>
      </c>
      <c r="X80" s="28">
        <v>4.5999999999999996</v>
      </c>
      <c r="Y80" s="220">
        <f>T86-T80</f>
        <v>4.1999999999999993</v>
      </c>
      <c r="Z80" s="13">
        <f t="shared" ref="Z80" si="25">U86-U80</f>
        <v>4.4000000000000004</v>
      </c>
      <c r="AA80" s="13">
        <f t="shared" ref="AA80" si="26">V86-V80</f>
        <v>2</v>
      </c>
      <c r="AB80" s="13">
        <f t="shared" ref="AB80" si="27">W86-W80</f>
        <v>1.8000000000000007</v>
      </c>
      <c r="AC80" s="28">
        <f t="shared" ref="AC80" si="28">X86-X80</f>
        <v>2.8000000000000007</v>
      </c>
      <c r="AD80" s="219">
        <v>0.22600000000000001</v>
      </c>
      <c r="AE80" s="241">
        <f t="shared" si="23"/>
        <v>0.94919999999999982</v>
      </c>
      <c r="AF80" s="213">
        <f t="shared" si="13"/>
        <v>0.99440000000000006</v>
      </c>
      <c r="AG80" s="213">
        <f t="shared" si="14"/>
        <v>0.45200000000000001</v>
      </c>
      <c r="AH80" s="210">
        <f t="shared" si="15"/>
        <v>0.40680000000000016</v>
      </c>
      <c r="AI80" s="242">
        <f t="shared" si="16"/>
        <v>0.63280000000000014</v>
      </c>
      <c r="AL80" s="450"/>
      <c r="AM80" s="454"/>
      <c r="AN80" s="455"/>
      <c r="AQ80" s="406"/>
      <c r="AR80" s="252"/>
      <c r="AS80" s="252"/>
      <c r="AT80" s="450"/>
      <c r="AU80" s="454"/>
      <c r="AV80" s="455"/>
    </row>
    <row r="81" spans="2:48" s="1" customFormat="1">
      <c r="B81" s="205"/>
      <c r="C81" s="171">
        <v>55</v>
      </c>
      <c r="D81" s="14">
        <v>21</v>
      </c>
      <c r="E81" s="14">
        <v>23</v>
      </c>
      <c r="F81" s="14">
        <v>33</v>
      </c>
      <c r="G81" s="15">
        <v>59</v>
      </c>
      <c r="H81" s="171">
        <f>C84-C81</f>
        <v>2</v>
      </c>
      <c r="I81" s="184">
        <f t="shared" ref="I81:L81" si="29">D84-D81</f>
        <v>8</v>
      </c>
      <c r="J81" s="14">
        <f t="shared" si="29"/>
        <v>4</v>
      </c>
      <c r="K81" s="14">
        <f t="shared" si="29"/>
        <v>7</v>
      </c>
      <c r="L81" s="15">
        <f t="shared" si="29"/>
        <v>4</v>
      </c>
      <c r="M81" s="178">
        <v>0.1429</v>
      </c>
      <c r="N81" s="234">
        <f t="shared" si="18"/>
        <v>0.2858</v>
      </c>
      <c r="O81" s="14">
        <f t="shared" si="8"/>
        <v>1.1432</v>
      </c>
      <c r="P81" s="14">
        <f t="shared" si="8"/>
        <v>0.5716</v>
      </c>
      <c r="Q81" s="14">
        <f t="shared" si="8"/>
        <v>1.0003</v>
      </c>
      <c r="R81" s="398">
        <f t="shared" si="8"/>
        <v>0.5716</v>
      </c>
      <c r="S81" s="14"/>
      <c r="T81" s="220">
        <v>1.9</v>
      </c>
      <c r="U81" s="13">
        <v>6.1</v>
      </c>
      <c r="V81" s="13">
        <v>7.8</v>
      </c>
      <c r="W81" s="13">
        <v>5.6</v>
      </c>
      <c r="X81" s="28">
        <v>4.9000000000000004</v>
      </c>
      <c r="Y81" s="220">
        <f>T84-T81</f>
        <v>2.6999999999999997</v>
      </c>
      <c r="Z81" s="13">
        <f t="shared" ref="Z81" si="30">U84-U81</f>
        <v>1.5</v>
      </c>
      <c r="AA81" s="13">
        <f t="shared" ref="AA81" si="31">V84-V81</f>
        <v>0.39999999999999947</v>
      </c>
      <c r="AB81" s="13">
        <f t="shared" ref="AB81" si="32">W84-W81</f>
        <v>0.40000000000000036</v>
      </c>
      <c r="AC81" s="28">
        <f t="shared" ref="AC81" si="33">X84-X81</f>
        <v>1.5999999999999996</v>
      </c>
      <c r="AD81" s="219">
        <v>0.1429</v>
      </c>
      <c r="AE81" s="241">
        <f t="shared" si="23"/>
        <v>0.38582999999999995</v>
      </c>
      <c r="AF81" s="213">
        <f t="shared" si="13"/>
        <v>0.21434999999999998</v>
      </c>
      <c r="AG81" s="213">
        <f t="shared" si="14"/>
        <v>5.7159999999999926E-2</v>
      </c>
      <c r="AH81" s="210">
        <f t="shared" si="15"/>
        <v>5.7160000000000051E-2</v>
      </c>
      <c r="AI81" s="242">
        <f t="shared" si="16"/>
        <v>0.22863999999999995</v>
      </c>
      <c r="AJ81" s="14"/>
      <c r="AK81" s="12"/>
      <c r="AL81" s="450"/>
      <c r="AM81" s="454"/>
      <c r="AN81" s="455"/>
      <c r="AO81" s="12"/>
      <c r="AP81" s="14"/>
      <c r="AQ81" s="406"/>
      <c r="AR81" s="252"/>
      <c r="AS81" s="252"/>
      <c r="AT81" s="450"/>
      <c r="AU81" s="454"/>
      <c r="AV81" s="455"/>
    </row>
    <row r="82" spans="2:48" s="1" customFormat="1">
      <c r="B82" s="205"/>
      <c r="C82" s="171">
        <v>55</v>
      </c>
      <c r="D82" s="14">
        <v>28</v>
      </c>
      <c r="E82" s="14">
        <v>25</v>
      </c>
      <c r="F82" s="14">
        <v>37</v>
      </c>
      <c r="G82" s="15">
        <v>59</v>
      </c>
      <c r="H82" s="172">
        <f>C84-C83</f>
        <v>2</v>
      </c>
      <c r="I82" s="217">
        <f t="shared" ref="I82:L82" si="34">D84-D83</f>
        <v>1</v>
      </c>
      <c r="J82" s="17">
        <f t="shared" si="34"/>
        <v>2</v>
      </c>
      <c r="K82" s="17">
        <f t="shared" si="34"/>
        <v>3</v>
      </c>
      <c r="L82" s="18">
        <f t="shared" si="34"/>
        <v>1</v>
      </c>
      <c r="M82" s="179">
        <v>6.9500000000000006E-2</v>
      </c>
      <c r="N82" s="208">
        <f t="shared" si="18"/>
        <v>0.13900000000000001</v>
      </c>
      <c r="O82" s="17">
        <f t="shared" si="8"/>
        <v>6.9500000000000006E-2</v>
      </c>
      <c r="P82" s="17">
        <f t="shared" si="8"/>
        <v>0.13900000000000001</v>
      </c>
      <c r="Q82" s="17">
        <f t="shared" si="8"/>
        <v>0.20850000000000002</v>
      </c>
      <c r="R82" s="399">
        <f>L82*$M82</f>
        <v>6.9500000000000006E-2</v>
      </c>
      <c r="S82" s="14"/>
      <c r="T82" s="220">
        <v>2.2000000000000002</v>
      </c>
      <c r="U82" s="13">
        <v>6.5</v>
      </c>
      <c r="V82" s="13">
        <v>8.1999999999999993</v>
      </c>
      <c r="W82" s="13">
        <v>5.7</v>
      </c>
      <c r="X82" s="28">
        <v>6.1</v>
      </c>
      <c r="Y82" s="212">
        <f>T84-T83</f>
        <v>2.0999999999999996</v>
      </c>
      <c r="Z82" s="16">
        <f t="shared" ref="Z82" si="35">U84-U83</f>
        <v>0.79999999999999982</v>
      </c>
      <c r="AA82" s="16">
        <f t="shared" ref="AA82" si="36">V84-V83</f>
        <v>0</v>
      </c>
      <c r="AB82" s="16">
        <f t="shared" ref="AB82" si="37">W84-W83</f>
        <v>0.20000000000000018</v>
      </c>
      <c r="AC82" s="174">
        <f t="shared" ref="AC82" si="38">X84-X83</f>
        <v>9.9999999999999645E-2</v>
      </c>
      <c r="AD82" s="224">
        <v>6.9500000000000006E-2</v>
      </c>
      <c r="AE82" s="215">
        <f t="shared" si="23"/>
        <v>0.14595</v>
      </c>
      <c r="AF82" s="243">
        <f t="shared" si="13"/>
        <v>5.559999999999999E-2</v>
      </c>
      <c r="AG82" s="243">
        <f t="shared" si="14"/>
        <v>0</v>
      </c>
      <c r="AH82" s="244">
        <f t="shared" si="15"/>
        <v>1.3900000000000013E-2</v>
      </c>
      <c r="AI82" s="245">
        <f>AC82*$M82</f>
        <v>6.9499999999999762E-3</v>
      </c>
      <c r="AJ82" s="14"/>
      <c r="AK82" s="12"/>
      <c r="AL82" s="450"/>
      <c r="AM82" s="454"/>
      <c r="AN82" s="455"/>
      <c r="AO82" s="12"/>
      <c r="AP82" s="14"/>
      <c r="AQ82" s="406"/>
      <c r="AR82" s="252"/>
      <c r="AS82" s="252"/>
      <c r="AT82" s="450"/>
      <c r="AU82" s="454"/>
      <c r="AV82" s="455"/>
    </row>
    <row r="83" spans="2:48" s="1" customFormat="1">
      <c r="B83" s="205"/>
      <c r="C83" s="171">
        <v>55</v>
      </c>
      <c r="D83" s="14">
        <v>28</v>
      </c>
      <c r="E83" s="14">
        <v>25</v>
      </c>
      <c r="F83" s="14">
        <v>37</v>
      </c>
      <c r="G83" s="15">
        <v>62</v>
      </c>
      <c r="H83" s="14"/>
      <c r="I83" s="184"/>
      <c r="J83" s="14"/>
      <c r="K83" s="14"/>
      <c r="L83" s="14"/>
      <c r="M83" s="14"/>
      <c r="N83" s="207"/>
      <c r="O83" s="14"/>
      <c r="P83" s="14"/>
      <c r="Q83" s="14"/>
      <c r="R83" s="207"/>
      <c r="S83" s="14"/>
      <c r="T83" s="220">
        <v>2.5</v>
      </c>
      <c r="U83" s="13">
        <v>6.8</v>
      </c>
      <c r="V83" s="13">
        <v>8.1999999999999993</v>
      </c>
      <c r="W83" s="13">
        <v>5.8</v>
      </c>
      <c r="X83" s="28">
        <v>6.4</v>
      </c>
      <c r="Y83" s="13"/>
      <c r="Z83" s="13"/>
      <c r="AA83" s="13"/>
      <c r="AB83" s="13"/>
      <c r="AC83" s="13"/>
      <c r="AD83" s="13"/>
      <c r="AE83" s="213"/>
      <c r="AF83" s="213"/>
      <c r="AG83" s="213"/>
      <c r="AH83" s="210"/>
      <c r="AI83" s="213"/>
      <c r="AJ83" s="14"/>
      <c r="AK83" s="12"/>
      <c r="AL83" s="450"/>
      <c r="AM83" s="454"/>
      <c r="AN83" s="455"/>
      <c r="AO83" s="12"/>
      <c r="AP83" s="14"/>
      <c r="AQ83" s="406"/>
      <c r="AR83" s="252"/>
      <c r="AS83" s="252"/>
      <c r="AT83" s="450"/>
      <c r="AU83" s="454"/>
      <c r="AV83" s="455"/>
    </row>
    <row r="84" spans="2:48" s="1" customFormat="1">
      <c r="B84" s="205"/>
      <c r="C84" s="171">
        <v>57</v>
      </c>
      <c r="D84" s="14">
        <v>29</v>
      </c>
      <c r="E84" s="14">
        <v>27</v>
      </c>
      <c r="F84" s="14">
        <v>40</v>
      </c>
      <c r="G84" s="15">
        <v>63</v>
      </c>
      <c r="H84" s="14"/>
      <c r="I84" s="184"/>
      <c r="J84" s="14"/>
      <c r="K84" s="14"/>
      <c r="L84" s="12"/>
      <c r="M84" s="196" t="s">
        <v>182</v>
      </c>
      <c r="N84" s="191">
        <f>SUM(N78:N82)</f>
        <v>22.528600000000001</v>
      </c>
      <c r="O84" s="196">
        <f t="shared" ref="O84:R84" si="39">SUM(O78:O82)</f>
        <v>27.141500000000004</v>
      </c>
      <c r="P84" s="196">
        <f t="shared" si="39"/>
        <v>28.533300000000001</v>
      </c>
      <c r="Q84" s="196">
        <f t="shared" si="39"/>
        <v>23.345200000000002</v>
      </c>
      <c r="R84" s="191">
        <f t="shared" si="39"/>
        <v>25.985000000000003</v>
      </c>
      <c r="S84" s="14"/>
      <c r="T84" s="220">
        <v>4.5999999999999996</v>
      </c>
      <c r="U84" s="13">
        <v>7.6</v>
      </c>
      <c r="V84" s="13">
        <v>8.1999999999999993</v>
      </c>
      <c r="W84" s="13">
        <v>6</v>
      </c>
      <c r="X84" s="28">
        <v>6.5</v>
      </c>
      <c r="Y84" s="13"/>
      <c r="Z84" s="13"/>
      <c r="AA84" s="13"/>
      <c r="AB84" s="13"/>
      <c r="AC84" s="19"/>
      <c r="AD84" s="204" t="s">
        <v>182</v>
      </c>
      <c r="AE84" s="214">
        <f>SUM(AE78:AE82)</f>
        <v>6.9162900000000009</v>
      </c>
      <c r="AF84" s="214">
        <f t="shared" ref="AF84:AI84" si="40">SUM(AF78:AF82)</f>
        <v>7.6369799999999985</v>
      </c>
      <c r="AG84" s="214">
        <f t="shared" si="40"/>
        <v>4.8185399999999996</v>
      </c>
      <c r="AH84" s="211">
        <f t="shared" si="40"/>
        <v>2.5182500000000001</v>
      </c>
      <c r="AI84" s="214">
        <f t="shared" si="40"/>
        <v>5.1880600000000001</v>
      </c>
      <c r="AJ84" s="14"/>
      <c r="AK84" s="12"/>
      <c r="AL84" s="451"/>
      <c r="AM84" s="456"/>
      <c r="AN84" s="457"/>
      <c r="AO84" s="12"/>
      <c r="AP84" s="14"/>
      <c r="AQ84" s="407"/>
      <c r="AR84" s="252"/>
      <c r="AS84" s="252"/>
      <c r="AT84" s="451"/>
      <c r="AU84" s="456"/>
      <c r="AV84" s="457"/>
    </row>
    <row r="85" spans="2:48" s="1" customFormat="1">
      <c r="B85" s="205"/>
      <c r="C85" s="171">
        <v>60</v>
      </c>
      <c r="D85" s="14">
        <v>34</v>
      </c>
      <c r="E85" s="14">
        <v>30</v>
      </c>
      <c r="F85" s="14">
        <v>40</v>
      </c>
      <c r="G85" s="15">
        <v>64</v>
      </c>
      <c r="H85" s="14"/>
      <c r="I85" s="184"/>
      <c r="J85" s="14"/>
      <c r="K85" s="14"/>
      <c r="L85" s="12"/>
      <c r="M85" s="196" t="s">
        <v>183</v>
      </c>
      <c r="N85" s="208">
        <f>ROUND(N84^2/C51,3)</f>
        <v>0.84199999999999997</v>
      </c>
      <c r="O85" s="172">
        <f t="shared" ref="O85:R85" si="41">ROUND(O84^2/D51,3)</f>
        <v>0.89600000000000002</v>
      </c>
      <c r="P85" s="172">
        <f t="shared" si="41"/>
        <v>0.93600000000000005</v>
      </c>
      <c r="Q85" s="172">
        <f t="shared" si="41"/>
        <v>0.95799999999999996</v>
      </c>
      <c r="R85" s="191">
        <f t="shared" si="41"/>
        <v>0.84099999999999997</v>
      </c>
      <c r="S85" s="14"/>
      <c r="T85" s="220">
        <v>4.9000000000000004</v>
      </c>
      <c r="U85" s="13">
        <v>7.8</v>
      </c>
      <c r="V85" s="13">
        <v>8.1999999999999993</v>
      </c>
      <c r="W85" s="13">
        <v>7</v>
      </c>
      <c r="X85" s="28">
        <v>7</v>
      </c>
      <c r="Y85" s="13"/>
      <c r="Z85" s="13"/>
      <c r="AA85" s="13"/>
      <c r="AB85" s="13"/>
      <c r="AC85" s="19"/>
      <c r="AD85" s="204" t="s">
        <v>183</v>
      </c>
      <c r="AE85" s="215">
        <f t="array" ref="AE85">ROUND(AE84^2/T51,3)</f>
        <v>0.92100000000000004</v>
      </c>
      <c r="AF85" s="215">
        <f t="shared" ref="AF85" si="42">ROUND(AF84^2/U51,3)</f>
        <v>0.92300000000000004</v>
      </c>
      <c r="AG85" s="215">
        <f t="shared" ref="AG85" si="43">ROUND(AG84^2/V51,3)</f>
        <v>0.85599999999999998</v>
      </c>
      <c r="AH85" s="216">
        <f t="shared" ref="AH85" si="44">ROUND(AH84^2/W51,3)</f>
        <v>0.751</v>
      </c>
      <c r="AI85" s="214">
        <f t="shared" ref="AI85" si="45">ROUND(AI84^2/X51,3)</f>
        <v>0.89500000000000002</v>
      </c>
      <c r="AJ85" s="14"/>
      <c r="AK85" s="12"/>
      <c r="AL85" s="12"/>
      <c r="AM85" s="12"/>
      <c r="AN85" s="12"/>
      <c r="AO85" s="12"/>
      <c r="AP85" s="14"/>
      <c r="AQ85" s="13"/>
      <c r="AR85" s="14"/>
      <c r="AS85" s="14"/>
      <c r="AT85" s="12"/>
      <c r="AU85" s="12"/>
      <c r="AV85" s="12"/>
    </row>
    <row r="86" spans="2:48" s="1" customFormat="1">
      <c r="B86" s="205"/>
      <c r="C86" s="171">
        <v>64</v>
      </c>
      <c r="D86" s="14">
        <v>34</v>
      </c>
      <c r="E86" s="14">
        <v>34</v>
      </c>
      <c r="F86" s="14">
        <v>43</v>
      </c>
      <c r="G86" s="15">
        <v>66</v>
      </c>
      <c r="H86" s="14"/>
      <c r="I86" s="184"/>
      <c r="J86" s="14"/>
      <c r="K86" s="14"/>
      <c r="L86" s="14"/>
      <c r="M86" s="196" t="s">
        <v>184</v>
      </c>
      <c r="N86" s="436">
        <v>0.85</v>
      </c>
      <c r="O86" s="437"/>
      <c r="P86" s="437"/>
      <c r="Q86" s="437"/>
      <c r="R86" s="439"/>
      <c r="S86" s="14"/>
      <c r="T86" s="220">
        <v>5.3</v>
      </c>
      <c r="U86" s="13">
        <v>9</v>
      </c>
      <c r="V86" s="13">
        <v>8.5</v>
      </c>
      <c r="W86" s="13">
        <v>7.4</v>
      </c>
      <c r="X86" s="28">
        <v>7.4</v>
      </c>
      <c r="Y86" s="13"/>
      <c r="Z86" s="13"/>
      <c r="AA86" s="13"/>
      <c r="AB86" s="13"/>
      <c r="AC86" s="13"/>
      <c r="AD86" s="204" t="s">
        <v>184</v>
      </c>
      <c r="AE86" s="446">
        <v>0.85</v>
      </c>
      <c r="AF86" s="447"/>
      <c r="AG86" s="447"/>
      <c r="AH86" s="447"/>
      <c r="AI86" s="448"/>
      <c r="AJ86" s="14"/>
      <c r="AK86" s="12"/>
      <c r="AL86" s="12"/>
      <c r="AM86" s="12"/>
      <c r="AN86" s="12"/>
      <c r="AO86" s="12"/>
      <c r="AP86" s="14"/>
      <c r="AQ86" s="13"/>
      <c r="AR86" s="14"/>
      <c r="AS86" s="14"/>
      <c r="AT86" s="12"/>
      <c r="AU86" s="12"/>
      <c r="AV86" s="12"/>
    </row>
    <row r="87" spans="2:48" s="1" customFormat="1">
      <c r="B87" s="205"/>
      <c r="C87" s="171">
        <v>71</v>
      </c>
      <c r="D87" s="14">
        <v>35</v>
      </c>
      <c r="E87" s="14">
        <v>40</v>
      </c>
      <c r="F87" s="14">
        <v>44</v>
      </c>
      <c r="G87" s="15">
        <v>67</v>
      </c>
      <c r="H87" s="14"/>
      <c r="I87" s="184"/>
      <c r="J87" s="14"/>
      <c r="K87" s="14"/>
      <c r="L87" s="14"/>
      <c r="M87" s="14"/>
      <c r="N87" s="207" t="s">
        <v>185</v>
      </c>
      <c r="O87" s="14"/>
      <c r="P87" s="14"/>
      <c r="Q87" s="14"/>
      <c r="R87" s="207" t="s">
        <v>185</v>
      </c>
      <c r="S87" s="14"/>
      <c r="T87" s="220">
        <v>5.4</v>
      </c>
      <c r="U87" s="13">
        <v>9.4</v>
      </c>
      <c r="V87" s="13">
        <v>9</v>
      </c>
      <c r="W87" s="13">
        <v>7.4</v>
      </c>
      <c r="X87" s="28">
        <v>8</v>
      </c>
      <c r="Y87" s="13"/>
      <c r="Z87" s="13"/>
      <c r="AA87" s="13"/>
      <c r="AB87" s="13"/>
      <c r="AC87" s="13"/>
      <c r="AD87" s="13"/>
      <c r="AE87" s="213"/>
      <c r="AF87" s="213"/>
      <c r="AG87" s="213"/>
      <c r="AH87" s="210" t="s">
        <v>185</v>
      </c>
      <c r="AI87" s="13"/>
      <c r="AJ87" s="14"/>
      <c r="AK87" s="12"/>
      <c r="AL87" s="12"/>
      <c r="AM87" s="12"/>
      <c r="AN87" s="12"/>
      <c r="AO87" s="12"/>
      <c r="AP87" s="14"/>
      <c r="AQ87" s="13"/>
      <c r="AR87" s="14"/>
      <c r="AS87" s="14"/>
      <c r="AT87" s="12"/>
      <c r="AU87" s="12"/>
      <c r="AV87" s="12"/>
    </row>
    <row r="88" spans="2:48" s="1" customFormat="1">
      <c r="B88" s="205"/>
      <c r="C88" s="172">
        <v>73</v>
      </c>
      <c r="D88" s="17">
        <v>40</v>
      </c>
      <c r="E88" s="17">
        <v>41</v>
      </c>
      <c r="F88" s="17">
        <v>48</v>
      </c>
      <c r="G88" s="18">
        <v>70</v>
      </c>
      <c r="H88" s="14"/>
      <c r="I88" s="18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212">
        <v>7.1</v>
      </c>
      <c r="U88" s="16">
        <v>9.6</v>
      </c>
      <c r="V88" s="16">
        <v>9.6</v>
      </c>
      <c r="W88" s="16">
        <v>7.6</v>
      </c>
      <c r="X88" s="174">
        <v>10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12"/>
      <c r="AL88" s="12"/>
      <c r="AM88" s="12"/>
      <c r="AN88" s="12"/>
      <c r="AO88" s="12"/>
      <c r="AP88" s="14"/>
      <c r="AQ88" s="13"/>
      <c r="AR88" s="12"/>
      <c r="AS88" s="12"/>
      <c r="AT88" s="12"/>
      <c r="AU88" s="12"/>
      <c r="AV88" s="12"/>
    </row>
    <row r="89" spans="2:48" s="1" customFormat="1">
      <c r="B89" s="205"/>
      <c r="C89" s="12"/>
      <c r="D89" s="12"/>
      <c r="E89" s="12"/>
      <c r="F89" s="12"/>
      <c r="G89" s="12"/>
      <c r="H89" s="95">
        <v>1</v>
      </c>
      <c r="I89" s="95">
        <v>2</v>
      </c>
      <c r="J89" s="95">
        <v>3</v>
      </c>
      <c r="K89" s="95">
        <v>4</v>
      </c>
      <c r="L89" s="95">
        <v>5</v>
      </c>
      <c r="M89" s="95"/>
      <c r="N89" s="37">
        <v>1</v>
      </c>
      <c r="O89" s="37">
        <v>2</v>
      </c>
      <c r="P89" s="37">
        <v>3</v>
      </c>
      <c r="Q89" s="37">
        <v>4</v>
      </c>
      <c r="R89" s="37">
        <v>5</v>
      </c>
      <c r="S89" s="12"/>
      <c r="T89" s="13"/>
      <c r="U89" s="13"/>
      <c r="V89" s="13"/>
      <c r="W89" s="13"/>
      <c r="X89" s="13"/>
      <c r="Y89" s="231">
        <v>1</v>
      </c>
      <c r="Z89" s="231">
        <v>2</v>
      </c>
      <c r="AA89" s="231">
        <v>3</v>
      </c>
      <c r="AB89" s="231">
        <v>4</v>
      </c>
      <c r="AC89" s="231">
        <v>5</v>
      </c>
      <c r="AD89" s="231"/>
      <c r="AE89" s="230">
        <v>1</v>
      </c>
      <c r="AF89" s="230">
        <v>2</v>
      </c>
      <c r="AG89" s="230">
        <v>3</v>
      </c>
      <c r="AH89" s="230">
        <v>4</v>
      </c>
      <c r="AI89" s="230">
        <v>5</v>
      </c>
      <c r="AJ89" s="14"/>
      <c r="AK89" s="12"/>
      <c r="AL89" s="12"/>
      <c r="AM89" s="12"/>
      <c r="AN89" s="12"/>
      <c r="AO89" s="12"/>
      <c r="AP89" s="14"/>
      <c r="AQ89" s="13"/>
      <c r="AR89" s="12"/>
      <c r="AS89" s="12"/>
      <c r="AT89" s="12"/>
      <c r="AU89" s="12"/>
      <c r="AV89" s="12"/>
    </row>
    <row r="90" spans="2:48" s="1" customFormat="1">
      <c r="B90" s="205"/>
      <c r="C90" s="41" t="s">
        <v>28</v>
      </c>
      <c r="D90" s="34" t="s">
        <v>29</v>
      </c>
      <c r="E90" s="34" t="s">
        <v>30</v>
      </c>
      <c r="F90" s="34" t="s">
        <v>31</v>
      </c>
      <c r="G90" s="35" t="s">
        <v>32</v>
      </c>
      <c r="H90" s="430" t="s">
        <v>178</v>
      </c>
      <c r="I90" s="431"/>
      <c r="J90" s="431"/>
      <c r="K90" s="431"/>
      <c r="L90" s="432"/>
      <c r="M90" s="227" t="s">
        <v>179</v>
      </c>
      <c r="N90" s="430" t="s">
        <v>180</v>
      </c>
      <c r="O90" s="431"/>
      <c r="P90" s="431"/>
      <c r="Q90" s="431"/>
      <c r="R90" s="432"/>
      <c r="S90" s="190"/>
      <c r="T90" s="139" t="s">
        <v>160</v>
      </c>
      <c r="U90" s="24" t="s">
        <v>161</v>
      </c>
      <c r="V90" s="24" t="s">
        <v>162</v>
      </c>
      <c r="W90" s="24" t="s">
        <v>163</v>
      </c>
      <c r="X90" s="140" t="s">
        <v>164</v>
      </c>
      <c r="Y90" s="440" t="s">
        <v>178</v>
      </c>
      <c r="Z90" s="441"/>
      <c r="AA90" s="441"/>
      <c r="AB90" s="441"/>
      <c r="AC90" s="442"/>
      <c r="AD90" s="229" t="s">
        <v>179</v>
      </c>
      <c r="AE90" s="440" t="s">
        <v>180</v>
      </c>
      <c r="AF90" s="441"/>
      <c r="AG90" s="441"/>
      <c r="AH90" s="441"/>
      <c r="AI90" s="442"/>
      <c r="AJ90" s="14"/>
      <c r="AK90" s="12"/>
      <c r="AL90" s="12"/>
      <c r="AM90" s="12"/>
      <c r="AN90" s="12"/>
      <c r="AO90" s="12"/>
      <c r="AP90" s="14"/>
      <c r="AQ90" s="202"/>
      <c r="AR90" s="12"/>
      <c r="AS90" s="12"/>
      <c r="AT90" s="12"/>
      <c r="AU90" s="12"/>
      <c r="AV90" s="12"/>
    </row>
    <row r="91" spans="2:48" s="1" customFormat="1">
      <c r="B91" s="205"/>
      <c r="C91" s="170">
        <v>8</v>
      </c>
      <c r="D91" s="10">
        <v>6</v>
      </c>
      <c r="E91" s="10">
        <v>9</v>
      </c>
      <c r="F91" s="10">
        <v>20</v>
      </c>
      <c r="G91" s="11">
        <v>38</v>
      </c>
      <c r="H91" s="170">
        <f>C102-C91</f>
        <v>36</v>
      </c>
      <c r="I91" s="192">
        <f t="shared" ref="I91:L91" si="46">D102-D91</f>
        <v>40</v>
      </c>
      <c r="J91" s="10">
        <f t="shared" si="46"/>
        <v>31</v>
      </c>
      <c r="K91" s="10">
        <f t="shared" si="46"/>
        <v>31</v>
      </c>
      <c r="L91" s="11">
        <f t="shared" si="46"/>
        <v>21</v>
      </c>
      <c r="M91" s="177">
        <v>0.54749999999999999</v>
      </c>
      <c r="N91" s="10">
        <f>H91*$M91</f>
        <v>19.71</v>
      </c>
      <c r="O91" s="10">
        <f t="shared" ref="O91:R96" si="47">I91*$M91</f>
        <v>21.9</v>
      </c>
      <c r="P91" s="10">
        <f t="shared" si="47"/>
        <v>16.9725</v>
      </c>
      <c r="Q91" s="10">
        <f t="shared" si="47"/>
        <v>16.9725</v>
      </c>
      <c r="R91" s="11">
        <f t="shared" si="47"/>
        <v>11.4975</v>
      </c>
      <c r="S91" s="14"/>
      <c r="T91" s="209">
        <v>3.3</v>
      </c>
      <c r="U91" s="9">
        <v>3.8</v>
      </c>
      <c r="V91" s="9">
        <v>3.3</v>
      </c>
      <c r="W91" s="9">
        <v>6.6</v>
      </c>
      <c r="X91" s="173">
        <v>2.9</v>
      </c>
      <c r="Y91" s="209">
        <f>T102-T91</f>
        <v>4.8999999999999995</v>
      </c>
      <c r="Z91" s="9">
        <f t="shared" ref="Z91" si="48">U102-U91</f>
        <v>6.5000000000000009</v>
      </c>
      <c r="AA91" s="9">
        <f t="shared" ref="AA91" si="49">V102-V91</f>
        <v>8</v>
      </c>
      <c r="AB91" s="9">
        <f t="shared" ref="AB91" si="50">W102-W91</f>
        <v>4.0999999999999996</v>
      </c>
      <c r="AC91" s="173">
        <f t="shared" ref="AC91" si="51">X102-X91</f>
        <v>7.1</v>
      </c>
      <c r="AD91" s="218">
        <v>0.54749999999999999</v>
      </c>
      <c r="AE91" s="209">
        <f>Y91*$M91</f>
        <v>2.6827499999999995</v>
      </c>
      <c r="AF91" s="9">
        <f t="shared" ref="AF91:AF96" si="52">Z91*$M91</f>
        <v>3.5587500000000003</v>
      </c>
      <c r="AG91" s="9">
        <f t="shared" ref="AG91:AG96" si="53">AA91*$M91</f>
        <v>4.38</v>
      </c>
      <c r="AH91" s="9">
        <f t="shared" ref="AH91:AH96" si="54">AB91*$M91</f>
        <v>2.2447499999999998</v>
      </c>
      <c r="AI91" s="173">
        <f t="shared" ref="AI91:AI96" si="55">AC91*$M91</f>
        <v>3.8872499999999999</v>
      </c>
      <c r="AJ91" s="14"/>
      <c r="AK91" s="12"/>
      <c r="AL91" s="12"/>
      <c r="AM91" s="12"/>
      <c r="AN91" s="12"/>
      <c r="AO91" s="12"/>
      <c r="AP91" s="14"/>
      <c r="AQ91" s="13"/>
      <c r="AR91" s="12"/>
      <c r="AS91" s="12"/>
      <c r="AT91" s="12"/>
      <c r="AU91" s="12"/>
      <c r="AV91" s="12"/>
    </row>
    <row r="92" spans="2:48" s="1" customFormat="1">
      <c r="B92" s="205"/>
      <c r="C92" s="171">
        <v>9</v>
      </c>
      <c r="D92" s="14">
        <v>6</v>
      </c>
      <c r="E92" s="14">
        <v>10</v>
      </c>
      <c r="F92" s="14">
        <v>24</v>
      </c>
      <c r="G92" s="15">
        <v>43</v>
      </c>
      <c r="H92" s="171">
        <f>C101-C92</f>
        <v>23</v>
      </c>
      <c r="I92" s="184">
        <f t="shared" ref="I92:L92" si="56">D101-D92</f>
        <v>36</v>
      </c>
      <c r="J92" s="14">
        <f t="shared" si="56"/>
        <v>28</v>
      </c>
      <c r="K92" s="14">
        <f t="shared" si="56"/>
        <v>23</v>
      </c>
      <c r="L92" s="15">
        <f t="shared" si="56"/>
        <v>15</v>
      </c>
      <c r="M92" s="178">
        <v>0.33250000000000002</v>
      </c>
      <c r="N92" s="14">
        <f t="shared" ref="N92:N96" si="57">H92*$M92</f>
        <v>7.6475000000000009</v>
      </c>
      <c r="O92" s="14">
        <f t="shared" si="47"/>
        <v>11.97</v>
      </c>
      <c r="P92" s="14">
        <f t="shared" si="47"/>
        <v>9.31</v>
      </c>
      <c r="Q92" s="14">
        <f t="shared" si="47"/>
        <v>7.6475000000000009</v>
      </c>
      <c r="R92" s="15">
        <f t="shared" si="47"/>
        <v>4.9875000000000007</v>
      </c>
      <c r="S92" s="14"/>
      <c r="T92" s="220">
        <v>4.4000000000000004</v>
      </c>
      <c r="U92" s="13">
        <v>4.4000000000000004</v>
      </c>
      <c r="V92" s="13">
        <v>4.9000000000000004</v>
      </c>
      <c r="W92" s="13">
        <v>6.9</v>
      </c>
      <c r="X92" s="28">
        <v>4.9000000000000004</v>
      </c>
      <c r="Y92" s="220">
        <f>T101-T92</f>
        <v>3.7999999999999989</v>
      </c>
      <c r="Z92" s="13">
        <f t="shared" ref="Z92" si="58">U101-U92</f>
        <v>5.2999999999999989</v>
      </c>
      <c r="AA92" s="13">
        <f t="shared" ref="AA92" si="59">V101-V92</f>
        <v>4.5</v>
      </c>
      <c r="AB92" s="13">
        <f t="shared" ref="AB92" si="60">W101-W92</f>
        <v>2.6999999999999993</v>
      </c>
      <c r="AC92" s="28">
        <f t="shared" ref="AC92" si="61">X101-X92</f>
        <v>4.9000000000000004</v>
      </c>
      <c r="AD92" s="219">
        <v>0.33250000000000002</v>
      </c>
      <c r="AE92" s="220">
        <f t="shared" ref="AE92:AE96" si="62">Y92*$M92</f>
        <v>1.2634999999999996</v>
      </c>
      <c r="AF92" s="13">
        <f t="shared" si="52"/>
        <v>1.7622499999999997</v>
      </c>
      <c r="AG92" s="13">
        <f t="shared" si="53"/>
        <v>1.4962500000000001</v>
      </c>
      <c r="AH92" s="13">
        <f t="shared" si="54"/>
        <v>0.89774999999999983</v>
      </c>
      <c r="AI92" s="28">
        <f t="shared" si="55"/>
        <v>1.6292500000000003</v>
      </c>
      <c r="AJ92" s="14"/>
      <c r="AK92" s="12"/>
      <c r="AL92" s="12"/>
      <c r="AM92" s="12"/>
      <c r="AN92" s="12"/>
      <c r="AO92" s="12"/>
      <c r="AP92" s="14"/>
      <c r="AQ92" s="13"/>
      <c r="AR92" s="12"/>
      <c r="AS92" s="12"/>
      <c r="AT92" s="12"/>
      <c r="AU92" s="12"/>
      <c r="AV92" s="12"/>
    </row>
    <row r="93" spans="2:48" s="1" customFormat="1">
      <c r="B93" s="205"/>
      <c r="C93" s="171">
        <v>9</v>
      </c>
      <c r="D93" s="14">
        <v>21</v>
      </c>
      <c r="E93" s="14">
        <v>11</v>
      </c>
      <c r="F93" s="14">
        <v>26</v>
      </c>
      <c r="G93" s="15">
        <v>43</v>
      </c>
      <c r="H93" s="171">
        <f>C100-C93</f>
        <v>21</v>
      </c>
      <c r="I93" s="184">
        <f t="shared" ref="I93:L93" si="63">D100-D93</f>
        <v>14</v>
      </c>
      <c r="J93" s="14">
        <f t="shared" si="63"/>
        <v>23</v>
      </c>
      <c r="K93" s="14">
        <f t="shared" si="63"/>
        <v>14</v>
      </c>
      <c r="L93" s="15">
        <f t="shared" si="63"/>
        <v>14</v>
      </c>
      <c r="M93" s="178">
        <v>0.23469999999999999</v>
      </c>
      <c r="N93" s="14">
        <f t="shared" si="57"/>
        <v>4.9287000000000001</v>
      </c>
      <c r="O93" s="14">
        <f t="shared" si="47"/>
        <v>3.2858000000000001</v>
      </c>
      <c r="P93" s="14">
        <f t="shared" si="47"/>
        <v>5.3980999999999995</v>
      </c>
      <c r="Q93" s="14">
        <f t="shared" si="47"/>
        <v>3.2858000000000001</v>
      </c>
      <c r="R93" s="15">
        <f t="shared" si="47"/>
        <v>3.2858000000000001</v>
      </c>
      <c r="S93" s="14"/>
      <c r="T93" s="220">
        <v>4.8</v>
      </c>
      <c r="U93" s="13">
        <v>4.9000000000000004</v>
      </c>
      <c r="V93" s="13">
        <v>5.7</v>
      </c>
      <c r="W93" s="13">
        <v>7.7</v>
      </c>
      <c r="X93" s="28">
        <v>5.9</v>
      </c>
      <c r="Y93" s="220">
        <f>T100-T93</f>
        <v>3.3999999999999995</v>
      </c>
      <c r="Z93" s="13">
        <f t="shared" ref="Z93" si="64">U100-U93</f>
        <v>4.5</v>
      </c>
      <c r="AA93" s="13">
        <f t="shared" ref="AA93" si="65">V100-V93</f>
        <v>3.4999999999999991</v>
      </c>
      <c r="AB93" s="13">
        <f t="shared" ref="AB93" si="66">W100-W93</f>
        <v>1.7000000000000002</v>
      </c>
      <c r="AC93" s="28">
        <f t="shared" ref="AC93" si="67">X100-X93</f>
        <v>3.0999999999999996</v>
      </c>
      <c r="AD93" s="219">
        <v>0.23469999999999999</v>
      </c>
      <c r="AE93" s="220">
        <f t="shared" si="62"/>
        <v>0.7979799999999998</v>
      </c>
      <c r="AF93" s="13">
        <f t="shared" si="52"/>
        <v>1.0561499999999999</v>
      </c>
      <c r="AG93" s="13">
        <f t="shared" si="53"/>
        <v>0.82144999999999979</v>
      </c>
      <c r="AH93" s="13">
        <f t="shared" si="54"/>
        <v>0.39899000000000001</v>
      </c>
      <c r="AI93" s="28">
        <f t="shared" si="55"/>
        <v>0.72756999999999994</v>
      </c>
      <c r="AJ93" s="14"/>
      <c r="AK93" s="12"/>
      <c r="AL93" s="12"/>
      <c r="AM93" s="12"/>
      <c r="AN93" s="12"/>
      <c r="AO93" s="12"/>
      <c r="AP93" s="14"/>
      <c r="AQ93" s="13"/>
      <c r="AR93" s="12"/>
      <c r="AS93" s="12"/>
      <c r="AT93" s="12"/>
      <c r="AU93" s="12"/>
      <c r="AV93" s="12"/>
    </row>
    <row r="94" spans="2:48" s="1" customFormat="1">
      <c r="B94" s="205"/>
      <c r="C94" s="171">
        <v>20</v>
      </c>
      <c r="D94" s="14">
        <v>22</v>
      </c>
      <c r="E94" s="14">
        <v>11</v>
      </c>
      <c r="F94" s="14">
        <v>27</v>
      </c>
      <c r="G94" s="15">
        <v>47</v>
      </c>
      <c r="H94" s="171">
        <f>C99-C94</f>
        <v>10</v>
      </c>
      <c r="I94" s="184">
        <f t="shared" ref="I94:L94" si="68">D99-D94</f>
        <v>8</v>
      </c>
      <c r="J94" s="14">
        <f t="shared" si="68"/>
        <v>18</v>
      </c>
      <c r="K94" s="14">
        <f t="shared" si="68"/>
        <v>12</v>
      </c>
      <c r="L94" s="15">
        <f t="shared" si="68"/>
        <v>3</v>
      </c>
      <c r="M94" s="178">
        <v>0.15859999999999999</v>
      </c>
      <c r="N94" s="14">
        <f t="shared" si="57"/>
        <v>1.5859999999999999</v>
      </c>
      <c r="O94" s="14">
        <f t="shared" si="47"/>
        <v>1.2687999999999999</v>
      </c>
      <c r="P94" s="14">
        <f t="shared" si="47"/>
        <v>2.8548</v>
      </c>
      <c r="Q94" s="14">
        <f t="shared" si="47"/>
        <v>1.9032</v>
      </c>
      <c r="R94" s="15">
        <f t="shared" si="47"/>
        <v>0.4758</v>
      </c>
      <c r="S94" s="14"/>
      <c r="T94" s="220">
        <v>5.2</v>
      </c>
      <c r="U94" s="13">
        <v>5.6</v>
      </c>
      <c r="V94" s="13">
        <v>5.9</v>
      </c>
      <c r="W94" s="13">
        <v>7.8</v>
      </c>
      <c r="X94" s="28">
        <v>6.2</v>
      </c>
      <c r="Y94" s="220">
        <f>T99-T94</f>
        <v>2.5</v>
      </c>
      <c r="Z94" s="13">
        <f t="shared" ref="Z94" si="69">U99-U94</f>
        <v>2.5999999999999996</v>
      </c>
      <c r="AA94" s="13">
        <f t="shared" ref="AA94" si="70">V99-V94</f>
        <v>0.69999999999999929</v>
      </c>
      <c r="AB94" s="13">
        <f t="shared" ref="AB94" si="71">W99-W94</f>
        <v>1.2999999999999998</v>
      </c>
      <c r="AC94" s="28">
        <f t="shared" ref="AC94" si="72">X99-X94</f>
        <v>2.4999999999999991</v>
      </c>
      <c r="AD94" s="219">
        <v>0.15859999999999999</v>
      </c>
      <c r="AE94" s="220">
        <f t="shared" si="62"/>
        <v>0.39649999999999996</v>
      </c>
      <c r="AF94" s="13">
        <f t="shared" si="52"/>
        <v>0.41235999999999989</v>
      </c>
      <c r="AG94" s="13">
        <f t="shared" si="53"/>
        <v>0.11101999999999988</v>
      </c>
      <c r="AH94" s="13">
        <f t="shared" si="54"/>
        <v>0.20617999999999995</v>
      </c>
      <c r="AI94" s="28">
        <f t="shared" si="55"/>
        <v>0.39649999999999985</v>
      </c>
      <c r="AJ94" s="14"/>
      <c r="AK94" s="12"/>
      <c r="AL94" s="12"/>
      <c r="AM94" s="12"/>
      <c r="AN94" s="12"/>
      <c r="AO94" s="12"/>
      <c r="AP94" s="14"/>
      <c r="AQ94" s="13"/>
      <c r="AR94" s="12"/>
      <c r="AS94" s="12"/>
      <c r="AT94" s="12"/>
      <c r="AU94" s="12"/>
      <c r="AV94" s="12"/>
    </row>
    <row r="95" spans="2:48" s="1" customFormat="1">
      <c r="B95" s="205"/>
      <c r="C95" s="171">
        <v>20</v>
      </c>
      <c r="D95" s="14">
        <v>24</v>
      </c>
      <c r="E95" s="14">
        <v>18</v>
      </c>
      <c r="F95" s="14">
        <v>28</v>
      </c>
      <c r="G95" s="15">
        <v>49</v>
      </c>
      <c r="H95" s="171">
        <f>C98-C95</f>
        <v>9</v>
      </c>
      <c r="I95" s="184">
        <f t="shared" ref="I95:L95" si="73">D98-D95</f>
        <v>6</v>
      </c>
      <c r="J95" s="14">
        <f t="shared" si="73"/>
        <v>8</v>
      </c>
      <c r="K95" s="14">
        <f t="shared" si="73"/>
        <v>2</v>
      </c>
      <c r="L95" s="15">
        <f t="shared" si="73"/>
        <v>1</v>
      </c>
      <c r="M95" s="178">
        <v>9.2200000000000004E-2</v>
      </c>
      <c r="N95" s="14">
        <f t="shared" si="57"/>
        <v>0.82980000000000009</v>
      </c>
      <c r="O95" s="14">
        <f t="shared" si="47"/>
        <v>0.55320000000000003</v>
      </c>
      <c r="P95" s="14">
        <f t="shared" si="47"/>
        <v>0.73760000000000003</v>
      </c>
      <c r="Q95" s="14">
        <f t="shared" si="47"/>
        <v>0.18440000000000001</v>
      </c>
      <c r="R95" s="15">
        <f t="shared" si="47"/>
        <v>9.2200000000000004E-2</v>
      </c>
      <c r="S95" s="14"/>
      <c r="T95" s="220">
        <v>6</v>
      </c>
      <c r="U95" s="13">
        <v>6</v>
      </c>
      <c r="V95" s="13">
        <v>6</v>
      </c>
      <c r="W95" s="13">
        <v>8.1</v>
      </c>
      <c r="X95" s="28">
        <v>7.1</v>
      </c>
      <c r="Y95" s="220">
        <f>T98-T95</f>
        <v>1.4000000000000004</v>
      </c>
      <c r="Z95" s="13">
        <f t="shared" ref="Z95" si="74">U98-U95</f>
        <v>1.7999999999999998</v>
      </c>
      <c r="AA95" s="13">
        <f t="shared" ref="AA95" si="75">V98-V95</f>
        <v>0.5</v>
      </c>
      <c r="AB95" s="13">
        <f t="shared" ref="AB95" si="76">W98-W95</f>
        <v>0.5</v>
      </c>
      <c r="AC95" s="28">
        <f t="shared" ref="AC95" si="77">X98-X95</f>
        <v>1</v>
      </c>
      <c r="AD95" s="219">
        <v>9.2200000000000004E-2</v>
      </c>
      <c r="AE95" s="220">
        <f t="shared" si="62"/>
        <v>0.12908000000000003</v>
      </c>
      <c r="AF95" s="13">
        <f t="shared" si="52"/>
        <v>0.16596</v>
      </c>
      <c r="AG95" s="13">
        <f t="shared" si="53"/>
        <v>4.6100000000000002E-2</v>
      </c>
      <c r="AH95" s="13">
        <f t="shared" si="54"/>
        <v>4.6100000000000002E-2</v>
      </c>
      <c r="AI95" s="28">
        <f t="shared" si="55"/>
        <v>9.2200000000000004E-2</v>
      </c>
      <c r="AJ95" s="14"/>
      <c r="AK95" s="12"/>
      <c r="AL95" s="12"/>
      <c r="AM95" s="12"/>
      <c r="AN95" s="12"/>
      <c r="AO95" s="12"/>
      <c r="AP95" s="14"/>
      <c r="AQ95" s="13"/>
      <c r="AR95" s="12"/>
      <c r="AS95" s="12"/>
      <c r="AT95" s="12"/>
      <c r="AU95" s="12"/>
      <c r="AV95" s="12"/>
    </row>
    <row r="96" spans="2:48" s="1" customFormat="1">
      <c r="B96" s="205"/>
      <c r="C96" s="171">
        <v>20</v>
      </c>
      <c r="D96" s="14">
        <v>24</v>
      </c>
      <c r="E96" s="14">
        <v>21</v>
      </c>
      <c r="F96" s="14">
        <v>28</v>
      </c>
      <c r="G96" s="15">
        <v>49</v>
      </c>
      <c r="H96" s="172">
        <f>C97-C96</f>
        <v>4</v>
      </c>
      <c r="I96" s="217">
        <f t="shared" ref="I96:L96" si="78">D97-D96</f>
        <v>1</v>
      </c>
      <c r="J96" s="17">
        <f t="shared" si="78"/>
        <v>5</v>
      </c>
      <c r="K96" s="17">
        <f t="shared" si="78"/>
        <v>1</v>
      </c>
      <c r="L96" s="18">
        <f t="shared" si="78"/>
        <v>1</v>
      </c>
      <c r="M96" s="179">
        <v>3.0300000000000001E-2</v>
      </c>
      <c r="N96" s="17">
        <f t="shared" si="57"/>
        <v>0.1212</v>
      </c>
      <c r="O96" s="17">
        <f t="shared" si="47"/>
        <v>3.0300000000000001E-2</v>
      </c>
      <c r="P96" s="17">
        <f t="shared" si="47"/>
        <v>0.1515</v>
      </c>
      <c r="Q96" s="17">
        <f t="shared" si="47"/>
        <v>3.0300000000000001E-2</v>
      </c>
      <c r="R96" s="18">
        <f t="shared" si="47"/>
        <v>3.0300000000000001E-2</v>
      </c>
      <c r="S96" s="14"/>
      <c r="T96" s="220">
        <v>6.9</v>
      </c>
      <c r="U96" s="13">
        <v>6.7</v>
      </c>
      <c r="V96" s="13">
        <v>6.2</v>
      </c>
      <c r="W96" s="13">
        <v>8.3000000000000007</v>
      </c>
      <c r="X96" s="28">
        <v>7.3</v>
      </c>
      <c r="Y96" s="212">
        <f>T97-T96</f>
        <v>0.39999999999999947</v>
      </c>
      <c r="Z96" s="16">
        <f t="shared" ref="Z96" si="79">U97-U96</f>
        <v>9.9999999999999645E-2</v>
      </c>
      <c r="AA96" s="16">
        <f t="shared" ref="AA96" si="80">V97-V96</f>
        <v>9.9999999999999645E-2</v>
      </c>
      <c r="AB96" s="16">
        <f t="shared" ref="AB96" si="81">W97-W96</f>
        <v>0.19999999999999929</v>
      </c>
      <c r="AC96" s="174">
        <f t="shared" ref="AC96" si="82">X97-X96</f>
        <v>0.20000000000000018</v>
      </c>
      <c r="AD96" s="224">
        <v>3.0300000000000001E-2</v>
      </c>
      <c r="AE96" s="212">
        <f t="shared" si="62"/>
        <v>1.2119999999999983E-2</v>
      </c>
      <c r="AF96" s="16">
        <f t="shared" si="52"/>
        <v>3.0299999999999893E-3</v>
      </c>
      <c r="AG96" s="16">
        <f t="shared" si="53"/>
        <v>3.0299999999999893E-3</v>
      </c>
      <c r="AH96" s="16">
        <f t="shared" si="54"/>
        <v>6.0599999999999786E-3</v>
      </c>
      <c r="AI96" s="174">
        <f t="shared" si="55"/>
        <v>6.0600000000000055E-3</v>
      </c>
      <c r="AJ96" s="14"/>
      <c r="AK96" s="12"/>
      <c r="AL96" s="12"/>
      <c r="AM96" s="12"/>
      <c r="AN96" s="12"/>
      <c r="AO96" s="12"/>
      <c r="AP96" s="14"/>
      <c r="AQ96" s="13"/>
      <c r="AR96" s="12"/>
      <c r="AS96" s="12"/>
      <c r="AT96" s="12"/>
      <c r="AU96" s="12"/>
      <c r="AV96" s="12"/>
    </row>
    <row r="97" spans="2:43" s="1" customFormat="1">
      <c r="B97" s="205"/>
      <c r="C97" s="171">
        <v>24</v>
      </c>
      <c r="D97" s="14">
        <v>25</v>
      </c>
      <c r="E97" s="14">
        <v>26</v>
      </c>
      <c r="F97" s="14">
        <v>29</v>
      </c>
      <c r="G97" s="15">
        <v>50</v>
      </c>
      <c r="H97" s="14"/>
      <c r="I97" s="18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220">
        <v>7.3</v>
      </c>
      <c r="U97" s="13">
        <v>6.8</v>
      </c>
      <c r="V97" s="13">
        <v>6.3</v>
      </c>
      <c r="W97" s="13">
        <v>8.5</v>
      </c>
      <c r="X97" s="28">
        <v>7.5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4"/>
      <c r="AK97" s="12"/>
      <c r="AL97" s="12"/>
      <c r="AM97" s="12"/>
      <c r="AN97" s="12"/>
      <c r="AO97" s="12"/>
      <c r="AP97" s="14"/>
      <c r="AQ97" s="13"/>
    </row>
    <row r="98" spans="2:43" s="1" customFormat="1">
      <c r="B98" s="205"/>
      <c r="C98" s="171">
        <v>29</v>
      </c>
      <c r="D98" s="14">
        <v>30</v>
      </c>
      <c r="E98" s="14">
        <v>26</v>
      </c>
      <c r="F98" s="14">
        <v>30</v>
      </c>
      <c r="G98" s="15">
        <v>50</v>
      </c>
      <c r="H98" s="14"/>
      <c r="I98" s="184"/>
      <c r="J98" s="14"/>
      <c r="K98" s="14"/>
      <c r="L98" s="14"/>
      <c r="M98" s="196" t="s">
        <v>182</v>
      </c>
      <c r="N98" s="196">
        <f>SUM(N91:N96)</f>
        <v>34.8232</v>
      </c>
      <c r="O98" s="196">
        <f t="shared" ref="O98:Q98" si="83">SUM(O91:O96)</f>
        <v>39.008099999999992</v>
      </c>
      <c r="P98" s="196">
        <f t="shared" si="83"/>
        <v>35.424499999999995</v>
      </c>
      <c r="Q98" s="196">
        <f t="shared" si="83"/>
        <v>30.023699999999998</v>
      </c>
      <c r="R98" s="196">
        <f>SUM(R91:R96)</f>
        <v>20.3691</v>
      </c>
      <c r="S98" s="14"/>
      <c r="T98" s="220">
        <v>7.4</v>
      </c>
      <c r="U98" s="13">
        <v>7.8</v>
      </c>
      <c r="V98" s="13">
        <v>6.5</v>
      </c>
      <c r="W98" s="13">
        <v>8.6</v>
      </c>
      <c r="X98" s="28">
        <v>8.1</v>
      </c>
      <c r="Y98" s="13"/>
      <c r="Z98" s="13"/>
      <c r="AA98" s="13"/>
      <c r="AB98" s="13"/>
      <c r="AC98" s="13"/>
      <c r="AD98" s="204" t="s">
        <v>182</v>
      </c>
      <c r="AE98" s="204">
        <f>SUM(AE91:AE96)</f>
        <v>5.2819299999999991</v>
      </c>
      <c r="AF98" s="204">
        <f t="shared" ref="AF98:AH98" si="84">SUM(AF91:AF96)</f>
        <v>6.958499999999999</v>
      </c>
      <c r="AG98" s="204">
        <f t="shared" si="84"/>
        <v>6.8578499999999991</v>
      </c>
      <c r="AH98" s="204">
        <f t="shared" si="84"/>
        <v>3.7998299999999996</v>
      </c>
      <c r="AI98" s="204">
        <f>SUM(AI91:AI96)</f>
        <v>6.7388300000000001</v>
      </c>
      <c r="AJ98" s="14"/>
      <c r="AK98" s="12"/>
      <c r="AL98" s="12"/>
      <c r="AM98" s="12"/>
      <c r="AN98" s="12"/>
      <c r="AO98" s="12"/>
      <c r="AP98" s="14"/>
      <c r="AQ98" s="13"/>
    </row>
    <row r="99" spans="2:43" s="1" customFormat="1">
      <c r="B99" s="205"/>
      <c r="C99" s="171">
        <v>30</v>
      </c>
      <c r="D99" s="14">
        <v>30</v>
      </c>
      <c r="E99" s="14">
        <v>29</v>
      </c>
      <c r="F99" s="14">
        <v>39</v>
      </c>
      <c r="G99" s="15">
        <v>50</v>
      </c>
      <c r="H99" s="14"/>
      <c r="I99" s="184"/>
      <c r="J99" s="14"/>
      <c r="K99" s="14"/>
      <c r="L99" s="14"/>
      <c r="M99" s="196" t="s">
        <v>183</v>
      </c>
      <c r="N99" s="196">
        <f>ROUND(N98^2/C60,3)</f>
        <v>0.93200000000000005</v>
      </c>
      <c r="O99" s="196">
        <f t="shared" ref="O99:R99" si="85">ROUND(O98^2/D60,3)</f>
        <v>0.94</v>
      </c>
      <c r="P99" s="196">
        <f t="shared" si="85"/>
        <v>0.91600000000000004</v>
      </c>
      <c r="Q99" s="196">
        <f t="shared" si="85"/>
        <v>0.89200000000000002</v>
      </c>
      <c r="R99" s="196">
        <f t="shared" si="85"/>
        <v>0.93700000000000006</v>
      </c>
      <c r="S99" s="14"/>
      <c r="T99" s="220">
        <v>7.7</v>
      </c>
      <c r="U99" s="13">
        <v>8.1999999999999993</v>
      </c>
      <c r="V99" s="13">
        <v>6.6</v>
      </c>
      <c r="W99" s="13">
        <v>9.1</v>
      </c>
      <c r="X99" s="28">
        <v>8.6999999999999993</v>
      </c>
      <c r="Y99" s="13"/>
      <c r="Z99" s="13"/>
      <c r="AA99" s="13"/>
      <c r="AB99" s="13"/>
      <c r="AC99" s="13"/>
      <c r="AD99" s="204" t="s">
        <v>183</v>
      </c>
      <c r="AE99" s="204">
        <f>ROUND(AE98^2/T60,3)</f>
        <v>0.89500000000000002</v>
      </c>
      <c r="AF99" s="204">
        <f t="shared" ref="AF99" si="86">ROUND(AF98^2/U60,3)</f>
        <v>0.95899999999999996</v>
      </c>
      <c r="AG99" s="204">
        <f t="shared" ref="AG99" si="87">ROUND(AG98^2/V60,3)</f>
        <v>0.90400000000000003</v>
      </c>
      <c r="AH99" s="204">
        <f t="shared" ref="AH99" si="88">ROUND(AH98^2/W60,3)</f>
        <v>0.98299999999999998</v>
      </c>
      <c r="AI99" s="204">
        <f t="shared" ref="AI99" si="89">ROUND(AI98^2/X60,3)</f>
        <v>0.95799999999999996</v>
      </c>
      <c r="AJ99" s="14"/>
      <c r="AK99" s="12"/>
      <c r="AL99" s="12"/>
      <c r="AM99" s="12"/>
      <c r="AN99" s="12"/>
      <c r="AO99" s="12"/>
      <c r="AP99" s="14"/>
      <c r="AQ99" s="13"/>
    </row>
    <row r="100" spans="2:43" s="1" customFormat="1">
      <c r="B100" s="205"/>
      <c r="C100" s="171">
        <v>30</v>
      </c>
      <c r="D100" s="14">
        <v>35</v>
      </c>
      <c r="E100" s="14">
        <v>34</v>
      </c>
      <c r="F100" s="14">
        <v>40</v>
      </c>
      <c r="G100" s="15">
        <v>57</v>
      </c>
      <c r="H100" s="14"/>
      <c r="I100" s="184"/>
      <c r="J100" s="14"/>
      <c r="K100" s="14"/>
      <c r="L100" s="14"/>
      <c r="M100" s="196" t="s">
        <v>184</v>
      </c>
      <c r="N100" s="436">
        <v>0.85899999999999999</v>
      </c>
      <c r="O100" s="437"/>
      <c r="P100" s="437"/>
      <c r="Q100" s="437"/>
      <c r="R100" s="438"/>
      <c r="S100" s="14"/>
      <c r="T100" s="220">
        <v>8.1999999999999993</v>
      </c>
      <c r="U100" s="13">
        <v>9.4</v>
      </c>
      <c r="V100" s="13">
        <v>9.1999999999999993</v>
      </c>
      <c r="W100" s="13">
        <v>9.4</v>
      </c>
      <c r="X100" s="28">
        <v>9</v>
      </c>
      <c r="Y100" s="13"/>
      <c r="Z100" s="13"/>
      <c r="AA100" s="13"/>
      <c r="AB100" s="13"/>
      <c r="AC100" s="13"/>
      <c r="AD100" s="204" t="s">
        <v>184</v>
      </c>
      <c r="AE100" s="446">
        <v>0.85899999999999999</v>
      </c>
      <c r="AF100" s="447"/>
      <c r="AG100" s="447"/>
      <c r="AH100" s="447"/>
      <c r="AI100" s="448"/>
      <c r="AJ100" s="14"/>
      <c r="AK100" s="12"/>
      <c r="AL100" s="12"/>
      <c r="AM100" s="12"/>
      <c r="AN100" s="12"/>
      <c r="AO100" s="12"/>
      <c r="AP100" s="14"/>
      <c r="AQ100" s="13"/>
    </row>
    <row r="101" spans="2:43" s="1" customFormat="1">
      <c r="B101" s="205"/>
      <c r="C101" s="171">
        <v>32</v>
      </c>
      <c r="D101" s="14">
        <v>42</v>
      </c>
      <c r="E101" s="14">
        <v>38</v>
      </c>
      <c r="F101" s="14">
        <v>47</v>
      </c>
      <c r="G101" s="15">
        <v>58</v>
      </c>
      <c r="H101" s="14"/>
      <c r="I101" s="18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220">
        <v>8.1999999999999993</v>
      </c>
      <c r="U101" s="13">
        <v>9.6999999999999993</v>
      </c>
      <c r="V101" s="13">
        <v>9.4</v>
      </c>
      <c r="W101" s="13">
        <v>9.6</v>
      </c>
      <c r="X101" s="28">
        <v>9.8000000000000007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4"/>
      <c r="AK101" s="12"/>
      <c r="AL101" s="12"/>
      <c r="AM101" s="12"/>
      <c r="AN101" s="12"/>
      <c r="AO101" s="12"/>
      <c r="AP101" s="14"/>
      <c r="AQ101" s="13"/>
    </row>
    <row r="102" spans="2:43" s="1" customFormat="1">
      <c r="B102" s="205"/>
      <c r="C102" s="172">
        <v>44</v>
      </c>
      <c r="D102" s="17">
        <v>46</v>
      </c>
      <c r="E102" s="17">
        <v>40</v>
      </c>
      <c r="F102" s="17">
        <v>51</v>
      </c>
      <c r="G102" s="18">
        <v>59</v>
      </c>
      <c r="H102" s="14"/>
      <c r="I102" s="18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212">
        <v>8.1999999999999993</v>
      </c>
      <c r="U102" s="16">
        <v>10.3</v>
      </c>
      <c r="V102" s="16">
        <v>11.3</v>
      </c>
      <c r="W102" s="16">
        <v>10.7</v>
      </c>
      <c r="X102" s="174">
        <v>10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4"/>
      <c r="AK102" s="12"/>
      <c r="AL102" s="12"/>
      <c r="AM102" s="12"/>
      <c r="AN102" s="12"/>
      <c r="AO102" s="12"/>
      <c r="AP102" s="14"/>
      <c r="AQ102" s="13"/>
    </row>
    <row r="103" spans="2:43" s="1" customFormat="1">
      <c r="B103" s="20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3"/>
      <c r="V103" s="13"/>
      <c r="W103" s="13"/>
      <c r="X103" s="13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4"/>
      <c r="AK103" s="12"/>
      <c r="AL103" s="12"/>
      <c r="AM103" s="12"/>
      <c r="AN103" s="12"/>
      <c r="AO103" s="12"/>
      <c r="AP103" s="14"/>
      <c r="AQ103" s="13"/>
    </row>
    <row r="104" spans="2:43" s="1" customFormat="1">
      <c r="B104" s="205"/>
      <c r="C104" s="12"/>
      <c r="D104" s="12"/>
      <c r="E104" s="12"/>
      <c r="F104" s="12"/>
      <c r="G104" s="12"/>
      <c r="H104" s="95">
        <v>1</v>
      </c>
      <c r="I104" s="95">
        <v>2</v>
      </c>
      <c r="J104" s="95">
        <v>3</v>
      </c>
      <c r="K104" s="95">
        <v>4</v>
      </c>
      <c r="L104" s="95">
        <v>5</v>
      </c>
      <c r="M104" s="95"/>
      <c r="N104" s="37">
        <v>1</v>
      </c>
      <c r="O104" s="37">
        <v>2</v>
      </c>
      <c r="P104" s="37">
        <v>3</v>
      </c>
      <c r="Q104" s="37">
        <v>4</v>
      </c>
      <c r="R104" s="37">
        <v>5</v>
      </c>
      <c r="S104" s="12"/>
      <c r="T104" s="13"/>
      <c r="U104" s="13"/>
      <c r="V104" s="13"/>
      <c r="W104" s="13"/>
      <c r="X104" s="13"/>
      <c r="Y104" s="231">
        <v>1</v>
      </c>
      <c r="Z104" s="231">
        <v>2</v>
      </c>
      <c r="AA104" s="231">
        <v>3</v>
      </c>
      <c r="AB104" s="231">
        <v>4</v>
      </c>
      <c r="AC104" s="231">
        <v>5</v>
      </c>
      <c r="AD104" s="231"/>
      <c r="AE104" s="230">
        <v>1</v>
      </c>
      <c r="AF104" s="230">
        <v>2</v>
      </c>
      <c r="AG104" s="230">
        <v>3</v>
      </c>
      <c r="AH104" s="230">
        <v>4</v>
      </c>
      <c r="AI104" s="230">
        <v>5</v>
      </c>
      <c r="AJ104" s="14"/>
      <c r="AK104" s="12"/>
      <c r="AL104" s="12"/>
      <c r="AM104" s="12"/>
      <c r="AN104" s="12"/>
      <c r="AO104" s="12"/>
      <c r="AP104" s="14"/>
      <c r="AQ104" s="13"/>
    </row>
    <row r="105" spans="2:43" s="1" customFormat="1">
      <c r="B105" s="205"/>
      <c r="C105" s="41" t="s">
        <v>69</v>
      </c>
      <c r="D105" s="34" t="s">
        <v>70</v>
      </c>
      <c r="E105" s="34" t="s">
        <v>71</v>
      </c>
      <c r="F105" s="34" t="s">
        <v>72</v>
      </c>
      <c r="G105" s="35" t="s">
        <v>73</v>
      </c>
      <c r="H105" s="430" t="s">
        <v>178</v>
      </c>
      <c r="I105" s="431"/>
      <c r="J105" s="431"/>
      <c r="K105" s="431"/>
      <c r="L105" s="432"/>
      <c r="M105" s="227" t="s">
        <v>179</v>
      </c>
      <c r="N105" s="430" t="s">
        <v>180</v>
      </c>
      <c r="O105" s="431"/>
      <c r="P105" s="431"/>
      <c r="Q105" s="431"/>
      <c r="R105" s="432"/>
      <c r="S105" s="190"/>
      <c r="T105" s="139" t="s">
        <v>165</v>
      </c>
      <c r="U105" s="24" t="s">
        <v>166</v>
      </c>
      <c r="V105" s="24" t="s">
        <v>167</v>
      </c>
      <c r="W105" s="24" t="s">
        <v>168</v>
      </c>
      <c r="X105" s="140" t="s">
        <v>169</v>
      </c>
      <c r="Y105" s="440" t="s">
        <v>178</v>
      </c>
      <c r="Z105" s="441"/>
      <c r="AA105" s="441"/>
      <c r="AB105" s="441"/>
      <c r="AC105" s="442"/>
      <c r="AD105" s="229" t="s">
        <v>179</v>
      </c>
      <c r="AE105" s="440" t="s">
        <v>180</v>
      </c>
      <c r="AF105" s="441"/>
      <c r="AG105" s="441"/>
      <c r="AH105" s="441"/>
      <c r="AI105" s="442"/>
      <c r="AJ105" s="14"/>
      <c r="AK105" s="12"/>
      <c r="AL105" s="12"/>
      <c r="AM105" s="12"/>
      <c r="AN105" s="12"/>
      <c r="AO105" s="12"/>
      <c r="AP105" s="14"/>
      <c r="AQ105" s="202"/>
    </row>
    <row r="106" spans="2:43" s="1" customFormat="1">
      <c r="B106" s="205"/>
      <c r="C106" s="170">
        <v>0</v>
      </c>
      <c r="D106" s="10">
        <v>4</v>
      </c>
      <c r="E106" s="10">
        <v>5</v>
      </c>
      <c r="F106" s="10">
        <v>14</v>
      </c>
      <c r="G106" s="11">
        <v>15</v>
      </c>
      <c r="H106" s="170">
        <f>C119-C106</f>
        <v>22</v>
      </c>
      <c r="I106" s="192">
        <f t="shared" ref="I106:L106" si="90">D119-D106</f>
        <v>27</v>
      </c>
      <c r="J106" s="10">
        <f t="shared" si="90"/>
        <v>26</v>
      </c>
      <c r="K106" s="10">
        <f t="shared" si="90"/>
        <v>42</v>
      </c>
      <c r="L106" s="11">
        <f t="shared" si="90"/>
        <v>37</v>
      </c>
      <c r="M106" s="177">
        <v>0.52510000000000001</v>
      </c>
      <c r="N106" s="170">
        <f>H106*$M106</f>
        <v>11.552200000000001</v>
      </c>
      <c r="O106" s="10">
        <f t="shared" ref="O106:R112" si="91">I106*$M106</f>
        <v>14.1777</v>
      </c>
      <c r="P106" s="10">
        <f t="shared" si="91"/>
        <v>13.6526</v>
      </c>
      <c r="Q106" s="10">
        <f t="shared" si="91"/>
        <v>22.054200000000002</v>
      </c>
      <c r="R106" s="11">
        <f t="shared" si="91"/>
        <v>19.428699999999999</v>
      </c>
      <c r="S106" s="14"/>
      <c r="T106" s="209">
        <v>3.5</v>
      </c>
      <c r="U106" s="9">
        <v>2.2000000000000002</v>
      </c>
      <c r="V106" s="9">
        <v>4.7</v>
      </c>
      <c r="W106" s="9">
        <v>4.2</v>
      </c>
      <c r="X106" s="173">
        <v>5.9</v>
      </c>
      <c r="Y106" s="209">
        <f>T119-T106</f>
        <v>6.6</v>
      </c>
      <c r="Z106" s="9">
        <f t="shared" ref="Z106" si="92">U119-U106</f>
        <v>5.9999999999999991</v>
      </c>
      <c r="AA106" s="9">
        <f t="shared" ref="AA106" si="93">V119-V106</f>
        <v>6.9999999999999991</v>
      </c>
      <c r="AB106" s="9">
        <f t="shared" ref="AB106" si="94">W119-W106</f>
        <v>3.8999999999999995</v>
      </c>
      <c r="AC106" s="173">
        <f t="shared" ref="AC106" si="95">X119-X106</f>
        <v>4.0999999999999996</v>
      </c>
      <c r="AD106" s="218">
        <v>0.52510000000000001</v>
      </c>
      <c r="AE106" s="209">
        <f>Y106*$M106</f>
        <v>3.4656599999999997</v>
      </c>
      <c r="AF106" s="9">
        <f t="shared" ref="AF106:AF112" si="96">Z106*$M106</f>
        <v>3.1505999999999994</v>
      </c>
      <c r="AG106" s="9">
        <f t="shared" ref="AG106:AG112" si="97">AA106*$M106</f>
        <v>3.6756999999999995</v>
      </c>
      <c r="AH106" s="9">
        <f t="shared" ref="AH106:AH112" si="98">AB106*$M106</f>
        <v>2.0478899999999998</v>
      </c>
      <c r="AI106" s="173">
        <f t="shared" ref="AI106:AI112" si="99">AC106*$M106</f>
        <v>2.1529099999999999</v>
      </c>
      <c r="AJ106" s="14"/>
      <c r="AK106" s="12"/>
      <c r="AL106" s="12"/>
      <c r="AM106" s="12"/>
      <c r="AN106" s="12"/>
      <c r="AO106" s="12"/>
      <c r="AP106" s="14"/>
      <c r="AQ106" s="13"/>
    </row>
    <row r="107" spans="2:43" s="1" customFormat="1">
      <c r="B107" s="205"/>
      <c r="C107" s="171">
        <v>0</v>
      </c>
      <c r="D107" s="14">
        <v>11</v>
      </c>
      <c r="E107" s="14">
        <v>6</v>
      </c>
      <c r="F107" s="14">
        <v>15</v>
      </c>
      <c r="G107" s="15">
        <v>20</v>
      </c>
      <c r="H107" s="171">
        <f>C118-C107</f>
        <v>18</v>
      </c>
      <c r="I107" s="184">
        <f t="shared" ref="I107:L107" si="100">D118-D107</f>
        <v>16</v>
      </c>
      <c r="J107" s="14">
        <f t="shared" si="100"/>
        <v>24</v>
      </c>
      <c r="K107" s="14">
        <f t="shared" si="100"/>
        <v>30</v>
      </c>
      <c r="L107" s="15">
        <f t="shared" si="100"/>
        <v>31</v>
      </c>
      <c r="M107" s="178">
        <v>0.33179999999999998</v>
      </c>
      <c r="N107" s="171">
        <f t="shared" ref="N107:N112" si="101">H107*$M107</f>
        <v>5.9723999999999995</v>
      </c>
      <c r="O107" s="14">
        <f t="shared" si="91"/>
        <v>5.3087999999999997</v>
      </c>
      <c r="P107" s="14">
        <f t="shared" si="91"/>
        <v>7.9631999999999996</v>
      </c>
      <c r="Q107" s="14">
        <f t="shared" si="91"/>
        <v>9.9539999999999988</v>
      </c>
      <c r="R107" s="15">
        <f t="shared" si="91"/>
        <v>10.2858</v>
      </c>
      <c r="S107" s="14"/>
      <c r="T107" s="220">
        <v>4</v>
      </c>
      <c r="U107" s="13">
        <v>3.2</v>
      </c>
      <c r="V107" s="13">
        <v>5.2</v>
      </c>
      <c r="W107" s="13">
        <v>5.4</v>
      </c>
      <c r="X107" s="28">
        <v>6.4</v>
      </c>
      <c r="Y107" s="220">
        <f>T118-T107</f>
        <v>5.1999999999999993</v>
      </c>
      <c r="Z107" s="13">
        <f t="shared" ref="Z107" si="102">U118-U107</f>
        <v>4.8</v>
      </c>
      <c r="AA107" s="13">
        <f t="shared" ref="AA107" si="103">V118-V107</f>
        <v>3.8999999999999995</v>
      </c>
      <c r="AB107" s="13">
        <f t="shared" ref="AB107" si="104">W118-W107</f>
        <v>2.5</v>
      </c>
      <c r="AC107" s="28">
        <f t="shared" ref="AC107" si="105">X118-X107</f>
        <v>2.5999999999999996</v>
      </c>
      <c r="AD107" s="219">
        <v>0.33179999999999998</v>
      </c>
      <c r="AE107" s="220">
        <f t="shared" ref="AE107:AE112" si="106">Y107*$M107</f>
        <v>1.7253599999999998</v>
      </c>
      <c r="AF107" s="13">
        <f t="shared" si="96"/>
        <v>1.5926399999999998</v>
      </c>
      <c r="AG107" s="13">
        <f t="shared" si="97"/>
        <v>1.2940199999999997</v>
      </c>
      <c r="AH107" s="13">
        <f t="shared" si="98"/>
        <v>0.8294999999999999</v>
      </c>
      <c r="AI107" s="28">
        <f t="shared" si="99"/>
        <v>0.86267999999999989</v>
      </c>
      <c r="AJ107" s="14"/>
      <c r="AK107" s="12"/>
      <c r="AL107" s="12"/>
      <c r="AM107" s="12"/>
      <c r="AN107" s="12"/>
      <c r="AO107" s="12"/>
      <c r="AP107" s="14"/>
      <c r="AQ107" s="13"/>
    </row>
    <row r="108" spans="2:43" s="1" customFormat="1">
      <c r="B108" s="205"/>
      <c r="C108" s="171">
        <v>1</v>
      </c>
      <c r="D108" s="14">
        <v>11</v>
      </c>
      <c r="E108" s="14">
        <v>7</v>
      </c>
      <c r="F108" s="14">
        <v>19</v>
      </c>
      <c r="G108" s="15">
        <v>20</v>
      </c>
      <c r="H108" s="171">
        <f>C117-C108</f>
        <v>16</v>
      </c>
      <c r="I108" s="184">
        <f t="shared" ref="I108:L108" si="107">D117-D108</f>
        <v>14</v>
      </c>
      <c r="J108" s="14">
        <f t="shared" si="107"/>
        <v>21</v>
      </c>
      <c r="K108" s="14">
        <f t="shared" si="107"/>
        <v>22</v>
      </c>
      <c r="L108" s="15">
        <f t="shared" si="107"/>
        <v>20</v>
      </c>
      <c r="M108" s="178">
        <v>0.246</v>
      </c>
      <c r="N108" s="171">
        <f t="shared" si="101"/>
        <v>3.9359999999999999</v>
      </c>
      <c r="O108" s="14">
        <f t="shared" si="91"/>
        <v>3.444</v>
      </c>
      <c r="P108" s="14">
        <f t="shared" si="91"/>
        <v>5.1660000000000004</v>
      </c>
      <c r="Q108" s="14">
        <f t="shared" si="91"/>
        <v>5.4119999999999999</v>
      </c>
      <c r="R108" s="15">
        <f t="shared" si="91"/>
        <v>4.92</v>
      </c>
      <c r="S108" s="14"/>
      <c r="T108" s="220">
        <v>6.3</v>
      </c>
      <c r="U108" s="13">
        <v>4.2</v>
      </c>
      <c r="V108" s="13">
        <v>6.9</v>
      </c>
      <c r="W108" s="13">
        <v>5.8</v>
      </c>
      <c r="X108" s="28">
        <v>6.5</v>
      </c>
      <c r="Y108" s="220">
        <f>T117-T108</f>
        <v>2.5000000000000009</v>
      </c>
      <c r="Z108" s="13">
        <f t="shared" ref="Z108" si="108">U117-U108</f>
        <v>3.5</v>
      </c>
      <c r="AA108" s="13">
        <f t="shared" ref="AA108" si="109">V117-V108</f>
        <v>1.7999999999999989</v>
      </c>
      <c r="AB108" s="13">
        <f t="shared" ref="AB108" si="110">W117-W108</f>
        <v>2</v>
      </c>
      <c r="AC108" s="28">
        <f t="shared" ref="AC108" si="111">X117-X108</f>
        <v>1.8000000000000007</v>
      </c>
      <c r="AD108" s="219">
        <v>0.246</v>
      </c>
      <c r="AE108" s="220">
        <f t="shared" si="106"/>
        <v>0.61500000000000021</v>
      </c>
      <c r="AF108" s="13">
        <f t="shared" si="96"/>
        <v>0.86099999999999999</v>
      </c>
      <c r="AG108" s="13">
        <f t="shared" si="97"/>
        <v>0.44279999999999975</v>
      </c>
      <c r="AH108" s="13">
        <f t="shared" si="98"/>
        <v>0.49199999999999999</v>
      </c>
      <c r="AI108" s="28">
        <f t="shared" si="99"/>
        <v>0.44280000000000019</v>
      </c>
      <c r="AJ108" s="14"/>
      <c r="AK108" s="12"/>
      <c r="AL108" s="12"/>
      <c r="AM108" s="12"/>
      <c r="AN108" s="12"/>
      <c r="AO108" s="12"/>
      <c r="AP108" s="14"/>
      <c r="AQ108" s="13"/>
    </row>
    <row r="109" spans="2:43" s="1" customFormat="1">
      <c r="B109" s="205"/>
      <c r="C109" s="171">
        <v>2</v>
      </c>
      <c r="D109" s="14">
        <v>15</v>
      </c>
      <c r="E109" s="14">
        <v>14</v>
      </c>
      <c r="F109" s="14">
        <v>21</v>
      </c>
      <c r="G109" s="15">
        <v>23</v>
      </c>
      <c r="H109" s="171">
        <f>C116-C109</f>
        <v>12</v>
      </c>
      <c r="I109" s="184">
        <f t="shared" ref="I109:L109" si="112">D116-D109</f>
        <v>9</v>
      </c>
      <c r="J109" s="14">
        <f t="shared" si="112"/>
        <v>12</v>
      </c>
      <c r="K109" s="14">
        <f t="shared" si="112"/>
        <v>19</v>
      </c>
      <c r="L109" s="15">
        <f t="shared" si="112"/>
        <v>16</v>
      </c>
      <c r="M109" s="178">
        <v>0.1802</v>
      </c>
      <c r="N109" s="171">
        <f t="shared" si="101"/>
        <v>2.1623999999999999</v>
      </c>
      <c r="O109" s="14">
        <f t="shared" si="91"/>
        <v>1.6217999999999999</v>
      </c>
      <c r="P109" s="14">
        <f t="shared" si="91"/>
        <v>2.1623999999999999</v>
      </c>
      <c r="Q109" s="14">
        <f t="shared" si="91"/>
        <v>3.4238</v>
      </c>
      <c r="R109" s="15">
        <f t="shared" si="91"/>
        <v>2.8832</v>
      </c>
      <c r="S109" s="14"/>
      <c r="T109" s="220">
        <v>6.4</v>
      </c>
      <c r="U109" s="13">
        <v>4.7</v>
      </c>
      <c r="V109" s="13">
        <v>7.3</v>
      </c>
      <c r="W109" s="13">
        <v>6.3</v>
      </c>
      <c r="X109" s="28">
        <v>6.6</v>
      </c>
      <c r="Y109" s="220">
        <f>T116-T109</f>
        <v>2.2999999999999989</v>
      </c>
      <c r="Z109" s="13">
        <f t="shared" ref="Z109" si="113">U116-U109</f>
        <v>2.5999999999999996</v>
      </c>
      <c r="AA109" s="13">
        <f t="shared" ref="AA109" si="114">V116-V109</f>
        <v>1.2999999999999998</v>
      </c>
      <c r="AB109" s="13">
        <f t="shared" ref="AB109" si="115">W116-W109</f>
        <v>1.5</v>
      </c>
      <c r="AC109" s="28">
        <f t="shared" ref="AC109" si="116">X116-X109</f>
        <v>1.5</v>
      </c>
      <c r="AD109" s="219">
        <v>0.1802</v>
      </c>
      <c r="AE109" s="220">
        <f t="shared" si="106"/>
        <v>0.41445999999999983</v>
      </c>
      <c r="AF109" s="13">
        <f t="shared" si="96"/>
        <v>0.46851999999999994</v>
      </c>
      <c r="AG109" s="13">
        <f t="shared" si="97"/>
        <v>0.23425999999999997</v>
      </c>
      <c r="AH109" s="13">
        <f t="shared" si="98"/>
        <v>0.27029999999999998</v>
      </c>
      <c r="AI109" s="28">
        <f t="shared" si="99"/>
        <v>0.27029999999999998</v>
      </c>
      <c r="AJ109" s="14"/>
      <c r="AK109" s="12"/>
      <c r="AL109" s="12"/>
      <c r="AM109" s="12"/>
      <c r="AN109" s="12"/>
      <c r="AO109" s="12"/>
      <c r="AP109" s="14"/>
      <c r="AQ109" s="13"/>
    </row>
    <row r="110" spans="2:43" s="1" customFormat="1">
      <c r="B110" s="205"/>
      <c r="C110" s="171">
        <v>5</v>
      </c>
      <c r="D110" s="14">
        <v>15</v>
      </c>
      <c r="E110" s="14">
        <v>16</v>
      </c>
      <c r="F110" s="14">
        <v>24</v>
      </c>
      <c r="G110" s="15">
        <v>27</v>
      </c>
      <c r="H110" s="171">
        <f>C115-C110</f>
        <v>7</v>
      </c>
      <c r="I110" s="184">
        <f t="shared" ref="I110:L110" si="117">D115-D110</f>
        <v>8</v>
      </c>
      <c r="J110" s="14">
        <f t="shared" si="117"/>
        <v>10</v>
      </c>
      <c r="K110" s="14">
        <f t="shared" si="117"/>
        <v>13</v>
      </c>
      <c r="L110" s="15">
        <f t="shared" si="117"/>
        <v>10</v>
      </c>
      <c r="M110" s="178">
        <v>0.124</v>
      </c>
      <c r="N110" s="171">
        <f t="shared" si="101"/>
        <v>0.86799999999999999</v>
      </c>
      <c r="O110" s="14">
        <f t="shared" si="91"/>
        <v>0.99199999999999999</v>
      </c>
      <c r="P110" s="14">
        <f t="shared" si="91"/>
        <v>1.24</v>
      </c>
      <c r="Q110" s="14">
        <f t="shared" si="91"/>
        <v>1.6120000000000001</v>
      </c>
      <c r="R110" s="15">
        <f t="shared" si="91"/>
        <v>1.24</v>
      </c>
      <c r="S110" s="14"/>
      <c r="T110" s="220">
        <v>6.5</v>
      </c>
      <c r="U110" s="13">
        <v>4.8</v>
      </c>
      <c r="V110" s="13">
        <v>7.6</v>
      </c>
      <c r="W110" s="13">
        <v>6.4</v>
      </c>
      <c r="X110" s="28">
        <v>6.9</v>
      </c>
      <c r="Y110" s="220">
        <f>T115-T110</f>
        <v>1.4000000000000004</v>
      </c>
      <c r="Z110" s="13">
        <f t="shared" ref="Z110" si="118">U115-U110</f>
        <v>2.1000000000000005</v>
      </c>
      <c r="AA110" s="13">
        <f t="shared" ref="AA110" si="119">V115-V110</f>
        <v>0.80000000000000071</v>
      </c>
      <c r="AB110" s="13">
        <f t="shared" ref="AB110" si="120">W115-W110</f>
        <v>0.79999999999999982</v>
      </c>
      <c r="AC110" s="28">
        <f t="shared" ref="AC110" si="121">X115-X110</f>
        <v>1.1999999999999993</v>
      </c>
      <c r="AD110" s="219">
        <v>0.124</v>
      </c>
      <c r="AE110" s="220">
        <f t="shared" si="106"/>
        <v>0.17360000000000003</v>
      </c>
      <c r="AF110" s="13">
        <f t="shared" si="96"/>
        <v>0.26040000000000008</v>
      </c>
      <c r="AG110" s="13">
        <f t="shared" si="97"/>
        <v>9.9200000000000094E-2</v>
      </c>
      <c r="AH110" s="13">
        <f t="shared" si="98"/>
        <v>9.9199999999999983E-2</v>
      </c>
      <c r="AI110" s="28">
        <f t="shared" si="99"/>
        <v>0.1487999999999999</v>
      </c>
      <c r="AJ110" s="14"/>
      <c r="AK110" s="12"/>
      <c r="AL110" s="12"/>
      <c r="AM110" s="12"/>
      <c r="AN110" s="12"/>
      <c r="AO110" s="12"/>
      <c r="AP110" s="14"/>
      <c r="AQ110" s="13"/>
    </row>
    <row r="111" spans="2:43" s="1" customFormat="1">
      <c r="B111" s="205"/>
      <c r="C111" s="171">
        <v>6</v>
      </c>
      <c r="D111" s="14">
        <v>16</v>
      </c>
      <c r="E111" s="14">
        <v>19</v>
      </c>
      <c r="F111" s="14">
        <v>27</v>
      </c>
      <c r="G111" s="15">
        <v>29</v>
      </c>
      <c r="H111" s="171">
        <f>C114-C111</f>
        <v>5</v>
      </c>
      <c r="I111" s="184">
        <f t="shared" ref="I111:L111" si="122">D114-D111</f>
        <v>4</v>
      </c>
      <c r="J111" s="14">
        <f t="shared" si="122"/>
        <v>5</v>
      </c>
      <c r="K111" s="14">
        <f t="shared" si="122"/>
        <v>4</v>
      </c>
      <c r="L111" s="15">
        <f t="shared" si="122"/>
        <v>5</v>
      </c>
      <c r="M111" s="178">
        <v>7.2700000000000001E-2</v>
      </c>
      <c r="N111" s="171">
        <f t="shared" si="101"/>
        <v>0.36349999999999999</v>
      </c>
      <c r="O111" s="14">
        <f t="shared" si="91"/>
        <v>0.2908</v>
      </c>
      <c r="P111" s="14">
        <f t="shared" si="91"/>
        <v>0.36349999999999999</v>
      </c>
      <c r="Q111" s="14">
        <f t="shared" si="91"/>
        <v>0.2908</v>
      </c>
      <c r="R111" s="15">
        <f t="shared" si="91"/>
        <v>0.36349999999999999</v>
      </c>
      <c r="S111" s="14"/>
      <c r="T111" s="220">
        <v>6.5</v>
      </c>
      <c r="U111" s="13">
        <v>5.6</v>
      </c>
      <c r="V111" s="13">
        <v>7.7</v>
      </c>
      <c r="W111" s="13">
        <v>6.4</v>
      </c>
      <c r="X111" s="28">
        <v>7.2</v>
      </c>
      <c r="Y111" s="220">
        <f>T114-T111</f>
        <v>0.90000000000000036</v>
      </c>
      <c r="Z111" s="13">
        <f t="shared" ref="Z111" si="123">U114-U111</f>
        <v>1.2000000000000002</v>
      </c>
      <c r="AA111" s="13">
        <f t="shared" ref="AA111" si="124">V114-V111</f>
        <v>0.60000000000000053</v>
      </c>
      <c r="AB111" s="13">
        <f t="shared" ref="AB111" si="125">W114-W111</f>
        <v>0.69999999999999929</v>
      </c>
      <c r="AC111" s="28">
        <f t="shared" ref="AC111" si="126">X114-X111</f>
        <v>0.29999999999999982</v>
      </c>
      <c r="AD111" s="219">
        <v>7.2700000000000001E-2</v>
      </c>
      <c r="AE111" s="220">
        <f t="shared" si="106"/>
        <v>6.543000000000003E-2</v>
      </c>
      <c r="AF111" s="13">
        <f t="shared" si="96"/>
        <v>8.7240000000000012E-2</v>
      </c>
      <c r="AG111" s="13">
        <f t="shared" si="97"/>
        <v>4.3620000000000041E-2</v>
      </c>
      <c r="AH111" s="13">
        <f t="shared" si="98"/>
        <v>5.0889999999999949E-2</v>
      </c>
      <c r="AI111" s="28">
        <f t="shared" si="99"/>
        <v>2.1809999999999986E-2</v>
      </c>
      <c r="AJ111" s="14"/>
      <c r="AK111" s="12"/>
      <c r="AL111" s="12"/>
      <c r="AM111" s="12"/>
      <c r="AN111" s="12"/>
      <c r="AO111" s="12"/>
      <c r="AP111" s="14"/>
      <c r="AQ111" s="13"/>
    </row>
    <row r="112" spans="2:43" s="1" customFormat="1">
      <c r="B112" s="205"/>
      <c r="C112" s="171">
        <v>7</v>
      </c>
      <c r="D112" s="14">
        <v>16</v>
      </c>
      <c r="E112" s="14">
        <v>20</v>
      </c>
      <c r="F112" s="14">
        <v>27</v>
      </c>
      <c r="G112" s="15">
        <v>29</v>
      </c>
      <c r="H112" s="172">
        <f>C113-C112</f>
        <v>2</v>
      </c>
      <c r="I112" s="217">
        <f t="shared" ref="I112:L112" si="127">D113-D112</f>
        <v>0</v>
      </c>
      <c r="J112" s="17">
        <f t="shared" si="127"/>
        <v>2</v>
      </c>
      <c r="K112" s="17">
        <f t="shared" si="127"/>
        <v>1</v>
      </c>
      <c r="L112" s="18">
        <f t="shared" si="127"/>
        <v>3</v>
      </c>
      <c r="M112" s="179">
        <v>2.4E-2</v>
      </c>
      <c r="N112" s="172">
        <f t="shared" si="101"/>
        <v>4.8000000000000001E-2</v>
      </c>
      <c r="O112" s="17">
        <f t="shared" si="91"/>
        <v>0</v>
      </c>
      <c r="P112" s="17">
        <f t="shared" si="91"/>
        <v>4.8000000000000001E-2</v>
      </c>
      <c r="Q112" s="17">
        <f t="shared" si="91"/>
        <v>2.4E-2</v>
      </c>
      <c r="R112" s="18">
        <f t="shared" si="91"/>
        <v>7.2000000000000008E-2</v>
      </c>
      <c r="S112" s="14"/>
      <c r="T112" s="220">
        <v>6.5</v>
      </c>
      <c r="U112" s="13">
        <v>5.7</v>
      </c>
      <c r="V112" s="13">
        <v>8.1999999999999993</v>
      </c>
      <c r="W112" s="13">
        <v>6.7</v>
      </c>
      <c r="X112" s="28">
        <v>7.3</v>
      </c>
      <c r="Y112" s="212">
        <f>T113-T112</f>
        <v>0.70000000000000018</v>
      </c>
      <c r="Z112" s="16">
        <f t="shared" ref="Z112" si="128">U113-U112</f>
        <v>0.39999999999999947</v>
      </c>
      <c r="AA112" s="16">
        <f t="shared" ref="AA112" si="129">V113-V112</f>
        <v>0</v>
      </c>
      <c r="AB112" s="16">
        <f t="shared" ref="AB112" si="130">W113-W112</f>
        <v>0</v>
      </c>
      <c r="AC112" s="174">
        <f t="shared" ref="AC112" si="131">X113-X112</f>
        <v>0.10000000000000053</v>
      </c>
      <c r="AD112" s="224">
        <v>2.4E-2</v>
      </c>
      <c r="AE112" s="212">
        <f t="shared" si="106"/>
        <v>1.6800000000000006E-2</v>
      </c>
      <c r="AF112" s="16">
        <f t="shared" si="96"/>
        <v>9.599999999999987E-3</v>
      </c>
      <c r="AG112" s="16">
        <f t="shared" si="97"/>
        <v>0</v>
      </c>
      <c r="AH112" s="16">
        <f t="shared" si="98"/>
        <v>0</v>
      </c>
      <c r="AI112" s="174">
        <f t="shared" si="99"/>
        <v>2.4000000000000128E-3</v>
      </c>
      <c r="AJ112" s="14"/>
      <c r="AK112" s="12"/>
      <c r="AL112" s="12"/>
      <c r="AM112" s="12"/>
      <c r="AN112" s="12"/>
      <c r="AO112" s="12"/>
      <c r="AP112" s="14"/>
      <c r="AQ112" s="13"/>
    </row>
    <row r="113" spans="2:43" s="1" customFormat="1">
      <c r="B113" s="205"/>
      <c r="C113" s="171">
        <v>9</v>
      </c>
      <c r="D113" s="14">
        <v>16</v>
      </c>
      <c r="E113" s="14">
        <v>22</v>
      </c>
      <c r="F113" s="14">
        <v>28</v>
      </c>
      <c r="G113" s="15">
        <v>32</v>
      </c>
      <c r="H113" s="14"/>
      <c r="I113" s="25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220">
        <v>7.2</v>
      </c>
      <c r="U113" s="13">
        <v>6.1</v>
      </c>
      <c r="V113" s="13">
        <v>8.1999999999999993</v>
      </c>
      <c r="W113" s="13">
        <v>6.7</v>
      </c>
      <c r="X113" s="28">
        <v>7.4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4"/>
      <c r="AK113" s="12"/>
      <c r="AL113" s="12"/>
      <c r="AM113" s="12"/>
      <c r="AN113" s="12"/>
      <c r="AO113" s="12"/>
      <c r="AP113" s="14"/>
      <c r="AQ113" s="13"/>
    </row>
    <row r="114" spans="2:43" s="1" customFormat="1">
      <c r="B114" s="205"/>
      <c r="C114" s="171">
        <v>11</v>
      </c>
      <c r="D114" s="14">
        <v>20</v>
      </c>
      <c r="E114" s="14">
        <v>24</v>
      </c>
      <c r="F114" s="14">
        <v>31</v>
      </c>
      <c r="G114" s="15">
        <v>34</v>
      </c>
      <c r="H114" s="14"/>
      <c r="I114" s="254"/>
      <c r="J114" s="14"/>
      <c r="K114" s="14"/>
      <c r="L114" s="14"/>
      <c r="M114" s="196" t="s">
        <v>182</v>
      </c>
      <c r="N114" s="196">
        <f>SUM(N106:N112)</f>
        <v>24.902499999999993</v>
      </c>
      <c r="O114" s="196">
        <f t="shared" ref="O114:R114" si="132">SUM(O106:O112)</f>
        <v>25.835100000000001</v>
      </c>
      <c r="P114" s="196">
        <f t="shared" si="132"/>
        <v>30.595699999999997</v>
      </c>
      <c r="Q114" s="196">
        <f t="shared" si="132"/>
        <v>42.770800000000001</v>
      </c>
      <c r="R114" s="196">
        <f t="shared" si="132"/>
        <v>39.193200000000012</v>
      </c>
      <c r="S114" s="14"/>
      <c r="T114" s="220">
        <v>7.4</v>
      </c>
      <c r="U114" s="13">
        <v>6.8</v>
      </c>
      <c r="V114" s="13">
        <v>8.3000000000000007</v>
      </c>
      <c r="W114" s="13">
        <v>7.1</v>
      </c>
      <c r="X114" s="28">
        <v>7.5</v>
      </c>
      <c r="Y114" s="13"/>
      <c r="Z114" s="13"/>
      <c r="AA114" s="13"/>
      <c r="AB114" s="13"/>
      <c r="AC114" s="13"/>
      <c r="AD114" s="204" t="s">
        <v>182</v>
      </c>
      <c r="AE114" s="204">
        <f>SUM(AE106:AE112)</f>
        <v>6.4763100000000007</v>
      </c>
      <c r="AF114" s="204">
        <f t="shared" ref="AF114:AI114" si="133">SUM(AF106:AF112)</f>
        <v>6.4299999999999988</v>
      </c>
      <c r="AG114" s="204">
        <f t="shared" si="133"/>
        <v>5.7895999999999983</v>
      </c>
      <c r="AH114" s="204">
        <f t="shared" si="133"/>
        <v>3.7897799999999999</v>
      </c>
      <c r="AI114" s="204">
        <f t="shared" si="133"/>
        <v>3.9016999999999995</v>
      </c>
      <c r="AJ114" s="14"/>
      <c r="AK114" s="12"/>
      <c r="AL114" s="12"/>
      <c r="AM114" s="12"/>
      <c r="AN114" s="12"/>
      <c r="AO114" s="12"/>
      <c r="AP114" s="14"/>
      <c r="AQ114" s="13"/>
    </row>
    <row r="115" spans="2:43" s="1" customFormat="1">
      <c r="B115" s="205"/>
      <c r="C115" s="171">
        <v>12</v>
      </c>
      <c r="D115" s="14">
        <v>23</v>
      </c>
      <c r="E115" s="14">
        <v>26</v>
      </c>
      <c r="F115" s="14">
        <v>37</v>
      </c>
      <c r="G115" s="15">
        <v>37</v>
      </c>
      <c r="H115" s="14"/>
      <c r="I115" s="254"/>
      <c r="J115" s="14"/>
      <c r="K115" s="14"/>
      <c r="L115" s="14"/>
      <c r="M115" s="196" t="s">
        <v>183</v>
      </c>
      <c r="N115" s="196">
        <f>ROUND(N114^2/C69,3)</f>
        <v>0.94599999999999995</v>
      </c>
      <c r="O115" s="196">
        <f t="shared" ref="O115:Q115" si="134">ROUND(O114^2/D69,3)</f>
        <v>0.97099999999999997</v>
      </c>
      <c r="P115" s="196">
        <f t="shared" si="134"/>
        <v>0.92</v>
      </c>
      <c r="Q115" s="196">
        <f t="shared" si="134"/>
        <v>0.95699999999999996</v>
      </c>
      <c r="R115" s="196">
        <f>ROUND(R114^2/G69,3)</f>
        <v>0.95799999999999996</v>
      </c>
      <c r="S115" s="14"/>
      <c r="T115" s="220">
        <v>7.9</v>
      </c>
      <c r="U115" s="13">
        <v>6.9</v>
      </c>
      <c r="V115" s="13">
        <v>8.4</v>
      </c>
      <c r="W115" s="13">
        <v>7.2</v>
      </c>
      <c r="X115" s="28">
        <v>8.1</v>
      </c>
      <c r="Y115" s="13"/>
      <c r="Z115" s="13"/>
      <c r="AA115" s="13"/>
      <c r="AB115" s="13"/>
      <c r="AC115" s="13"/>
      <c r="AD115" s="204" t="s">
        <v>183</v>
      </c>
      <c r="AE115" s="204">
        <f>ROUND(AE114^2/T69,3)</f>
        <v>0.94499999999999995</v>
      </c>
      <c r="AF115" s="204">
        <f t="shared" ref="AF115" si="135">ROUND(AF114^2/U69,3)</f>
        <v>0.95499999999999996</v>
      </c>
      <c r="AG115" s="204">
        <f t="shared" ref="AG115" si="136">ROUND(AG114^2/V69,3)</f>
        <v>0.91500000000000004</v>
      </c>
      <c r="AH115" s="204">
        <f t="shared" ref="AH115" si="137">ROUND(AH114^2/W69,3)</f>
        <v>0.93700000000000006</v>
      </c>
      <c r="AI115" s="204">
        <f>ROUND(AI114^2/X69,3)</f>
        <v>0.95499999999999996</v>
      </c>
      <c r="AJ115" s="14"/>
      <c r="AK115" s="12"/>
      <c r="AL115" s="12"/>
      <c r="AM115" s="12"/>
      <c r="AN115" s="12"/>
      <c r="AO115" s="12"/>
      <c r="AP115" s="14"/>
      <c r="AQ115" s="13"/>
    </row>
    <row r="116" spans="2:43" s="1" customFormat="1">
      <c r="B116" s="205"/>
      <c r="C116" s="171">
        <v>14</v>
      </c>
      <c r="D116" s="14">
        <v>24</v>
      </c>
      <c r="E116" s="14">
        <v>26</v>
      </c>
      <c r="F116" s="14">
        <v>40</v>
      </c>
      <c r="G116" s="15">
        <v>39</v>
      </c>
      <c r="H116" s="14"/>
      <c r="I116" s="254"/>
      <c r="J116" s="14"/>
      <c r="K116" s="14"/>
      <c r="L116" s="14"/>
      <c r="M116" s="196" t="s">
        <v>184</v>
      </c>
      <c r="N116" s="436">
        <v>0.874</v>
      </c>
      <c r="O116" s="437"/>
      <c r="P116" s="437"/>
      <c r="Q116" s="437"/>
      <c r="R116" s="438"/>
      <c r="S116" s="14"/>
      <c r="T116" s="220">
        <v>8.6999999999999993</v>
      </c>
      <c r="U116" s="13">
        <v>7.3</v>
      </c>
      <c r="V116" s="13">
        <v>8.6</v>
      </c>
      <c r="W116" s="13">
        <v>7.8</v>
      </c>
      <c r="X116" s="28">
        <v>8.1</v>
      </c>
      <c r="Y116" s="13"/>
      <c r="Z116" s="13"/>
      <c r="AA116" s="13"/>
      <c r="AB116" s="13"/>
      <c r="AC116" s="13"/>
      <c r="AD116" s="204" t="s">
        <v>184</v>
      </c>
      <c r="AE116" s="446">
        <v>0.874</v>
      </c>
      <c r="AF116" s="447"/>
      <c r="AG116" s="447"/>
      <c r="AH116" s="447"/>
      <c r="AI116" s="448"/>
      <c r="AJ116" s="14"/>
      <c r="AK116" s="12"/>
      <c r="AL116" s="12"/>
      <c r="AM116" s="12"/>
      <c r="AN116" s="12"/>
      <c r="AO116" s="12"/>
      <c r="AP116" s="14"/>
      <c r="AQ116" s="13"/>
    </row>
    <row r="117" spans="2:43" s="1" customFormat="1">
      <c r="B117" s="205"/>
      <c r="C117" s="171">
        <v>17</v>
      </c>
      <c r="D117" s="14">
        <v>25</v>
      </c>
      <c r="E117" s="14">
        <v>28</v>
      </c>
      <c r="F117" s="14">
        <v>41</v>
      </c>
      <c r="G117" s="15">
        <v>40</v>
      </c>
      <c r="H117" s="14"/>
      <c r="I117" s="25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220">
        <v>8.8000000000000007</v>
      </c>
      <c r="U117" s="13">
        <v>7.7</v>
      </c>
      <c r="V117" s="13">
        <v>8.6999999999999993</v>
      </c>
      <c r="W117" s="13">
        <v>7.8</v>
      </c>
      <c r="X117" s="28">
        <v>8.3000000000000007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4"/>
      <c r="AK117" s="12"/>
      <c r="AL117" s="12"/>
      <c r="AM117" s="12"/>
      <c r="AN117" s="12"/>
      <c r="AO117" s="12"/>
      <c r="AP117" s="14"/>
      <c r="AQ117" s="13"/>
    </row>
    <row r="118" spans="2:43" s="1" customFormat="1">
      <c r="B118" s="205"/>
      <c r="C118" s="171">
        <v>18</v>
      </c>
      <c r="D118" s="14">
        <v>27</v>
      </c>
      <c r="E118" s="14">
        <v>30</v>
      </c>
      <c r="F118" s="14">
        <v>45</v>
      </c>
      <c r="G118" s="15">
        <v>51</v>
      </c>
      <c r="H118" s="14"/>
      <c r="I118" s="25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220">
        <v>9.1999999999999993</v>
      </c>
      <c r="U118" s="13">
        <v>8</v>
      </c>
      <c r="V118" s="13">
        <v>9.1</v>
      </c>
      <c r="W118" s="13">
        <v>7.9</v>
      </c>
      <c r="X118" s="28">
        <v>9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4"/>
      <c r="AK118" s="12"/>
      <c r="AL118" s="12"/>
      <c r="AM118" s="12"/>
      <c r="AN118" s="12"/>
      <c r="AO118" s="12"/>
      <c r="AP118" s="14"/>
      <c r="AQ118" s="13"/>
    </row>
    <row r="119" spans="2:43" s="1" customFormat="1">
      <c r="B119" s="205"/>
      <c r="C119" s="172">
        <v>22</v>
      </c>
      <c r="D119" s="17">
        <v>31</v>
      </c>
      <c r="E119" s="17">
        <v>31</v>
      </c>
      <c r="F119" s="17">
        <v>56</v>
      </c>
      <c r="G119" s="18">
        <v>52</v>
      </c>
      <c r="H119" s="14"/>
      <c r="I119" s="25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212">
        <v>10.1</v>
      </c>
      <c r="U119" s="16">
        <v>8.1999999999999993</v>
      </c>
      <c r="V119" s="16">
        <v>11.7</v>
      </c>
      <c r="W119" s="16">
        <v>8.1</v>
      </c>
      <c r="X119" s="174">
        <v>10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4"/>
      <c r="AK119" s="12"/>
      <c r="AL119" s="12"/>
      <c r="AM119" s="12"/>
      <c r="AN119" s="12"/>
      <c r="AO119" s="12"/>
      <c r="AP119" s="14"/>
      <c r="AQ119" s="13"/>
    </row>
    <row r="120" spans="2:43" s="1" customFormat="1">
      <c r="B120" s="205"/>
      <c r="C120" s="12"/>
      <c r="D120" s="12"/>
      <c r="E120" s="12"/>
      <c r="F120" s="12"/>
      <c r="G120" s="12"/>
      <c r="H120" s="12"/>
      <c r="I120" s="186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4"/>
      <c r="AK120" s="12"/>
      <c r="AL120" s="12"/>
      <c r="AM120" s="12"/>
      <c r="AN120" s="12"/>
      <c r="AO120" s="12"/>
      <c r="AP120" s="14"/>
      <c r="AQ120" s="19"/>
    </row>
  </sheetData>
  <sortState ref="AA2:AA12">
    <sortCondition ref="AA2:AA12"/>
  </sortState>
  <mergeCells count="27">
    <mergeCell ref="A66:A74"/>
    <mergeCell ref="AL77:AN84"/>
    <mergeCell ref="AT77:AV84"/>
    <mergeCell ref="AQ77:AQ84"/>
    <mergeCell ref="A2:A12"/>
    <mergeCell ref="A15:A26"/>
    <mergeCell ref="A30:A43"/>
    <mergeCell ref="A48:A56"/>
    <mergeCell ref="A57:A65"/>
    <mergeCell ref="H77:L77"/>
    <mergeCell ref="N116:R116"/>
    <mergeCell ref="Y77:AC77"/>
    <mergeCell ref="Y90:AC90"/>
    <mergeCell ref="Y105:AC105"/>
    <mergeCell ref="AE77:AI77"/>
    <mergeCell ref="AE86:AI86"/>
    <mergeCell ref="AE90:AI90"/>
    <mergeCell ref="AE100:AI100"/>
    <mergeCell ref="AE105:AI105"/>
    <mergeCell ref="AE116:AI116"/>
    <mergeCell ref="H90:L90"/>
    <mergeCell ref="H105:L105"/>
    <mergeCell ref="N77:R77"/>
    <mergeCell ref="N90:R90"/>
    <mergeCell ref="N105:R105"/>
    <mergeCell ref="N100:R100"/>
    <mergeCell ref="N86:R8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172"/>
  <sheetViews>
    <sheetView workbookViewId="0">
      <selection activeCell="O169" sqref="O169"/>
    </sheetView>
  </sheetViews>
  <sheetFormatPr defaultColWidth="10.875" defaultRowHeight="15.75"/>
  <cols>
    <col min="1" max="1" width="7.5" style="272" bestFit="1" customWidth="1"/>
    <col min="2" max="2" width="14" style="273" bestFit="1" customWidth="1"/>
    <col min="3" max="7" width="12.875" style="135" bestFit="1" customWidth="1"/>
    <col min="8" max="8" width="14.25" style="135" customWidth="1"/>
    <col min="9" max="13" width="12.875" style="213" bestFit="1" customWidth="1"/>
    <col min="14" max="14" width="8.25" style="130" customWidth="1"/>
    <col min="15" max="19" width="12.875" style="135" bestFit="1" customWidth="1"/>
    <col min="20" max="20" width="3.5" style="130" customWidth="1"/>
    <col min="21" max="21" width="12.875" style="274" bestFit="1" customWidth="1"/>
    <col min="22" max="22" width="3.5" style="135" customWidth="1"/>
    <col min="23" max="29" width="9.5" style="135" bestFit="1" customWidth="1"/>
    <col min="30" max="30" width="10.5" style="135" bestFit="1" customWidth="1"/>
    <col min="31" max="16384" width="10.875" style="272"/>
  </cols>
  <sheetData>
    <row r="1" spans="1:32" s="319" customFormat="1">
      <c r="B1" s="320" t="s">
        <v>0</v>
      </c>
      <c r="C1" s="90" t="s">
        <v>12</v>
      </c>
      <c r="D1" s="90" t="s">
        <v>13</v>
      </c>
      <c r="E1" s="90" t="s">
        <v>14</v>
      </c>
      <c r="F1" s="90" t="s">
        <v>15</v>
      </c>
      <c r="G1" s="91" t="s">
        <v>16</v>
      </c>
      <c r="H1" s="305"/>
      <c r="I1" s="312" t="s">
        <v>155</v>
      </c>
      <c r="J1" s="313" t="s">
        <v>156</v>
      </c>
      <c r="K1" s="313" t="s">
        <v>157</v>
      </c>
      <c r="L1" s="313" t="s">
        <v>158</v>
      </c>
      <c r="M1" s="314" t="s">
        <v>159</v>
      </c>
      <c r="N1" s="305"/>
      <c r="O1" s="89" t="s">
        <v>88</v>
      </c>
      <c r="P1" s="90" t="s">
        <v>89</v>
      </c>
      <c r="Q1" s="90" t="s">
        <v>90</v>
      </c>
      <c r="R1" s="90" t="s">
        <v>91</v>
      </c>
      <c r="S1" s="91" t="s">
        <v>92</v>
      </c>
      <c r="T1" s="305"/>
      <c r="U1" s="321" t="s">
        <v>27</v>
      </c>
      <c r="W1" s="89" t="s">
        <v>17</v>
      </c>
      <c r="X1" s="90" t="s">
        <v>18</v>
      </c>
      <c r="Y1" s="90" t="s">
        <v>19</v>
      </c>
      <c r="Z1" s="90" t="s">
        <v>20</v>
      </c>
      <c r="AA1" s="90" t="s">
        <v>21</v>
      </c>
      <c r="AB1" s="90" t="s">
        <v>22</v>
      </c>
      <c r="AC1" s="90" t="s">
        <v>23</v>
      </c>
      <c r="AD1" s="90" t="s">
        <v>24</v>
      </c>
      <c r="AE1" s="90" t="s">
        <v>25</v>
      </c>
      <c r="AF1" s="91" t="s">
        <v>26</v>
      </c>
    </row>
    <row r="2" spans="1:32" s="324" customFormat="1">
      <c r="A2" s="408" t="s">
        <v>103</v>
      </c>
      <c r="B2" s="322" t="s">
        <v>1</v>
      </c>
      <c r="C2" s="92">
        <v>55</v>
      </c>
      <c r="D2" s="93">
        <v>28</v>
      </c>
      <c r="E2" s="93">
        <v>34</v>
      </c>
      <c r="F2" s="93">
        <v>48</v>
      </c>
      <c r="G2" s="94">
        <v>59</v>
      </c>
      <c r="H2" s="37"/>
      <c r="I2" s="315">
        <v>5.4</v>
      </c>
      <c r="J2" s="230">
        <v>1.3</v>
      </c>
      <c r="K2" s="230">
        <v>8.1999999999999993</v>
      </c>
      <c r="L2" s="230">
        <v>5.6</v>
      </c>
      <c r="M2" s="316">
        <v>6.5</v>
      </c>
      <c r="N2" s="37"/>
      <c r="O2" s="92">
        <v>334</v>
      </c>
      <c r="P2" s="93">
        <v>318</v>
      </c>
      <c r="Q2" s="93">
        <v>171</v>
      </c>
      <c r="R2" s="93">
        <v>195</v>
      </c>
      <c r="S2" s="94">
        <v>399</v>
      </c>
      <c r="T2" s="37"/>
      <c r="U2" s="323">
        <v>5</v>
      </c>
      <c r="V2" s="95"/>
      <c r="W2" s="92">
        <v>1</v>
      </c>
      <c r="X2" s="93">
        <v>0</v>
      </c>
      <c r="Y2" s="93">
        <v>2</v>
      </c>
      <c r="Z2" s="93">
        <v>0</v>
      </c>
      <c r="AA2" s="93">
        <v>1</v>
      </c>
      <c r="AB2" s="93">
        <v>2</v>
      </c>
      <c r="AC2" s="93">
        <v>1</v>
      </c>
      <c r="AD2" s="93">
        <v>0</v>
      </c>
      <c r="AE2" s="93">
        <v>1</v>
      </c>
      <c r="AF2" s="94">
        <v>0</v>
      </c>
    </row>
    <row r="3" spans="1:32" s="324" customFormat="1">
      <c r="A3" s="409"/>
      <c r="B3" s="325" t="s">
        <v>2</v>
      </c>
      <c r="C3" s="38">
        <v>71</v>
      </c>
      <c r="D3" s="37">
        <v>12</v>
      </c>
      <c r="E3" s="37">
        <v>9</v>
      </c>
      <c r="F3" s="37">
        <v>24</v>
      </c>
      <c r="G3" s="39">
        <v>59</v>
      </c>
      <c r="H3" s="37"/>
      <c r="I3" s="315">
        <v>4.9000000000000004</v>
      </c>
      <c r="J3" s="230">
        <v>9.6</v>
      </c>
      <c r="K3" s="230">
        <v>8.5</v>
      </c>
      <c r="L3" s="230">
        <v>5.8</v>
      </c>
      <c r="M3" s="316">
        <v>4.9000000000000004</v>
      </c>
      <c r="N3" s="37"/>
      <c r="O3" s="38">
        <v>307</v>
      </c>
      <c r="P3" s="37">
        <v>360</v>
      </c>
      <c r="Q3" s="37">
        <v>369</v>
      </c>
      <c r="R3" s="37">
        <v>355</v>
      </c>
      <c r="S3" s="39">
        <v>272</v>
      </c>
      <c r="T3" s="37"/>
      <c r="U3" s="326">
        <v>8</v>
      </c>
      <c r="V3" s="95"/>
      <c r="W3" s="38">
        <v>2</v>
      </c>
      <c r="X3" s="37">
        <v>0</v>
      </c>
      <c r="Y3" s="37">
        <v>1</v>
      </c>
      <c r="Z3" s="37">
        <v>0</v>
      </c>
      <c r="AA3" s="37">
        <v>2</v>
      </c>
      <c r="AB3" s="37">
        <v>0</v>
      </c>
      <c r="AC3" s="37">
        <v>1</v>
      </c>
      <c r="AD3" s="37">
        <v>0</v>
      </c>
      <c r="AE3" s="37">
        <v>2</v>
      </c>
      <c r="AF3" s="39">
        <v>0</v>
      </c>
    </row>
    <row r="4" spans="1:32" s="324" customFormat="1">
      <c r="A4" s="409"/>
      <c r="B4" s="325" t="s">
        <v>3</v>
      </c>
      <c r="C4" s="38">
        <v>73</v>
      </c>
      <c r="D4" s="37">
        <v>34</v>
      </c>
      <c r="E4" s="37">
        <v>25</v>
      </c>
      <c r="F4" s="37">
        <v>40</v>
      </c>
      <c r="G4" s="39">
        <v>64</v>
      </c>
      <c r="H4" s="37"/>
      <c r="I4" s="315">
        <v>7.1</v>
      </c>
      <c r="J4" s="230">
        <v>9.4</v>
      </c>
      <c r="K4" s="230">
        <v>5.8</v>
      </c>
      <c r="L4" s="230">
        <v>5.6</v>
      </c>
      <c r="M4" s="316">
        <v>4.3</v>
      </c>
      <c r="N4" s="37"/>
      <c r="O4" s="38">
        <v>473</v>
      </c>
      <c r="P4" s="37">
        <v>287</v>
      </c>
      <c r="Q4" s="37">
        <v>116</v>
      </c>
      <c r="R4" s="37">
        <v>238</v>
      </c>
      <c r="S4" s="39">
        <v>432</v>
      </c>
      <c r="T4" s="37"/>
      <c r="U4" s="326">
        <v>6</v>
      </c>
      <c r="V4" s="95"/>
      <c r="W4" s="38">
        <v>0</v>
      </c>
      <c r="X4" s="37">
        <v>0</v>
      </c>
      <c r="Y4" s="37">
        <v>1</v>
      </c>
      <c r="Z4" s="37">
        <v>1</v>
      </c>
      <c r="AA4" s="37">
        <v>2</v>
      </c>
      <c r="AB4" s="37">
        <v>0</v>
      </c>
      <c r="AC4" s="37">
        <v>1</v>
      </c>
      <c r="AD4" s="37">
        <v>1</v>
      </c>
      <c r="AE4" s="37">
        <v>0</v>
      </c>
      <c r="AF4" s="39">
        <v>0</v>
      </c>
    </row>
    <row r="5" spans="1:32" s="324" customFormat="1">
      <c r="A5" s="409"/>
      <c r="B5" s="325" t="s">
        <v>4</v>
      </c>
      <c r="C5" s="38">
        <v>50</v>
      </c>
      <c r="D5" s="37">
        <v>35</v>
      </c>
      <c r="E5" s="37">
        <v>21</v>
      </c>
      <c r="F5" s="37">
        <v>43</v>
      </c>
      <c r="G5" s="39">
        <v>66</v>
      </c>
      <c r="H5" s="37"/>
      <c r="I5" s="315">
        <v>1</v>
      </c>
      <c r="J5" s="230">
        <v>7.8</v>
      </c>
      <c r="K5" s="230">
        <v>8.1999999999999993</v>
      </c>
      <c r="L5" s="230">
        <v>5.2</v>
      </c>
      <c r="M5" s="316">
        <v>6.1</v>
      </c>
      <c r="N5" s="37"/>
      <c r="O5" s="38">
        <v>371</v>
      </c>
      <c r="P5" s="37">
        <v>317</v>
      </c>
      <c r="Q5" s="37">
        <v>232</v>
      </c>
      <c r="R5" s="37">
        <v>189</v>
      </c>
      <c r="S5" s="39">
        <v>379</v>
      </c>
      <c r="T5" s="37"/>
      <c r="U5" s="326">
        <v>3</v>
      </c>
      <c r="V5" s="95"/>
      <c r="W5" s="38">
        <v>1</v>
      </c>
      <c r="X5" s="37">
        <v>0</v>
      </c>
      <c r="Y5" s="37">
        <v>3</v>
      </c>
      <c r="Z5" s="37">
        <v>0</v>
      </c>
      <c r="AA5" s="37">
        <v>1</v>
      </c>
      <c r="AB5" s="37">
        <v>0</v>
      </c>
      <c r="AC5" s="37">
        <v>2</v>
      </c>
      <c r="AD5" s="37">
        <v>0</v>
      </c>
      <c r="AE5" s="37">
        <v>0</v>
      </c>
      <c r="AF5" s="39">
        <v>0</v>
      </c>
    </row>
    <row r="6" spans="1:32" s="324" customFormat="1">
      <c r="A6" s="409"/>
      <c r="B6" s="325" t="s">
        <v>5</v>
      </c>
      <c r="C6" s="38">
        <v>54</v>
      </c>
      <c r="D6" s="37">
        <v>15</v>
      </c>
      <c r="E6" s="37">
        <v>30</v>
      </c>
      <c r="F6" s="37">
        <v>40</v>
      </c>
      <c r="G6" s="39">
        <v>45</v>
      </c>
      <c r="H6" s="37"/>
      <c r="I6" s="315">
        <v>1.1000000000000001</v>
      </c>
      <c r="J6" s="230">
        <v>6.1</v>
      </c>
      <c r="K6" s="230">
        <v>8.1999999999999993</v>
      </c>
      <c r="L6" s="230">
        <v>5.7</v>
      </c>
      <c r="M6" s="316">
        <v>6.4</v>
      </c>
      <c r="N6" s="37"/>
      <c r="O6" s="38">
        <v>402</v>
      </c>
      <c r="P6" s="37">
        <v>256</v>
      </c>
      <c r="Q6" s="37">
        <v>353</v>
      </c>
      <c r="R6" s="37">
        <v>243</v>
      </c>
      <c r="S6" s="39">
        <v>491</v>
      </c>
      <c r="T6" s="37"/>
      <c r="U6" s="326">
        <v>5</v>
      </c>
      <c r="V6" s="95"/>
      <c r="W6" s="38">
        <v>0</v>
      </c>
      <c r="X6" s="37">
        <v>0</v>
      </c>
      <c r="Y6" s="37">
        <v>0</v>
      </c>
      <c r="Z6" s="37">
        <v>0</v>
      </c>
      <c r="AA6" s="37">
        <v>1</v>
      </c>
      <c r="AB6" s="37">
        <v>0</v>
      </c>
      <c r="AC6" s="37">
        <v>1</v>
      </c>
      <c r="AD6" s="37">
        <v>0</v>
      </c>
      <c r="AE6" s="37">
        <v>0</v>
      </c>
      <c r="AF6" s="39">
        <v>0</v>
      </c>
    </row>
    <row r="7" spans="1:32" s="324" customFormat="1">
      <c r="A7" s="409"/>
      <c r="B7" s="325" t="s">
        <v>6</v>
      </c>
      <c r="C7" s="38">
        <v>55</v>
      </c>
      <c r="D7" s="37">
        <v>21</v>
      </c>
      <c r="E7" s="37">
        <v>25</v>
      </c>
      <c r="F7" s="37">
        <v>28</v>
      </c>
      <c r="G7" s="39">
        <v>58</v>
      </c>
      <c r="H7" s="37"/>
      <c r="I7" s="315">
        <v>2.2000000000000002</v>
      </c>
      <c r="J7" s="230">
        <v>6.5</v>
      </c>
      <c r="K7" s="230">
        <v>7.8</v>
      </c>
      <c r="L7" s="230">
        <v>7.4</v>
      </c>
      <c r="M7" s="316">
        <v>7.4</v>
      </c>
      <c r="N7" s="37"/>
      <c r="O7" s="38">
        <v>413</v>
      </c>
      <c r="P7" s="37">
        <v>241</v>
      </c>
      <c r="Q7" s="37">
        <v>242</v>
      </c>
      <c r="R7" s="37">
        <v>312</v>
      </c>
      <c r="S7" s="39">
        <v>298</v>
      </c>
      <c r="T7" s="37"/>
      <c r="U7" s="326">
        <v>6</v>
      </c>
      <c r="V7" s="95"/>
      <c r="W7" s="38">
        <v>2</v>
      </c>
      <c r="X7" s="37">
        <v>0</v>
      </c>
      <c r="Y7" s="37">
        <v>2</v>
      </c>
      <c r="Z7" s="37">
        <v>2</v>
      </c>
      <c r="AA7" s="37">
        <v>0</v>
      </c>
      <c r="AB7" s="37">
        <v>0</v>
      </c>
      <c r="AC7" s="37">
        <v>2</v>
      </c>
      <c r="AD7" s="37">
        <v>0</v>
      </c>
      <c r="AE7" s="37">
        <v>1</v>
      </c>
      <c r="AF7" s="39">
        <v>0</v>
      </c>
    </row>
    <row r="8" spans="1:32" s="324" customFormat="1">
      <c r="A8" s="409"/>
      <c r="B8" s="325" t="s">
        <v>7</v>
      </c>
      <c r="C8" s="38">
        <v>55</v>
      </c>
      <c r="D8" s="37">
        <v>28</v>
      </c>
      <c r="E8" s="37">
        <v>40</v>
      </c>
      <c r="F8" s="37">
        <v>33</v>
      </c>
      <c r="G8" s="39">
        <v>67</v>
      </c>
      <c r="H8" s="37"/>
      <c r="I8" s="315">
        <v>1.9</v>
      </c>
      <c r="J8" s="230">
        <v>4.2</v>
      </c>
      <c r="K8" s="230">
        <v>6.5</v>
      </c>
      <c r="L8" s="230">
        <v>7</v>
      </c>
      <c r="M8" s="316">
        <v>8</v>
      </c>
      <c r="N8" s="37"/>
      <c r="O8" s="38">
        <v>224</v>
      </c>
      <c r="P8" s="37">
        <v>222</v>
      </c>
      <c r="Q8" s="37">
        <v>370</v>
      </c>
      <c r="R8" s="37">
        <v>205</v>
      </c>
      <c r="S8" s="39">
        <v>358</v>
      </c>
      <c r="T8" s="37"/>
      <c r="U8" s="326">
        <v>5</v>
      </c>
      <c r="V8" s="95"/>
      <c r="W8" s="38">
        <v>1</v>
      </c>
      <c r="X8" s="37">
        <v>0</v>
      </c>
      <c r="Y8" s="37">
        <v>1</v>
      </c>
      <c r="Z8" s="37">
        <v>0</v>
      </c>
      <c r="AA8" s="37">
        <v>0</v>
      </c>
      <c r="AB8" s="37">
        <v>0</v>
      </c>
      <c r="AC8" s="37">
        <v>1</v>
      </c>
      <c r="AD8" s="37">
        <v>0</v>
      </c>
      <c r="AE8" s="37">
        <v>0</v>
      </c>
      <c r="AF8" s="39">
        <v>0</v>
      </c>
    </row>
    <row r="9" spans="1:32" s="324" customFormat="1">
      <c r="A9" s="409"/>
      <c r="B9" s="325" t="s">
        <v>8</v>
      </c>
      <c r="C9" s="38">
        <v>57</v>
      </c>
      <c r="D9" s="37">
        <v>34</v>
      </c>
      <c r="E9" s="37">
        <v>27</v>
      </c>
      <c r="F9" s="37">
        <v>37</v>
      </c>
      <c r="G9" s="39">
        <v>62</v>
      </c>
      <c r="H9" s="37"/>
      <c r="I9" s="315">
        <v>5.3</v>
      </c>
      <c r="J9" s="230">
        <v>6.8</v>
      </c>
      <c r="K9" s="230">
        <v>8.1999999999999993</v>
      </c>
      <c r="L9" s="230">
        <v>6</v>
      </c>
      <c r="M9" s="316">
        <v>4.5999999999999996</v>
      </c>
      <c r="N9" s="37"/>
      <c r="O9" s="38">
        <v>392</v>
      </c>
      <c r="P9" s="37">
        <v>192</v>
      </c>
      <c r="Q9" s="37">
        <v>275</v>
      </c>
      <c r="R9" s="37">
        <v>392</v>
      </c>
      <c r="S9" s="39">
        <v>356</v>
      </c>
      <c r="T9" s="37"/>
      <c r="U9" s="326">
        <v>5</v>
      </c>
      <c r="V9" s="95"/>
      <c r="W9" s="38">
        <v>0</v>
      </c>
      <c r="X9" s="37">
        <v>0</v>
      </c>
      <c r="Y9" s="37">
        <v>1</v>
      </c>
      <c r="Z9" s="37">
        <v>0</v>
      </c>
      <c r="AA9" s="37">
        <v>1</v>
      </c>
      <c r="AB9" s="37">
        <v>0</v>
      </c>
      <c r="AC9" s="37">
        <v>2</v>
      </c>
      <c r="AD9" s="37">
        <v>0</v>
      </c>
      <c r="AE9" s="37">
        <v>2</v>
      </c>
      <c r="AF9" s="39">
        <v>0</v>
      </c>
    </row>
    <row r="10" spans="1:32" s="324" customFormat="1">
      <c r="A10" s="409"/>
      <c r="B10" s="325" t="s">
        <v>9</v>
      </c>
      <c r="C10" s="38">
        <v>50</v>
      </c>
      <c r="D10" s="37">
        <v>40</v>
      </c>
      <c r="E10" s="37">
        <v>19</v>
      </c>
      <c r="F10" s="37">
        <v>28</v>
      </c>
      <c r="G10" s="39">
        <v>70</v>
      </c>
      <c r="H10" s="37"/>
      <c r="I10" s="315">
        <v>0</v>
      </c>
      <c r="J10" s="230">
        <v>9</v>
      </c>
      <c r="K10" s="230">
        <v>9</v>
      </c>
      <c r="L10" s="230">
        <v>5.3</v>
      </c>
      <c r="M10" s="316">
        <v>4.5999999999999996</v>
      </c>
      <c r="N10" s="37"/>
      <c r="O10" s="38">
        <v>524</v>
      </c>
      <c r="P10" s="37">
        <v>452</v>
      </c>
      <c r="Q10" s="37">
        <v>257</v>
      </c>
      <c r="R10" s="37">
        <v>385</v>
      </c>
      <c r="S10" s="39">
        <v>325</v>
      </c>
      <c r="T10" s="37"/>
      <c r="U10" s="326">
        <v>5</v>
      </c>
      <c r="V10" s="95"/>
      <c r="W10" s="38">
        <v>1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2</v>
      </c>
      <c r="AD10" s="37">
        <v>0</v>
      </c>
      <c r="AE10" s="37">
        <v>2</v>
      </c>
      <c r="AF10" s="39">
        <v>0</v>
      </c>
    </row>
    <row r="11" spans="1:32" s="324" customFormat="1">
      <c r="A11" s="409"/>
      <c r="B11" s="325" t="s">
        <v>10</v>
      </c>
      <c r="C11" s="38">
        <v>60</v>
      </c>
      <c r="D11" s="37">
        <v>18</v>
      </c>
      <c r="E11" s="37">
        <v>23</v>
      </c>
      <c r="F11" s="37">
        <v>44</v>
      </c>
      <c r="G11" s="39">
        <v>41</v>
      </c>
      <c r="H11" s="37"/>
      <c r="I11" s="315">
        <v>4.5999999999999996</v>
      </c>
      <c r="J11" s="230">
        <v>7.6</v>
      </c>
      <c r="K11" s="230">
        <v>3.8</v>
      </c>
      <c r="L11" s="230">
        <v>7.6</v>
      </c>
      <c r="M11" s="316">
        <v>10</v>
      </c>
      <c r="N11" s="37"/>
      <c r="O11" s="38">
        <v>396</v>
      </c>
      <c r="P11" s="37">
        <v>218</v>
      </c>
      <c r="Q11" s="37">
        <v>253</v>
      </c>
      <c r="R11" s="37">
        <v>291</v>
      </c>
      <c r="S11" s="39">
        <v>324</v>
      </c>
      <c r="T11" s="37"/>
      <c r="U11" s="326">
        <v>5</v>
      </c>
      <c r="V11" s="95"/>
      <c r="W11" s="38">
        <v>1</v>
      </c>
      <c r="X11" s="37">
        <v>0</v>
      </c>
      <c r="Y11" s="37">
        <v>2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9">
        <v>0</v>
      </c>
    </row>
    <row r="12" spans="1:32" s="324" customFormat="1">
      <c r="A12" s="410"/>
      <c r="B12" s="327" t="s">
        <v>11</v>
      </c>
      <c r="C12" s="74">
        <v>64</v>
      </c>
      <c r="D12" s="72">
        <v>29</v>
      </c>
      <c r="E12" s="72">
        <v>41</v>
      </c>
      <c r="F12" s="72">
        <v>37</v>
      </c>
      <c r="G12" s="73">
        <v>63</v>
      </c>
      <c r="H12" s="37"/>
      <c r="I12" s="317">
        <v>2.5</v>
      </c>
      <c r="J12" s="311">
        <v>4.5999999999999996</v>
      </c>
      <c r="K12" s="311">
        <v>9.6</v>
      </c>
      <c r="L12" s="311">
        <v>7.4</v>
      </c>
      <c r="M12" s="318">
        <v>7</v>
      </c>
      <c r="N12" s="37"/>
      <c r="O12" s="74">
        <v>319</v>
      </c>
      <c r="P12" s="72">
        <v>165</v>
      </c>
      <c r="Q12" s="72">
        <v>431</v>
      </c>
      <c r="R12" s="72">
        <v>336</v>
      </c>
      <c r="S12" s="73">
        <v>297</v>
      </c>
      <c r="T12" s="37"/>
      <c r="U12" s="328">
        <v>3</v>
      </c>
      <c r="V12" s="95"/>
      <c r="W12" s="74">
        <v>3</v>
      </c>
      <c r="X12" s="72">
        <v>0</v>
      </c>
      <c r="Y12" s="72">
        <v>1</v>
      </c>
      <c r="Z12" s="72">
        <v>1</v>
      </c>
      <c r="AA12" s="72">
        <v>1</v>
      </c>
      <c r="AB12" s="72">
        <v>0</v>
      </c>
      <c r="AC12" s="72">
        <v>0</v>
      </c>
      <c r="AD12" s="72">
        <v>0</v>
      </c>
      <c r="AE12" s="72">
        <v>0</v>
      </c>
      <c r="AF12" s="73">
        <v>0</v>
      </c>
    </row>
    <row r="13" spans="1:32" s="324" customFormat="1">
      <c r="B13" s="329"/>
      <c r="C13" s="95"/>
      <c r="D13" s="95"/>
      <c r="E13" s="95"/>
      <c r="F13" s="95"/>
      <c r="G13" s="95"/>
      <c r="H13" s="95"/>
      <c r="I13" s="230"/>
      <c r="J13" s="230"/>
      <c r="K13" s="230"/>
      <c r="L13" s="230"/>
      <c r="M13" s="230"/>
      <c r="N13" s="37"/>
      <c r="O13" s="95"/>
      <c r="P13" s="95"/>
      <c r="Q13" s="95"/>
      <c r="R13" s="95"/>
      <c r="S13" s="95"/>
      <c r="T13" s="37"/>
      <c r="U13" s="231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</row>
    <row r="14" spans="1:32" s="319" customFormat="1">
      <c r="B14" s="320" t="s">
        <v>0</v>
      </c>
      <c r="C14" s="90" t="s">
        <v>28</v>
      </c>
      <c r="D14" s="90" t="s">
        <v>29</v>
      </c>
      <c r="E14" s="90" t="s">
        <v>30</v>
      </c>
      <c r="F14" s="90" t="s">
        <v>31</v>
      </c>
      <c r="G14" s="91" t="s">
        <v>32</v>
      </c>
      <c r="H14" s="305"/>
      <c r="I14" s="312" t="s">
        <v>160</v>
      </c>
      <c r="J14" s="313" t="s">
        <v>161</v>
      </c>
      <c r="K14" s="313" t="s">
        <v>162</v>
      </c>
      <c r="L14" s="313" t="s">
        <v>163</v>
      </c>
      <c r="M14" s="314" t="s">
        <v>164</v>
      </c>
      <c r="N14" s="305"/>
      <c r="O14" s="89" t="s">
        <v>93</v>
      </c>
      <c r="P14" s="90" t="s">
        <v>94</v>
      </c>
      <c r="Q14" s="90" t="s">
        <v>95</v>
      </c>
      <c r="R14" s="90" t="s">
        <v>96</v>
      </c>
      <c r="S14" s="91" t="s">
        <v>97</v>
      </c>
      <c r="T14" s="305"/>
      <c r="U14" s="321" t="s">
        <v>33</v>
      </c>
      <c r="W14" s="89" t="s">
        <v>78</v>
      </c>
      <c r="X14" s="90" t="s">
        <v>34</v>
      </c>
      <c r="Y14" s="90" t="s">
        <v>35</v>
      </c>
      <c r="Z14" s="90" t="s">
        <v>36</v>
      </c>
      <c r="AA14" s="90" t="s">
        <v>37</v>
      </c>
      <c r="AB14" s="90" t="s">
        <v>38</v>
      </c>
      <c r="AC14" s="90" t="s">
        <v>39</v>
      </c>
      <c r="AD14" s="90" t="s">
        <v>40</v>
      </c>
      <c r="AE14" s="90" t="s">
        <v>41</v>
      </c>
      <c r="AF14" s="91" t="s">
        <v>42</v>
      </c>
    </row>
    <row r="15" spans="1:32" s="324" customFormat="1">
      <c r="A15" s="408" t="s">
        <v>104</v>
      </c>
      <c r="B15" s="322" t="s">
        <v>43</v>
      </c>
      <c r="C15" s="92">
        <v>9</v>
      </c>
      <c r="D15" s="93">
        <v>21</v>
      </c>
      <c r="E15" s="93">
        <v>38</v>
      </c>
      <c r="F15" s="93">
        <v>28</v>
      </c>
      <c r="G15" s="94">
        <v>57</v>
      </c>
      <c r="H15" s="37"/>
      <c r="I15" s="315">
        <v>3.3</v>
      </c>
      <c r="J15" s="230">
        <v>4.9000000000000004</v>
      </c>
      <c r="K15" s="230">
        <v>6.2</v>
      </c>
      <c r="L15" s="230">
        <v>7.8</v>
      </c>
      <c r="M15" s="316">
        <v>6.2</v>
      </c>
      <c r="N15" s="37"/>
      <c r="O15" s="92">
        <v>268</v>
      </c>
      <c r="P15" s="93">
        <v>255</v>
      </c>
      <c r="Q15" s="93">
        <v>190</v>
      </c>
      <c r="R15" s="93">
        <v>347</v>
      </c>
      <c r="S15" s="94">
        <v>323</v>
      </c>
      <c r="T15" s="37"/>
      <c r="U15" s="323">
        <v>7</v>
      </c>
      <c r="V15" s="95"/>
      <c r="W15" s="92">
        <v>3</v>
      </c>
      <c r="X15" s="93">
        <v>0</v>
      </c>
      <c r="Y15" s="93">
        <v>3</v>
      </c>
      <c r="Z15" s="93">
        <v>1</v>
      </c>
      <c r="AA15" s="93">
        <v>2</v>
      </c>
      <c r="AB15" s="93">
        <v>0</v>
      </c>
      <c r="AC15" s="93">
        <v>1</v>
      </c>
      <c r="AD15" s="93">
        <v>0</v>
      </c>
      <c r="AE15" s="93">
        <v>3</v>
      </c>
      <c r="AF15" s="94">
        <v>2</v>
      </c>
    </row>
    <row r="16" spans="1:32" s="324" customFormat="1">
      <c r="A16" s="409"/>
      <c r="B16" s="325" t="s">
        <v>44</v>
      </c>
      <c r="C16" s="38">
        <v>20</v>
      </c>
      <c r="D16" s="37">
        <v>25</v>
      </c>
      <c r="E16" s="37">
        <v>9</v>
      </c>
      <c r="F16" s="37">
        <v>20</v>
      </c>
      <c r="G16" s="39">
        <v>50</v>
      </c>
      <c r="H16" s="37"/>
      <c r="I16" s="315">
        <v>4.8</v>
      </c>
      <c r="J16" s="230">
        <v>3.8</v>
      </c>
      <c r="K16" s="230">
        <v>5.9</v>
      </c>
      <c r="L16" s="230">
        <v>6.6</v>
      </c>
      <c r="M16" s="316">
        <v>7.5</v>
      </c>
      <c r="N16" s="37"/>
      <c r="O16" s="38">
        <v>179</v>
      </c>
      <c r="P16" s="37">
        <v>345</v>
      </c>
      <c r="Q16" s="37">
        <v>447</v>
      </c>
      <c r="R16" s="37">
        <v>206</v>
      </c>
      <c r="S16" s="39">
        <v>320</v>
      </c>
      <c r="T16" s="37"/>
      <c r="U16" s="326">
        <v>6</v>
      </c>
      <c r="V16" s="95"/>
      <c r="W16" s="38">
        <v>2</v>
      </c>
      <c r="X16" s="37">
        <v>0</v>
      </c>
      <c r="Y16" s="37">
        <v>4</v>
      </c>
      <c r="Z16" s="37">
        <v>3</v>
      </c>
      <c r="AA16" s="37">
        <v>2</v>
      </c>
      <c r="AB16" s="37">
        <v>0</v>
      </c>
      <c r="AC16" s="37">
        <v>3</v>
      </c>
      <c r="AD16" s="37">
        <v>0</v>
      </c>
      <c r="AE16" s="37">
        <v>3</v>
      </c>
      <c r="AF16" s="39">
        <v>0</v>
      </c>
    </row>
    <row r="17" spans="1:32" s="324" customFormat="1">
      <c r="A17" s="409"/>
      <c r="B17" s="325" t="s">
        <v>45</v>
      </c>
      <c r="C17" s="38">
        <v>8</v>
      </c>
      <c r="D17" s="37">
        <v>6</v>
      </c>
      <c r="E17" s="37">
        <v>34</v>
      </c>
      <c r="F17" s="37">
        <v>24</v>
      </c>
      <c r="G17" s="39">
        <v>58</v>
      </c>
      <c r="H17" s="37"/>
      <c r="I17" s="315">
        <v>8.1999999999999993</v>
      </c>
      <c r="J17" s="230">
        <v>9.4</v>
      </c>
      <c r="K17" s="230">
        <v>11.3</v>
      </c>
      <c r="L17" s="230">
        <v>10.7</v>
      </c>
      <c r="M17" s="316">
        <v>9.8000000000000007</v>
      </c>
      <c r="N17" s="37"/>
      <c r="O17" s="38">
        <v>306</v>
      </c>
      <c r="P17" s="37">
        <v>379</v>
      </c>
      <c r="Q17" s="37">
        <v>323</v>
      </c>
      <c r="R17" s="37">
        <v>281</v>
      </c>
      <c r="S17" s="39">
        <v>419</v>
      </c>
      <c r="T17" s="37"/>
      <c r="U17" s="326">
        <v>7</v>
      </c>
      <c r="V17" s="95"/>
      <c r="W17" s="38">
        <v>4</v>
      </c>
      <c r="X17" s="37">
        <v>0</v>
      </c>
      <c r="Y17" s="37">
        <v>4</v>
      </c>
      <c r="Z17" s="37">
        <v>0</v>
      </c>
      <c r="AA17" s="37">
        <v>2</v>
      </c>
      <c r="AB17" s="37">
        <v>1</v>
      </c>
      <c r="AC17" s="37">
        <v>1</v>
      </c>
      <c r="AD17" s="37">
        <v>0</v>
      </c>
      <c r="AE17" s="37">
        <v>2</v>
      </c>
      <c r="AF17" s="39">
        <v>0</v>
      </c>
    </row>
    <row r="18" spans="1:32" s="324" customFormat="1">
      <c r="A18" s="409"/>
      <c r="B18" s="325" t="s">
        <v>46</v>
      </c>
      <c r="C18" s="38">
        <v>44</v>
      </c>
      <c r="D18" s="37">
        <v>24</v>
      </c>
      <c r="E18" s="37">
        <v>21</v>
      </c>
      <c r="F18" s="37">
        <v>29</v>
      </c>
      <c r="G18" s="39">
        <v>49</v>
      </c>
      <c r="H18" s="37"/>
      <c r="I18" s="315">
        <v>8.1999999999999993</v>
      </c>
      <c r="J18" s="230">
        <v>4.4000000000000004</v>
      </c>
      <c r="K18" s="230">
        <v>6.5</v>
      </c>
      <c r="L18" s="230">
        <v>9.6</v>
      </c>
      <c r="M18" s="316">
        <v>7.3</v>
      </c>
      <c r="N18" s="37"/>
      <c r="O18" s="38">
        <v>327</v>
      </c>
      <c r="P18" s="37">
        <v>426</v>
      </c>
      <c r="Q18" s="37">
        <v>203</v>
      </c>
      <c r="R18" s="37">
        <v>283</v>
      </c>
      <c r="S18" s="39">
        <v>480</v>
      </c>
      <c r="T18" s="37"/>
      <c r="U18" s="326">
        <v>7</v>
      </c>
      <c r="V18" s="95"/>
      <c r="W18" s="38">
        <v>3</v>
      </c>
      <c r="X18" s="37">
        <v>0</v>
      </c>
      <c r="Y18" s="37">
        <v>2</v>
      </c>
      <c r="Z18" s="37">
        <v>0</v>
      </c>
      <c r="AA18" s="37">
        <v>2</v>
      </c>
      <c r="AB18" s="37">
        <v>1</v>
      </c>
      <c r="AC18" s="37">
        <v>1</v>
      </c>
      <c r="AD18" s="37">
        <v>0</v>
      </c>
      <c r="AE18" s="37">
        <v>3</v>
      </c>
      <c r="AF18" s="39">
        <v>2</v>
      </c>
    </row>
    <row r="19" spans="1:32" s="324" customFormat="1">
      <c r="A19" s="409"/>
      <c r="B19" s="325" t="s">
        <v>47</v>
      </c>
      <c r="C19" s="38">
        <v>9</v>
      </c>
      <c r="D19" s="37">
        <v>42</v>
      </c>
      <c r="E19" s="37">
        <v>29</v>
      </c>
      <c r="F19" s="37">
        <v>27</v>
      </c>
      <c r="G19" s="39">
        <v>38</v>
      </c>
      <c r="H19" s="37"/>
      <c r="I19" s="315">
        <v>7.7</v>
      </c>
      <c r="J19" s="230">
        <v>10.3</v>
      </c>
      <c r="K19" s="230">
        <v>9.1999999999999993</v>
      </c>
      <c r="L19" s="230">
        <v>9.1</v>
      </c>
      <c r="M19" s="316">
        <v>4.9000000000000004</v>
      </c>
      <c r="N19" s="37"/>
      <c r="O19" s="38">
        <v>260</v>
      </c>
      <c r="P19" s="37">
        <v>120</v>
      </c>
      <c r="Q19" s="37">
        <v>293</v>
      </c>
      <c r="R19" s="37">
        <v>436</v>
      </c>
      <c r="S19" s="39">
        <v>232</v>
      </c>
      <c r="T19" s="37"/>
      <c r="U19" s="326">
        <v>8</v>
      </c>
      <c r="V19" s="95"/>
      <c r="W19" s="38">
        <v>3</v>
      </c>
      <c r="X19" s="37">
        <v>1</v>
      </c>
      <c r="Y19" s="37">
        <v>1</v>
      </c>
      <c r="Z19" s="37">
        <v>2</v>
      </c>
      <c r="AA19" s="37">
        <v>2</v>
      </c>
      <c r="AB19" s="37">
        <v>2</v>
      </c>
      <c r="AC19" s="37">
        <v>3</v>
      </c>
      <c r="AD19" s="37">
        <v>0</v>
      </c>
      <c r="AE19" s="37">
        <v>3</v>
      </c>
      <c r="AF19" s="39">
        <v>0</v>
      </c>
    </row>
    <row r="20" spans="1:32" s="324" customFormat="1">
      <c r="A20" s="409"/>
      <c r="B20" s="325" t="s">
        <v>48</v>
      </c>
      <c r="C20" s="38">
        <v>29</v>
      </c>
      <c r="D20" s="37">
        <v>35</v>
      </c>
      <c r="E20" s="37">
        <v>26</v>
      </c>
      <c r="F20" s="37">
        <v>28</v>
      </c>
      <c r="G20" s="39">
        <v>59</v>
      </c>
      <c r="H20" s="37"/>
      <c r="I20" s="315">
        <v>5.2</v>
      </c>
      <c r="J20" s="230">
        <v>6</v>
      </c>
      <c r="K20" s="230">
        <v>6.6</v>
      </c>
      <c r="L20" s="230">
        <v>7.7</v>
      </c>
      <c r="M20" s="316">
        <v>5.9</v>
      </c>
      <c r="N20" s="37"/>
      <c r="O20" s="38">
        <v>356</v>
      </c>
      <c r="P20" s="37">
        <v>275</v>
      </c>
      <c r="Q20" s="37">
        <v>279</v>
      </c>
      <c r="R20" s="37">
        <v>167</v>
      </c>
      <c r="S20" s="39">
        <v>209</v>
      </c>
      <c r="T20" s="37"/>
      <c r="U20" s="326">
        <v>6</v>
      </c>
      <c r="V20" s="95"/>
      <c r="W20" s="38">
        <v>4</v>
      </c>
      <c r="X20" s="37">
        <v>1</v>
      </c>
      <c r="Y20" s="37">
        <v>2</v>
      </c>
      <c r="Z20" s="37">
        <v>1</v>
      </c>
      <c r="AA20" s="37">
        <v>2</v>
      </c>
      <c r="AB20" s="37">
        <v>1</v>
      </c>
      <c r="AC20" s="37">
        <v>4</v>
      </c>
      <c r="AD20" s="37">
        <v>1</v>
      </c>
      <c r="AE20" s="37">
        <v>2</v>
      </c>
      <c r="AF20" s="39">
        <v>2</v>
      </c>
    </row>
    <row r="21" spans="1:32" s="324" customFormat="1">
      <c r="A21" s="409"/>
      <c r="B21" s="325" t="s">
        <v>49</v>
      </c>
      <c r="C21" s="38">
        <v>24</v>
      </c>
      <c r="D21" s="37">
        <v>46</v>
      </c>
      <c r="E21" s="37">
        <v>40</v>
      </c>
      <c r="F21" s="37">
        <v>51</v>
      </c>
      <c r="G21" s="39">
        <v>49</v>
      </c>
      <c r="H21" s="37"/>
      <c r="I21" s="315">
        <v>6</v>
      </c>
      <c r="J21" s="230">
        <v>7.8</v>
      </c>
      <c r="K21" s="230">
        <v>4.9000000000000004</v>
      </c>
      <c r="L21" s="230">
        <v>8.3000000000000007</v>
      </c>
      <c r="M21" s="316">
        <v>7.1</v>
      </c>
      <c r="N21" s="37"/>
      <c r="O21" s="38">
        <v>263</v>
      </c>
      <c r="P21" s="37">
        <v>281</v>
      </c>
      <c r="Q21" s="37">
        <v>243</v>
      </c>
      <c r="R21" s="37">
        <v>172</v>
      </c>
      <c r="S21" s="39">
        <v>313</v>
      </c>
      <c r="T21" s="37"/>
      <c r="U21" s="326">
        <v>6</v>
      </c>
      <c r="V21" s="95"/>
      <c r="W21" s="38">
        <v>3</v>
      </c>
      <c r="X21" s="37">
        <v>2</v>
      </c>
      <c r="Y21" s="37">
        <v>1</v>
      </c>
      <c r="Z21" s="37">
        <v>1</v>
      </c>
      <c r="AA21" s="37">
        <v>2</v>
      </c>
      <c r="AB21" s="37">
        <v>2</v>
      </c>
      <c r="AC21" s="37">
        <v>4</v>
      </c>
      <c r="AD21" s="37">
        <v>0</v>
      </c>
      <c r="AE21" s="37">
        <v>2</v>
      </c>
      <c r="AF21" s="39">
        <v>1</v>
      </c>
    </row>
    <row r="22" spans="1:32" s="324" customFormat="1">
      <c r="A22" s="409"/>
      <c r="B22" s="325" t="s">
        <v>50</v>
      </c>
      <c r="C22" s="38">
        <v>30</v>
      </c>
      <c r="D22" s="37">
        <v>6</v>
      </c>
      <c r="E22" s="37">
        <v>11</v>
      </c>
      <c r="F22" s="37">
        <v>40</v>
      </c>
      <c r="G22" s="39">
        <v>43</v>
      </c>
      <c r="H22" s="37"/>
      <c r="I22" s="315">
        <v>6.9</v>
      </c>
      <c r="J22" s="230">
        <v>6.8</v>
      </c>
      <c r="K22" s="230">
        <v>3.3</v>
      </c>
      <c r="L22" s="230">
        <v>8.6</v>
      </c>
      <c r="M22" s="316">
        <v>9</v>
      </c>
      <c r="N22" s="37"/>
      <c r="O22" s="38">
        <v>266</v>
      </c>
      <c r="P22" s="37">
        <v>206</v>
      </c>
      <c r="Q22" s="37">
        <v>229</v>
      </c>
      <c r="R22" s="37">
        <v>372</v>
      </c>
      <c r="S22" s="39">
        <v>338</v>
      </c>
      <c r="T22" s="37"/>
      <c r="U22" s="326">
        <v>7</v>
      </c>
      <c r="V22" s="95"/>
      <c r="W22" s="38">
        <v>2</v>
      </c>
      <c r="X22" s="37">
        <v>1</v>
      </c>
      <c r="Y22" s="37">
        <v>3</v>
      </c>
      <c r="Z22" s="37">
        <v>0</v>
      </c>
      <c r="AA22" s="37">
        <v>1</v>
      </c>
      <c r="AB22" s="37">
        <v>1</v>
      </c>
      <c r="AC22" s="37">
        <v>1</v>
      </c>
      <c r="AD22" s="37">
        <v>1</v>
      </c>
      <c r="AE22" s="37">
        <v>4</v>
      </c>
      <c r="AF22" s="39">
        <v>1</v>
      </c>
    </row>
    <row r="23" spans="1:32" s="324" customFormat="1">
      <c r="A23" s="409"/>
      <c r="B23" s="325" t="s">
        <v>51</v>
      </c>
      <c r="C23" s="38">
        <v>32</v>
      </c>
      <c r="D23" s="37">
        <v>22</v>
      </c>
      <c r="E23" s="37">
        <v>10</v>
      </c>
      <c r="F23" s="37">
        <v>39</v>
      </c>
      <c r="G23" s="39">
        <v>43</v>
      </c>
      <c r="H23" s="37"/>
      <c r="I23" s="315">
        <v>4.4000000000000004</v>
      </c>
      <c r="J23" s="230">
        <v>9.6999999999999993</v>
      </c>
      <c r="K23" s="230">
        <v>6.3</v>
      </c>
      <c r="L23" s="230">
        <v>8.1</v>
      </c>
      <c r="M23" s="316">
        <v>2.9</v>
      </c>
      <c r="N23" s="37"/>
      <c r="O23" s="38">
        <v>297</v>
      </c>
      <c r="P23" s="37">
        <v>175</v>
      </c>
      <c r="Q23" s="37">
        <v>151</v>
      </c>
      <c r="R23" s="37">
        <v>218</v>
      </c>
      <c r="S23" s="39">
        <v>274</v>
      </c>
      <c r="T23" s="37"/>
      <c r="U23" s="326">
        <v>10</v>
      </c>
      <c r="V23" s="95"/>
      <c r="W23" s="38">
        <v>2</v>
      </c>
      <c r="X23" s="37">
        <v>2</v>
      </c>
      <c r="Y23" s="37">
        <v>4</v>
      </c>
      <c r="Z23" s="37">
        <v>0</v>
      </c>
      <c r="AA23" s="37">
        <v>2</v>
      </c>
      <c r="AB23" s="37">
        <v>0</v>
      </c>
      <c r="AC23" s="37">
        <v>2</v>
      </c>
      <c r="AD23" s="37">
        <v>1</v>
      </c>
      <c r="AE23" s="37">
        <v>4</v>
      </c>
      <c r="AF23" s="39">
        <v>0</v>
      </c>
    </row>
    <row r="24" spans="1:32" s="324" customFormat="1">
      <c r="A24" s="409"/>
      <c r="B24" s="325" t="s">
        <v>52</v>
      </c>
      <c r="C24" s="38">
        <v>30</v>
      </c>
      <c r="D24" s="37">
        <v>24</v>
      </c>
      <c r="E24" s="37">
        <v>18</v>
      </c>
      <c r="F24" s="37">
        <v>30</v>
      </c>
      <c r="G24" s="39">
        <v>47</v>
      </c>
      <c r="H24" s="37"/>
      <c r="I24" s="315">
        <v>8.1999999999999993</v>
      </c>
      <c r="J24" s="230">
        <v>5.6</v>
      </c>
      <c r="K24" s="230">
        <v>5.7</v>
      </c>
      <c r="L24" s="230">
        <v>6.9</v>
      </c>
      <c r="M24" s="316">
        <v>10</v>
      </c>
      <c r="N24" s="37"/>
      <c r="O24" s="38">
        <v>298</v>
      </c>
      <c r="P24" s="37">
        <v>241</v>
      </c>
      <c r="Q24" s="37">
        <v>279</v>
      </c>
      <c r="R24" s="37">
        <v>279</v>
      </c>
      <c r="S24" s="39">
        <v>389</v>
      </c>
      <c r="T24" s="37"/>
      <c r="U24" s="326">
        <v>7</v>
      </c>
      <c r="V24" s="95"/>
      <c r="W24" s="38">
        <v>2</v>
      </c>
      <c r="X24" s="37">
        <v>1</v>
      </c>
      <c r="Y24" s="37">
        <v>1</v>
      </c>
      <c r="Z24" s="37">
        <v>0</v>
      </c>
      <c r="AA24" s="37">
        <v>2</v>
      </c>
      <c r="AB24" s="37">
        <v>2</v>
      </c>
      <c r="AC24" s="37">
        <v>3</v>
      </c>
      <c r="AD24" s="37">
        <v>2</v>
      </c>
      <c r="AE24" s="37">
        <v>3</v>
      </c>
      <c r="AF24" s="39">
        <v>2</v>
      </c>
    </row>
    <row r="25" spans="1:32" s="324" customFormat="1">
      <c r="A25" s="409"/>
      <c r="B25" s="325" t="s">
        <v>53</v>
      </c>
      <c r="C25" s="38">
        <v>20</v>
      </c>
      <c r="D25" s="37">
        <v>30</v>
      </c>
      <c r="E25" s="37">
        <v>11</v>
      </c>
      <c r="F25" s="37">
        <v>47</v>
      </c>
      <c r="G25" s="39">
        <v>50</v>
      </c>
      <c r="H25" s="37"/>
      <c r="I25" s="315">
        <v>7.4</v>
      </c>
      <c r="J25" s="230">
        <v>8.1999999999999993</v>
      </c>
      <c r="K25" s="230">
        <v>6</v>
      </c>
      <c r="L25" s="230">
        <v>9.4</v>
      </c>
      <c r="M25" s="316">
        <v>8.6999999999999993</v>
      </c>
      <c r="N25" s="37"/>
      <c r="O25" s="38">
        <v>182</v>
      </c>
      <c r="P25" s="37">
        <v>263</v>
      </c>
      <c r="Q25" s="37">
        <v>286</v>
      </c>
      <c r="R25" s="37">
        <v>315</v>
      </c>
      <c r="S25" s="39">
        <v>234</v>
      </c>
      <c r="T25" s="37"/>
      <c r="U25" s="326">
        <v>5</v>
      </c>
      <c r="V25" s="95"/>
      <c r="W25" s="38">
        <v>4</v>
      </c>
      <c r="X25" s="37">
        <v>1</v>
      </c>
      <c r="Y25" s="37">
        <v>3</v>
      </c>
      <c r="Z25" s="37">
        <v>0</v>
      </c>
      <c r="AA25" s="37">
        <v>2</v>
      </c>
      <c r="AB25" s="37">
        <v>0</v>
      </c>
      <c r="AC25" s="37">
        <v>3</v>
      </c>
      <c r="AD25" s="37">
        <v>0</v>
      </c>
      <c r="AE25" s="37">
        <v>2</v>
      </c>
      <c r="AF25" s="39">
        <v>1</v>
      </c>
    </row>
    <row r="26" spans="1:32" s="324" customFormat="1">
      <c r="A26" s="410"/>
      <c r="B26" s="327" t="s">
        <v>54</v>
      </c>
      <c r="C26" s="74">
        <v>20</v>
      </c>
      <c r="D26" s="72">
        <v>30</v>
      </c>
      <c r="E26" s="72">
        <v>26</v>
      </c>
      <c r="F26" s="72">
        <v>26</v>
      </c>
      <c r="G26" s="73">
        <v>50</v>
      </c>
      <c r="H26" s="37"/>
      <c r="I26" s="317">
        <v>7.3</v>
      </c>
      <c r="J26" s="311">
        <v>6.7</v>
      </c>
      <c r="K26" s="311">
        <v>9.4</v>
      </c>
      <c r="L26" s="311">
        <v>8.5</v>
      </c>
      <c r="M26" s="318">
        <v>8.1</v>
      </c>
      <c r="N26" s="37"/>
      <c r="O26" s="74">
        <v>264</v>
      </c>
      <c r="P26" s="72">
        <v>334</v>
      </c>
      <c r="Q26" s="72">
        <v>113</v>
      </c>
      <c r="R26" s="72">
        <v>307</v>
      </c>
      <c r="S26" s="73">
        <v>455</v>
      </c>
      <c r="T26" s="37"/>
      <c r="U26" s="328">
        <v>10</v>
      </c>
      <c r="V26" s="95"/>
      <c r="W26" s="74">
        <v>2</v>
      </c>
      <c r="X26" s="72">
        <v>2</v>
      </c>
      <c r="Y26" s="72">
        <v>4</v>
      </c>
      <c r="Z26" s="72">
        <v>0</v>
      </c>
      <c r="AA26" s="72">
        <v>2</v>
      </c>
      <c r="AB26" s="72">
        <v>0</v>
      </c>
      <c r="AC26" s="72">
        <v>2</v>
      </c>
      <c r="AD26" s="72">
        <v>1</v>
      </c>
      <c r="AE26" s="72">
        <v>4</v>
      </c>
      <c r="AF26" s="73">
        <v>0</v>
      </c>
    </row>
    <row r="27" spans="1:32" s="324" customFormat="1">
      <c r="B27" s="329"/>
      <c r="C27" s="95"/>
      <c r="D27" s="95"/>
      <c r="E27" s="95"/>
      <c r="F27" s="95"/>
      <c r="G27" s="95"/>
      <c r="H27" s="95"/>
      <c r="I27" s="230"/>
      <c r="J27" s="230"/>
      <c r="K27" s="230"/>
      <c r="L27" s="230"/>
      <c r="M27" s="230"/>
      <c r="N27" s="37"/>
      <c r="O27" s="95"/>
      <c r="P27" s="95"/>
      <c r="Q27" s="95"/>
      <c r="R27" s="95"/>
      <c r="S27" s="95"/>
      <c r="T27" s="37"/>
      <c r="U27" s="231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</row>
    <row r="28" spans="1:32" s="324" customFormat="1">
      <c r="B28" s="329"/>
      <c r="C28" s="95"/>
      <c r="D28" s="95"/>
      <c r="E28" s="95"/>
      <c r="F28" s="95"/>
      <c r="G28" s="95"/>
      <c r="H28" s="95"/>
      <c r="I28" s="230"/>
      <c r="J28" s="230"/>
      <c r="K28" s="230"/>
      <c r="L28" s="230"/>
      <c r="M28" s="230"/>
      <c r="N28" s="37"/>
      <c r="O28" s="95"/>
      <c r="P28" s="95"/>
      <c r="Q28" s="95"/>
      <c r="R28" s="95"/>
      <c r="S28" s="95"/>
      <c r="T28" s="37"/>
      <c r="U28" s="231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</row>
    <row r="29" spans="1:32" s="319" customFormat="1">
      <c r="B29" s="320" t="s">
        <v>0</v>
      </c>
      <c r="C29" s="90" t="s">
        <v>69</v>
      </c>
      <c r="D29" s="90" t="s">
        <v>70</v>
      </c>
      <c r="E29" s="90" t="s">
        <v>71</v>
      </c>
      <c r="F29" s="90" t="s">
        <v>72</v>
      </c>
      <c r="G29" s="91" t="s">
        <v>73</v>
      </c>
      <c r="H29" s="305"/>
      <c r="I29" s="312" t="s">
        <v>165</v>
      </c>
      <c r="J29" s="313" t="s">
        <v>166</v>
      </c>
      <c r="K29" s="313" t="s">
        <v>167</v>
      </c>
      <c r="L29" s="313" t="s">
        <v>168</v>
      </c>
      <c r="M29" s="314" t="s">
        <v>169</v>
      </c>
      <c r="N29" s="305"/>
      <c r="O29" s="89" t="s">
        <v>98</v>
      </c>
      <c r="P29" s="90" t="s">
        <v>99</v>
      </c>
      <c r="Q29" s="90" t="s">
        <v>100</v>
      </c>
      <c r="R29" s="90" t="s">
        <v>101</v>
      </c>
      <c r="S29" s="91" t="s">
        <v>102</v>
      </c>
      <c r="T29" s="305"/>
      <c r="U29" s="321" t="s">
        <v>74</v>
      </c>
      <c r="W29" s="89" t="s">
        <v>79</v>
      </c>
      <c r="X29" s="90" t="s">
        <v>75</v>
      </c>
      <c r="Y29" s="90" t="s">
        <v>80</v>
      </c>
      <c r="Z29" s="90" t="s">
        <v>81</v>
      </c>
      <c r="AA29" s="90" t="s">
        <v>82</v>
      </c>
      <c r="AB29" s="90" t="s">
        <v>83</v>
      </c>
      <c r="AC29" s="90" t="s">
        <v>84</v>
      </c>
      <c r="AD29" s="90" t="s">
        <v>85</v>
      </c>
      <c r="AE29" s="90" t="s">
        <v>86</v>
      </c>
      <c r="AF29" s="91" t="s">
        <v>87</v>
      </c>
    </row>
    <row r="30" spans="1:32" s="324" customFormat="1">
      <c r="A30" s="408" t="s">
        <v>105</v>
      </c>
      <c r="B30" s="322" t="s">
        <v>55</v>
      </c>
      <c r="C30" s="92">
        <v>0</v>
      </c>
      <c r="D30" s="93">
        <v>15</v>
      </c>
      <c r="E30" s="93">
        <v>26</v>
      </c>
      <c r="F30" s="93">
        <v>28</v>
      </c>
      <c r="G30" s="94">
        <v>34</v>
      </c>
      <c r="H30" s="37"/>
      <c r="I30" s="315">
        <v>10.1</v>
      </c>
      <c r="J30" s="230">
        <v>4.2</v>
      </c>
      <c r="K30" s="230">
        <v>7.3</v>
      </c>
      <c r="L30" s="230">
        <v>4.2</v>
      </c>
      <c r="M30" s="316">
        <v>7.3</v>
      </c>
      <c r="N30" s="37"/>
      <c r="O30" s="92">
        <v>153</v>
      </c>
      <c r="P30" s="93">
        <v>176</v>
      </c>
      <c r="Q30" s="93">
        <v>239</v>
      </c>
      <c r="R30" s="93">
        <v>230</v>
      </c>
      <c r="S30" s="94">
        <v>246</v>
      </c>
      <c r="T30" s="37"/>
      <c r="U30" s="323">
        <v>9</v>
      </c>
      <c r="V30" s="95"/>
      <c r="W30" s="92">
        <v>4</v>
      </c>
      <c r="X30" s="93">
        <v>0</v>
      </c>
      <c r="Y30" s="93">
        <v>2</v>
      </c>
      <c r="Z30" s="93">
        <v>0</v>
      </c>
      <c r="AA30" s="93">
        <v>4</v>
      </c>
      <c r="AB30" s="93">
        <v>0</v>
      </c>
      <c r="AC30" s="93">
        <v>4</v>
      </c>
      <c r="AD30" s="93">
        <v>0</v>
      </c>
      <c r="AE30" s="93">
        <v>4</v>
      </c>
      <c r="AF30" s="94">
        <v>1</v>
      </c>
    </row>
    <row r="31" spans="1:32" s="324" customFormat="1">
      <c r="A31" s="409"/>
      <c r="B31" s="325" t="s">
        <v>56</v>
      </c>
      <c r="C31" s="38">
        <v>7</v>
      </c>
      <c r="D31" s="37">
        <v>16</v>
      </c>
      <c r="E31" s="37">
        <v>20</v>
      </c>
      <c r="F31" s="37">
        <v>14</v>
      </c>
      <c r="G31" s="39">
        <v>32</v>
      </c>
      <c r="H31" s="37"/>
      <c r="I31" s="315">
        <v>3.5</v>
      </c>
      <c r="J31" s="230">
        <v>5.6</v>
      </c>
      <c r="K31" s="230">
        <v>7.7</v>
      </c>
      <c r="L31" s="230">
        <v>7.1</v>
      </c>
      <c r="M31" s="316">
        <v>8.1</v>
      </c>
      <c r="N31" s="37"/>
      <c r="O31" s="38">
        <v>212</v>
      </c>
      <c r="P31" s="37">
        <v>221</v>
      </c>
      <c r="Q31" s="37">
        <v>223</v>
      </c>
      <c r="R31" s="37">
        <v>181</v>
      </c>
      <c r="S31" s="39">
        <v>261</v>
      </c>
      <c r="T31" s="37"/>
      <c r="U31" s="326">
        <v>7</v>
      </c>
      <c r="V31" s="95"/>
      <c r="W31" s="38">
        <v>2</v>
      </c>
      <c r="X31" s="37">
        <v>0</v>
      </c>
      <c r="Y31" s="37">
        <v>3</v>
      </c>
      <c r="Z31" s="37">
        <v>2</v>
      </c>
      <c r="AA31" s="37">
        <v>4</v>
      </c>
      <c r="AB31" s="37">
        <v>0</v>
      </c>
      <c r="AC31" s="37">
        <v>4</v>
      </c>
      <c r="AD31" s="37">
        <v>0</v>
      </c>
      <c r="AE31" s="37">
        <v>1</v>
      </c>
      <c r="AF31" s="39">
        <v>1</v>
      </c>
    </row>
    <row r="32" spans="1:32" s="324" customFormat="1">
      <c r="A32" s="409"/>
      <c r="B32" s="325" t="s">
        <v>57</v>
      </c>
      <c r="C32" s="38">
        <v>12</v>
      </c>
      <c r="D32" s="37">
        <v>24</v>
      </c>
      <c r="E32" s="37">
        <v>19</v>
      </c>
      <c r="F32" s="37">
        <v>21</v>
      </c>
      <c r="G32" s="39">
        <v>29</v>
      </c>
      <c r="H32" s="37"/>
      <c r="I32" s="315">
        <v>8.6999999999999993</v>
      </c>
      <c r="J32" s="230">
        <v>7.7</v>
      </c>
      <c r="K32" s="230">
        <v>8.3000000000000007</v>
      </c>
      <c r="L32" s="230">
        <v>7.8</v>
      </c>
      <c r="M32" s="316">
        <v>6.9</v>
      </c>
      <c r="N32" s="37"/>
      <c r="O32" s="38">
        <v>201</v>
      </c>
      <c r="P32" s="37">
        <v>274</v>
      </c>
      <c r="Q32" s="37">
        <v>228</v>
      </c>
      <c r="R32" s="37">
        <v>320</v>
      </c>
      <c r="S32" s="39">
        <v>313</v>
      </c>
      <c r="T32" s="37"/>
      <c r="U32" s="326">
        <v>8</v>
      </c>
      <c r="V32" s="95"/>
      <c r="W32" s="38">
        <v>2</v>
      </c>
      <c r="X32" s="37">
        <v>0</v>
      </c>
      <c r="Y32" s="37">
        <v>4</v>
      </c>
      <c r="Z32" s="37">
        <v>0</v>
      </c>
      <c r="AA32" s="37">
        <v>4</v>
      </c>
      <c r="AB32" s="37">
        <v>0</v>
      </c>
      <c r="AC32" s="37">
        <v>3</v>
      </c>
      <c r="AD32" s="37">
        <v>1</v>
      </c>
      <c r="AE32" s="37">
        <v>3</v>
      </c>
      <c r="AF32" s="39">
        <v>1</v>
      </c>
    </row>
    <row r="33" spans="1:32" s="324" customFormat="1">
      <c r="A33" s="409"/>
      <c r="B33" s="325" t="s">
        <v>58</v>
      </c>
      <c r="C33" s="38">
        <v>2</v>
      </c>
      <c r="D33" s="37">
        <v>23</v>
      </c>
      <c r="E33" s="37">
        <v>28</v>
      </c>
      <c r="F33" s="37">
        <v>40</v>
      </c>
      <c r="G33" s="39">
        <v>37</v>
      </c>
      <c r="H33" s="37"/>
      <c r="I33" s="315">
        <v>9.1999999999999993</v>
      </c>
      <c r="J33" s="230">
        <v>6.1</v>
      </c>
      <c r="K33" s="230">
        <v>8.4</v>
      </c>
      <c r="L33" s="230">
        <v>6.4</v>
      </c>
      <c r="M33" s="316">
        <v>8.3000000000000007</v>
      </c>
      <c r="N33" s="37"/>
      <c r="O33" s="38">
        <v>61</v>
      </c>
      <c r="P33" s="37">
        <v>138</v>
      </c>
      <c r="Q33" s="37">
        <v>218</v>
      </c>
      <c r="R33" s="37">
        <v>331</v>
      </c>
      <c r="S33" s="39">
        <v>234</v>
      </c>
      <c r="T33" s="37"/>
      <c r="U33" s="326">
        <v>9</v>
      </c>
      <c r="V33" s="95"/>
      <c r="W33" s="38">
        <v>4</v>
      </c>
      <c r="X33" s="37">
        <v>1</v>
      </c>
      <c r="Y33" s="37">
        <v>4</v>
      </c>
      <c r="Z33" s="37">
        <v>1</v>
      </c>
      <c r="AA33" s="37">
        <v>4</v>
      </c>
      <c r="AB33" s="37">
        <v>1</v>
      </c>
      <c r="AC33" s="37">
        <v>4</v>
      </c>
      <c r="AD33" s="37">
        <v>0</v>
      </c>
      <c r="AE33" s="37">
        <v>4</v>
      </c>
      <c r="AF33" s="39">
        <v>0</v>
      </c>
    </row>
    <row r="34" spans="1:32" s="324" customFormat="1">
      <c r="A34" s="409"/>
      <c r="B34" s="325" t="s">
        <v>59</v>
      </c>
      <c r="C34" s="38">
        <v>18</v>
      </c>
      <c r="D34" s="37">
        <v>4</v>
      </c>
      <c r="E34" s="37">
        <v>31</v>
      </c>
      <c r="F34" s="37">
        <v>37</v>
      </c>
      <c r="G34" s="39">
        <v>20</v>
      </c>
      <c r="H34" s="37"/>
      <c r="I34" s="315">
        <v>6.5</v>
      </c>
      <c r="J34" s="230">
        <v>7.3</v>
      </c>
      <c r="K34" s="230">
        <v>9.1</v>
      </c>
      <c r="L34" s="230">
        <v>6.7</v>
      </c>
      <c r="M34" s="316">
        <v>7.2</v>
      </c>
      <c r="N34" s="37"/>
      <c r="O34" s="38">
        <v>238</v>
      </c>
      <c r="P34" s="37">
        <v>31</v>
      </c>
      <c r="Q34" s="37">
        <v>338</v>
      </c>
      <c r="R34" s="37">
        <v>194</v>
      </c>
      <c r="S34" s="39">
        <v>238</v>
      </c>
      <c r="T34" s="37"/>
      <c r="U34" s="326">
        <v>8</v>
      </c>
      <c r="V34" s="95"/>
      <c r="W34" s="38">
        <v>4</v>
      </c>
      <c r="X34" s="37">
        <v>2</v>
      </c>
      <c r="Y34" s="37">
        <v>4</v>
      </c>
      <c r="Z34" s="37">
        <v>1</v>
      </c>
      <c r="AA34" s="37">
        <v>4</v>
      </c>
      <c r="AB34" s="37">
        <v>2</v>
      </c>
      <c r="AC34" s="37">
        <v>4</v>
      </c>
      <c r="AD34" s="37">
        <v>0</v>
      </c>
      <c r="AE34" s="37">
        <v>4</v>
      </c>
      <c r="AF34" s="39">
        <v>2</v>
      </c>
    </row>
    <row r="35" spans="1:32" s="324" customFormat="1">
      <c r="A35" s="409"/>
      <c r="B35" s="325" t="s">
        <v>60</v>
      </c>
      <c r="C35" s="38">
        <v>14</v>
      </c>
      <c r="D35" s="37">
        <v>20</v>
      </c>
      <c r="E35" s="37">
        <v>22</v>
      </c>
      <c r="F35" s="37">
        <v>56</v>
      </c>
      <c r="G35" s="39">
        <v>52</v>
      </c>
      <c r="H35" s="37"/>
      <c r="I35" s="315">
        <v>6.4</v>
      </c>
      <c r="J35" s="230">
        <v>8</v>
      </c>
      <c r="K35" s="230">
        <v>8.1999999999999993</v>
      </c>
      <c r="L35" s="230">
        <v>8.1</v>
      </c>
      <c r="M35" s="316">
        <v>6.4</v>
      </c>
      <c r="N35" s="37"/>
      <c r="O35" s="38">
        <v>193</v>
      </c>
      <c r="P35" s="37">
        <v>375</v>
      </c>
      <c r="Q35" s="37">
        <v>216</v>
      </c>
      <c r="R35" s="37">
        <v>236</v>
      </c>
      <c r="S35" s="39">
        <v>205</v>
      </c>
      <c r="T35" s="37"/>
      <c r="U35" s="326">
        <v>7</v>
      </c>
      <c r="V35" s="95"/>
      <c r="W35" s="38">
        <v>4</v>
      </c>
      <c r="X35" s="37">
        <v>1</v>
      </c>
      <c r="Y35" s="37">
        <v>2</v>
      </c>
      <c r="Z35" s="37">
        <v>0</v>
      </c>
      <c r="AA35" s="37">
        <v>2</v>
      </c>
      <c r="AB35" s="37">
        <v>0</v>
      </c>
      <c r="AC35" s="37">
        <v>1</v>
      </c>
      <c r="AD35" s="37">
        <v>0</v>
      </c>
      <c r="AE35" s="37">
        <v>2</v>
      </c>
      <c r="AF35" s="39">
        <v>0</v>
      </c>
    </row>
    <row r="36" spans="1:32" s="324" customFormat="1">
      <c r="A36" s="409"/>
      <c r="B36" s="325" t="s">
        <v>61</v>
      </c>
      <c r="C36" s="38">
        <v>22</v>
      </c>
      <c r="D36" s="37">
        <v>31</v>
      </c>
      <c r="E36" s="37">
        <v>26</v>
      </c>
      <c r="F36" s="37">
        <v>27</v>
      </c>
      <c r="G36" s="39">
        <v>40</v>
      </c>
      <c r="H36" s="37"/>
      <c r="I36" s="315">
        <v>4</v>
      </c>
      <c r="J36" s="230">
        <v>3.2</v>
      </c>
      <c r="K36" s="230">
        <v>4.7</v>
      </c>
      <c r="L36" s="230">
        <v>5.8</v>
      </c>
      <c r="M36" s="316">
        <v>6.5</v>
      </c>
      <c r="N36" s="37"/>
      <c r="O36" s="38">
        <v>66</v>
      </c>
      <c r="P36" s="37">
        <v>326</v>
      </c>
      <c r="Q36" s="37">
        <v>217</v>
      </c>
      <c r="R36" s="37">
        <v>316</v>
      </c>
      <c r="S36" s="39">
        <v>364</v>
      </c>
      <c r="T36" s="37"/>
      <c r="U36" s="326">
        <v>9</v>
      </c>
      <c r="V36" s="95"/>
      <c r="W36" s="38">
        <v>4</v>
      </c>
      <c r="X36" s="37">
        <v>0</v>
      </c>
      <c r="Y36" s="37">
        <v>3</v>
      </c>
      <c r="Z36" s="37">
        <v>0</v>
      </c>
      <c r="AA36" s="37">
        <v>2</v>
      </c>
      <c r="AB36" s="37">
        <v>0</v>
      </c>
      <c r="AC36" s="37">
        <v>4</v>
      </c>
      <c r="AD36" s="37">
        <v>0</v>
      </c>
      <c r="AE36" s="37">
        <v>2</v>
      </c>
      <c r="AF36" s="39">
        <v>0</v>
      </c>
    </row>
    <row r="37" spans="1:32" s="324" customFormat="1">
      <c r="A37" s="409"/>
      <c r="B37" s="325" t="s">
        <v>62</v>
      </c>
      <c r="C37" s="38">
        <v>17</v>
      </c>
      <c r="D37" s="37">
        <v>11</v>
      </c>
      <c r="E37" s="37">
        <v>16</v>
      </c>
      <c r="F37" s="37">
        <v>19</v>
      </c>
      <c r="G37" s="39">
        <v>23</v>
      </c>
      <c r="H37" s="37"/>
      <c r="I37" s="315">
        <v>8.8000000000000007</v>
      </c>
      <c r="J37" s="230">
        <v>5.7</v>
      </c>
      <c r="K37" s="230">
        <v>8.1999999999999993</v>
      </c>
      <c r="L37" s="230">
        <v>6.7</v>
      </c>
      <c r="M37" s="316">
        <v>7.4</v>
      </c>
      <c r="N37" s="37"/>
      <c r="O37" s="38">
        <v>167</v>
      </c>
      <c r="P37" s="37">
        <v>150</v>
      </c>
      <c r="Q37" s="37">
        <v>204</v>
      </c>
      <c r="R37" s="37">
        <v>283</v>
      </c>
      <c r="S37" s="39">
        <v>378</v>
      </c>
      <c r="T37" s="37"/>
      <c r="U37" s="326">
        <v>8</v>
      </c>
      <c r="V37" s="95"/>
      <c r="W37" s="38">
        <v>4</v>
      </c>
      <c r="X37" s="37">
        <v>1</v>
      </c>
      <c r="Y37" s="37">
        <v>3</v>
      </c>
      <c r="Z37" s="37">
        <v>0</v>
      </c>
      <c r="AA37" s="37">
        <v>3</v>
      </c>
      <c r="AB37" s="37">
        <v>2</v>
      </c>
      <c r="AC37" s="37">
        <v>4</v>
      </c>
      <c r="AD37" s="37">
        <v>1</v>
      </c>
      <c r="AE37" s="37">
        <v>4</v>
      </c>
      <c r="AF37" s="39">
        <v>1</v>
      </c>
    </row>
    <row r="38" spans="1:32" s="324" customFormat="1">
      <c r="A38" s="409"/>
      <c r="B38" s="325" t="s">
        <v>63</v>
      </c>
      <c r="C38" s="38">
        <v>0</v>
      </c>
      <c r="D38" s="37">
        <v>16</v>
      </c>
      <c r="E38" s="37">
        <v>30</v>
      </c>
      <c r="F38" s="37">
        <v>27</v>
      </c>
      <c r="G38" s="39">
        <v>39</v>
      </c>
      <c r="H38" s="37"/>
      <c r="I38" s="315">
        <v>6.5</v>
      </c>
      <c r="J38" s="230">
        <v>2.2000000000000002</v>
      </c>
      <c r="K38" s="230">
        <v>11.7</v>
      </c>
      <c r="L38" s="230">
        <v>7.8</v>
      </c>
      <c r="M38" s="316">
        <v>6.6</v>
      </c>
      <c r="N38" s="37"/>
      <c r="O38" s="38">
        <v>289</v>
      </c>
      <c r="P38" s="37">
        <v>367</v>
      </c>
      <c r="Q38" s="37">
        <v>405</v>
      </c>
      <c r="R38" s="37">
        <v>189</v>
      </c>
      <c r="S38" s="39">
        <v>133</v>
      </c>
      <c r="T38" s="37"/>
      <c r="U38" s="326">
        <v>9</v>
      </c>
      <c r="V38" s="95"/>
      <c r="W38" s="38">
        <v>3</v>
      </c>
      <c r="X38" s="37">
        <v>1</v>
      </c>
      <c r="Y38" s="37">
        <v>4</v>
      </c>
      <c r="Z38" s="37">
        <v>2</v>
      </c>
      <c r="AA38" s="37">
        <v>4</v>
      </c>
      <c r="AB38" s="37">
        <v>1</v>
      </c>
      <c r="AC38" s="37">
        <v>3</v>
      </c>
      <c r="AD38" s="37">
        <v>1</v>
      </c>
      <c r="AE38" s="37">
        <v>0</v>
      </c>
      <c r="AF38" s="39">
        <v>0</v>
      </c>
    </row>
    <row r="39" spans="1:32" s="324" customFormat="1">
      <c r="A39" s="409"/>
      <c r="B39" s="325" t="s">
        <v>64</v>
      </c>
      <c r="C39" s="38">
        <v>11</v>
      </c>
      <c r="D39" s="37">
        <v>27</v>
      </c>
      <c r="E39" s="37">
        <v>7</v>
      </c>
      <c r="F39" s="37">
        <v>45</v>
      </c>
      <c r="G39" s="39">
        <v>20</v>
      </c>
      <c r="H39" s="37"/>
      <c r="I39" s="315">
        <v>6.5</v>
      </c>
      <c r="J39" s="230">
        <v>8.1999999999999993</v>
      </c>
      <c r="K39" s="230">
        <v>6.9</v>
      </c>
      <c r="L39" s="230">
        <v>5.4</v>
      </c>
      <c r="M39" s="316">
        <v>8.1</v>
      </c>
      <c r="N39" s="37"/>
      <c r="O39" s="38">
        <v>297</v>
      </c>
      <c r="P39" s="37">
        <v>253</v>
      </c>
      <c r="Q39" s="37">
        <v>199</v>
      </c>
      <c r="R39" s="37">
        <v>405</v>
      </c>
      <c r="S39" s="39">
        <v>302</v>
      </c>
      <c r="T39" s="37"/>
      <c r="U39" s="326">
        <v>7</v>
      </c>
      <c r="V39" s="95"/>
      <c r="W39" s="38">
        <v>1</v>
      </c>
      <c r="X39" s="37">
        <v>0</v>
      </c>
      <c r="Y39" s="37">
        <v>4</v>
      </c>
      <c r="Z39" s="37">
        <v>2</v>
      </c>
      <c r="AA39" s="37">
        <v>4</v>
      </c>
      <c r="AB39" s="37">
        <v>2</v>
      </c>
      <c r="AC39" s="37">
        <v>4</v>
      </c>
      <c r="AD39" s="37">
        <v>0</v>
      </c>
      <c r="AE39" s="37">
        <v>2</v>
      </c>
      <c r="AF39" s="39">
        <v>2</v>
      </c>
    </row>
    <row r="40" spans="1:32" s="324" customFormat="1">
      <c r="A40" s="409"/>
      <c r="B40" s="325" t="s">
        <v>65</v>
      </c>
      <c r="C40" s="38">
        <v>6</v>
      </c>
      <c r="D40" s="37">
        <v>25</v>
      </c>
      <c r="E40" s="37">
        <v>6</v>
      </c>
      <c r="F40" s="37">
        <v>15</v>
      </c>
      <c r="G40" s="39">
        <v>15</v>
      </c>
      <c r="H40" s="37"/>
      <c r="I40" s="315">
        <v>7.9</v>
      </c>
      <c r="J40" s="230">
        <v>6.8</v>
      </c>
      <c r="K40" s="230">
        <v>8.6</v>
      </c>
      <c r="L40" s="230">
        <v>6.3</v>
      </c>
      <c r="M40" s="316">
        <v>9</v>
      </c>
      <c r="N40" s="37"/>
      <c r="O40" s="38">
        <v>385</v>
      </c>
      <c r="P40" s="37">
        <v>288</v>
      </c>
      <c r="Q40" s="37">
        <v>215</v>
      </c>
      <c r="R40" s="37">
        <v>229</v>
      </c>
      <c r="S40" s="39">
        <v>260</v>
      </c>
      <c r="T40" s="37"/>
      <c r="U40" s="326">
        <v>9</v>
      </c>
      <c r="V40" s="95"/>
      <c r="W40" s="38">
        <v>4</v>
      </c>
      <c r="X40" s="37">
        <v>3</v>
      </c>
      <c r="Y40" s="37">
        <v>3</v>
      </c>
      <c r="Z40" s="37">
        <v>0</v>
      </c>
      <c r="AA40" s="37">
        <v>4</v>
      </c>
      <c r="AB40" s="37">
        <v>1</v>
      </c>
      <c r="AC40" s="37">
        <v>3</v>
      </c>
      <c r="AD40" s="37">
        <v>0</v>
      </c>
      <c r="AE40" s="37">
        <v>4</v>
      </c>
      <c r="AF40" s="39">
        <v>0</v>
      </c>
    </row>
    <row r="41" spans="1:32" s="324" customFormat="1">
      <c r="A41" s="409"/>
      <c r="B41" s="325" t="s">
        <v>66</v>
      </c>
      <c r="C41" s="38">
        <v>1</v>
      </c>
      <c r="D41" s="37">
        <v>15</v>
      </c>
      <c r="E41" s="37">
        <v>24</v>
      </c>
      <c r="F41" s="37">
        <v>24</v>
      </c>
      <c r="G41" s="39">
        <v>27</v>
      </c>
      <c r="H41" s="37"/>
      <c r="I41" s="315">
        <v>6.3</v>
      </c>
      <c r="J41" s="230">
        <v>4.7</v>
      </c>
      <c r="K41" s="230">
        <v>8.6999999999999993</v>
      </c>
      <c r="L41" s="230">
        <v>7.9</v>
      </c>
      <c r="M41" s="316">
        <v>5.9</v>
      </c>
      <c r="N41" s="37"/>
      <c r="O41" s="38">
        <v>462</v>
      </c>
      <c r="P41" s="37">
        <v>273</v>
      </c>
      <c r="Q41" s="37">
        <v>237</v>
      </c>
      <c r="R41" s="37">
        <v>230</v>
      </c>
      <c r="S41" s="39">
        <v>341</v>
      </c>
      <c r="T41" s="37"/>
      <c r="U41" s="326">
        <v>9</v>
      </c>
      <c r="V41" s="95"/>
      <c r="W41" s="38">
        <v>4</v>
      </c>
      <c r="X41" s="37">
        <v>0</v>
      </c>
      <c r="Y41" s="37">
        <v>3</v>
      </c>
      <c r="Z41" s="37">
        <v>0</v>
      </c>
      <c r="AA41" s="37">
        <v>2</v>
      </c>
      <c r="AB41" s="37">
        <v>0</v>
      </c>
      <c r="AC41" s="37">
        <v>4</v>
      </c>
      <c r="AD41" s="37">
        <v>0</v>
      </c>
      <c r="AE41" s="37">
        <v>2</v>
      </c>
      <c r="AF41" s="39">
        <v>0</v>
      </c>
    </row>
    <row r="42" spans="1:32" s="324" customFormat="1">
      <c r="A42" s="409"/>
      <c r="B42" s="325" t="s">
        <v>67</v>
      </c>
      <c r="C42" s="38">
        <v>5</v>
      </c>
      <c r="D42" s="37">
        <v>11</v>
      </c>
      <c r="E42" s="37">
        <v>5</v>
      </c>
      <c r="F42" s="37">
        <v>41</v>
      </c>
      <c r="G42" s="39">
        <v>51</v>
      </c>
      <c r="H42" s="37"/>
      <c r="I42" s="315">
        <v>7.4</v>
      </c>
      <c r="J42" s="230">
        <v>4.8</v>
      </c>
      <c r="K42" s="230">
        <v>5.2</v>
      </c>
      <c r="L42" s="230">
        <v>7.2</v>
      </c>
      <c r="M42" s="316">
        <v>7.5</v>
      </c>
      <c r="N42" s="37"/>
      <c r="O42" s="38">
        <v>266</v>
      </c>
      <c r="P42" s="37">
        <v>242</v>
      </c>
      <c r="Q42" s="37">
        <v>237</v>
      </c>
      <c r="R42" s="37">
        <v>253</v>
      </c>
      <c r="S42" s="39">
        <v>328</v>
      </c>
      <c r="T42" s="37"/>
      <c r="U42" s="326">
        <v>10</v>
      </c>
      <c r="V42" s="95"/>
      <c r="W42" s="38">
        <v>4</v>
      </c>
      <c r="X42" s="37">
        <v>1</v>
      </c>
      <c r="Y42" s="37">
        <v>3</v>
      </c>
      <c r="Z42" s="37">
        <v>0</v>
      </c>
      <c r="AA42" s="37">
        <v>3</v>
      </c>
      <c r="AB42" s="37">
        <v>2</v>
      </c>
      <c r="AC42" s="37">
        <v>4</v>
      </c>
      <c r="AD42" s="37">
        <v>1</v>
      </c>
      <c r="AE42" s="37">
        <v>4</v>
      </c>
      <c r="AF42" s="39">
        <v>1</v>
      </c>
    </row>
    <row r="43" spans="1:32" s="324" customFormat="1">
      <c r="A43" s="410"/>
      <c r="B43" s="327" t="s">
        <v>68</v>
      </c>
      <c r="C43" s="74">
        <v>9</v>
      </c>
      <c r="D43" s="72">
        <v>16</v>
      </c>
      <c r="E43" s="72">
        <v>14</v>
      </c>
      <c r="F43" s="72">
        <v>31</v>
      </c>
      <c r="G43" s="73">
        <v>29</v>
      </c>
      <c r="H43" s="37"/>
      <c r="I43" s="317">
        <v>7.2</v>
      </c>
      <c r="J43" s="311">
        <v>6.9</v>
      </c>
      <c r="K43" s="311">
        <v>7.6</v>
      </c>
      <c r="L43" s="311">
        <v>6.4</v>
      </c>
      <c r="M43" s="318">
        <v>10</v>
      </c>
      <c r="N43" s="37"/>
      <c r="O43" s="74">
        <v>15</v>
      </c>
      <c r="P43" s="72">
        <v>323</v>
      </c>
      <c r="Q43" s="72">
        <v>237</v>
      </c>
      <c r="R43" s="72">
        <v>220</v>
      </c>
      <c r="S43" s="73">
        <v>258</v>
      </c>
      <c r="T43" s="37"/>
      <c r="U43" s="328">
        <v>10</v>
      </c>
      <c r="V43" s="95"/>
      <c r="W43" s="74">
        <v>3</v>
      </c>
      <c r="X43" s="72">
        <v>1</v>
      </c>
      <c r="Y43" s="72">
        <v>4</v>
      </c>
      <c r="Z43" s="72">
        <v>2</v>
      </c>
      <c r="AA43" s="72">
        <v>4</v>
      </c>
      <c r="AB43" s="72">
        <v>1</v>
      </c>
      <c r="AC43" s="72">
        <v>3</v>
      </c>
      <c r="AD43" s="72">
        <v>1</v>
      </c>
      <c r="AE43" s="72">
        <v>0</v>
      </c>
      <c r="AF43" s="73">
        <v>0</v>
      </c>
    </row>
    <row r="45" spans="1:32">
      <c r="A45" s="464" t="s">
        <v>103</v>
      </c>
      <c r="B45" s="275" t="s">
        <v>76</v>
      </c>
      <c r="C45" s="123">
        <f>AVERAGE(C2:C12)</f>
        <v>58.545454545454547</v>
      </c>
      <c r="D45" s="124">
        <f>AVERAGE(D2:D12)</f>
        <v>26.727272727272727</v>
      </c>
      <c r="E45" s="124">
        <f>AVERAGE(E2:E12)</f>
        <v>26.727272727272727</v>
      </c>
      <c r="F45" s="124">
        <f>AVERAGE(F2:F12)</f>
        <v>36.545454545454547</v>
      </c>
      <c r="G45" s="125">
        <f>AVERAGE(G2:G12)</f>
        <v>59.454545454545453</v>
      </c>
      <c r="H45" s="130"/>
      <c r="I45" s="237">
        <f>AVERAGE(I2:I12)</f>
        <v>3.2727272727272729</v>
      </c>
      <c r="J45" s="238">
        <f>AVERAGE(J2:J12)</f>
        <v>6.6272727272727261</v>
      </c>
      <c r="K45" s="238">
        <f>AVERAGE(K2:K12)</f>
        <v>7.6181818181818164</v>
      </c>
      <c r="L45" s="238">
        <f>AVERAGE(L2:L12)</f>
        <v>6.2363636363636354</v>
      </c>
      <c r="M45" s="240">
        <f>AVERAGE(M2:M12)</f>
        <v>6.3454545454545448</v>
      </c>
      <c r="O45" s="130"/>
      <c r="P45" s="130"/>
      <c r="Q45" s="130"/>
      <c r="R45" s="130"/>
      <c r="S45" s="130"/>
      <c r="U45" s="213"/>
    </row>
    <row r="46" spans="1:32">
      <c r="A46" s="465"/>
      <c r="B46" s="277" t="s">
        <v>174</v>
      </c>
      <c r="C46" s="129">
        <f>MEDIAN(C2:C12)</f>
        <v>55</v>
      </c>
      <c r="D46" s="130">
        <f>MEDIAN(D2:D12)</f>
        <v>28</v>
      </c>
      <c r="E46" s="130">
        <f>MEDIAN(E2:E12)</f>
        <v>25</v>
      </c>
      <c r="F46" s="130">
        <f>MEDIAN(F2:F12)</f>
        <v>37</v>
      </c>
      <c r="G46" s="131">
        <f>MEDIAN(G2:G12)</f>
        <v>62</v>
      </c>
      <c r="H46" s="130"/>
      <c r="I46" s="241">
        <f>MEDIAN(I2:I12)</f>
        <v>2.5</v>
      </c>
      <c r="J46" s="213">
        <f>MEDIAN(J2:J12)</f>
        <v>6.8</v>
      </c>
      <c r="K46" s="213">
        <f>MEDIAN(K2:K12)</f>
        <v>8.1999999999999993</v>
      </c>
      <c r="L46" s="213">
        <f>MEDIAN(L2:L12)</f>
        <v>5.8</v>
      </c>
      <c r="M46" s="242">
        <f>MEDIAN(M2:M12)</f>
        <v>6.4</v>
      </c>
      <c r="O46" s="130"/>
      <c r="P46" s="130"/>
      <c r="Q46" s="130"/>
      <c r="R46" s="130"/>
      <c r="S46" s="130"/>
      <c r="U46" s="213"/>
      <c r="V46" s="272"/>
      <c r="W46" s="272"/>
      <c r="X46" s="272"/>
      <c r="Y46" s="272"/>
      <c r="Z46" s="272"/>
      <c r="AA46" s="272"/>
      <c r="AB46" s="272"/>
      <c r="AC46" s="272"/>
      <c r="AD46" s="272"/>
    </row>
    <row r="47" spans="1:32">
      <c r="A47" s="465"/>
      <c r="B47" s="277" t="s">
        <v>173</v>
      </c>
      <c r="C47" s="129">
        <f>_xlfn.MODE.SNGL(C2:C12)</f>
        <v>55</v>
      </c>
      <c r="D47" s="130">
        <f>_xlfn.MODE.SNGL(D2:D12)</f>
        <v>28</v>
      </c>
      <c r="E47" s="130">
        <f>_xlfn.MODE.SNGL(E2:E12)</f>
        <v>25</v>
      </c>
      <c r="F47" s="130">
        <f>_xlfn.MODE.SNGL(F2:F12)</f>
        <v>40</v>
      </c>
      <c r="G47" s="131">
        <f>_xlfn.MODE.SNGL(G2:G12)</f>
        <v>59</v>
      </c>
      <c r="H47" s="130"/>
      <c r="I47" s="241" t="e">
        <f>_xlfn.MODE.SNGL(I2:I12)</f>
        <v>#N/A</v>
      </c>
      <c r="J47" s="213" t="e">
        <f>_xlfn.MODE.SNGL(J2:J12)</f>
        <v>#N/A</v>
      </c>
      <c r="K47" s="213">
        <f>_xlfn.MODE.SNGL(K2:K12)</f>
        <v>8.1999999999999993</v>
      </c>
      <c r="L47" s="213">
        <f>_xlfn.MODE.SNGL(L2:L12)</f>
        <v>5.6</v>
      </c>
      <c r="M47" s="242">
        <f>_xlfn.MODE.SNGL(M2:M12)</f>
        <v>4.5999999999999996</v>
      </c>
      <c r="O47" s="130"/>
      <c r="P47" s="130"/>
      <c r="Q47" s="130"/>
      <c r="R47" s="130"/>
      <c r="S47" s="130"/>
      <c r="U47" s="213"/>
      <c r="V47" s="272"/>
      <c r="W47" s="272"/>
      <c r="X47" s="272"/>
      <c r="Y47" s="272"/>
      <c r="Z47" s="272"/>
      <c r="AA47" s="272"/>
      <c r="AB47" s="272"/>
      <c r="AC47" s="272"/>
      <c r="AD47" s="272"/>
    </row>
    <row r="48" spans="1:32">
      <c r="A48" s="465"/>
      <c r="B48" s="277" t="s">
        <v>181</v>
      </c>
      <c r="C48" s="129">
        <f t="array" ref="C48">ROUND(SUM((C2:C12 - C45)^2),3)</f>
        <v>602.72699999999998</v>
      </c>
      <c r="D48" s="130">
        <f t="array" ref="D48">ROUND(SUM((D2:D12 - D45)^2),3)</f>
        <v>822.18200000000002</v>
      </c>
      <c r="E48" s="130">
        <f t="array" ref="E48">ROUND(SUM((E2:E12 - E45)^2),3)</f>
        <v>870.18200000000002</v>
      </c>
      <c r="F48" s="130">
        <f t="array" ref="F48">ROUND(SUM((F2:F12 - F45)^2),3)</f>
        <v>568.72699999999998</v>
      </c>
      <c r="G48" s="131">
        <f t="array" ref="G48">ROUND(SUM((G2:G12 - G45)^2),3)</f>
        <v>802.72699999999998</v>
      </c>
      <c r="H48" s="130"/>
      <c r="I48" s="241">
        <f t="array" ref="I48">ROUND(SUM((I2:I12 - I45)^2),3)</f>
        <v>51.921999999999997</v>
      </c>
      <c r="J48" s="213">
        <f t="array" ref="J48">ROUND(SUM((J2:J12 - J45)^2),3)</f>
        <v>63.182000000000002</v>
      </c>
      <c r="K48" s="213">
        <f t="array" ref="K48">ROUND(SUM((K2:K12 - K45)^2),3)</f>
        <v>27.135999999999999</v>
      </c>
      <c r="L48" s="213">
        <f t="array" ref="L48">ROUND(SUM((L2:L12 - L45)^2),3)</f>
        <v>8.4450000000000003</v>
      </c>
      <c r="M48" s="242">
        <f t="array" ref="M48">ROUND(SUM((M2:M12 - M45)^2),3)</f>
        <v>30.087</v>
      </c>
      <c r="O48" s="130"/>
      <c r="P48" s="449" t="s">
        <v>230</v>
      </c>
      <c r="Q48" s="452"/>
      <c r="R48" s="453"/>
      <c r="S48" s="12"/>
      <c r="T48" s="14"/>
      <c r="U48" s="405" t="s">
        <v>188</v>
      </c>
      <c r="V48" s="252"/>
      <c r="W48" s="252"/>
      <c r="X48" s="449" t="s">
        <v>231</v>
      </c>
      <c r="Y48" s="452"/>
      <c r="Z48" s="453"/>
      <c r="AA48" s="272"/>
      <c r="AB48" s="272"/>
      <c r="AC48" s="272"/>
      <c r="AD48" s="272"/>
    </row>
    <row r="49" spans="1:30">
      <c r="A49" s="465"/>
      <c r="B49" s="277" t="s">
        <v>170</v>
      </c>
      <c r="C49" s="129">
        <f>_xlfn.VAR.S(C2:C12)</f>
        <v>60.272727272727209</v>
      </c>
      <c r="D49" s="130">
        <f>_xlfn.VAR.S(D2:D12)</f>
        <v>82.218181818181804</v>
      </c>
      <c r="E49" s="130">
        <f>_xlfn.VAR.S(E2:E12)</f>
        <v>87.018181818181802</v>
      </c>
      <c r="F49" s="130">
        <f>_xlfn.VAR.S(F2:F12)</f>
        <v>56.872727272727204</v>
      </c>
      <c r="G49" s="131">
        <f>_xlfn.VAR.S(G2:G12)</f>
        <v>80.272727272727209</v>
      </c>
      <c r="H49" s="130"/>
      <c r="I49" s="241">
        <f>_xlfn.VAR.S(I2:I12)</f>
        <v>5.1921818181818198</v>
      </c>
      <c r="J49" s="213">
        <f>_xlfn.VAR.S(J2:J12)</f>
        <v>6.3181818181818246</v>
      </c>
      <c r="K49" s="213">
        <f>_xlfn.VAR.S(K2:K12)</f>
        <v>2.7136363636363967</v>
      </c>
      <c r="L49" s="213">
        <f>_xlfn.VAR.S(L2:L12)</f>
        <v>0.84454545454545948</v>
      </c>
      <c r="M49" s="242">
        <f>_xlfn.VAR.S(M2:M12)</f>
        <v>3.0087272727272705</v>
      </c>
      <c r="O49" s="130"/>
      <c r="P49" s="450"/>
      <c r="Q49" s="454"/>
      <c r="R49" s="455"/>
      <c r="S49" s="12"/>
      <c r="T49" s="14"/>
      <c r="U49" s="406"/>
      <c r="V49" s="252"/>
      <c r="W49" s="252"/>
      <c r="X49" s="450"/>
      <c r="Y49" s="454"/>
      <c r="Z49" s="455"/>
      <c r="AA49" s="272"/>
      <c r="AB49" s="272"/>
      <c r="AC49" s="272"/>
      <c r="AD49" s="272"/>
    </row>
    <row r="50" spans="1:30">
      <c r="A50" s="465"/>
      <c r="B50" s="277" t="s">
        <v>77</v>
      </c>
      <c r="C50" s="129">
        <f>_xlfn.STDEV.S(C2:C12)</f>
        <v>7.7635512024283839</v>
      </c>
      <c r="D50" s="130">
        <f>_xlfn.STDEV.S(D2:D12)</f>
        <v>9.0674242107768297</v>
      </c>
      <c r="E50" s="130">
        <f>_xlfn.STDEV.S(E2:E12)</f>
        <v>9.3283536499310422</v>
      </c>
      <c r="F50" s="130">
        <f>_xlfn.STDEV.S(F2:F12)</f>
        <v>7.5414008826429058</v>
      </c>
      <c r="G50" s="131">
        <f>_xlfn.STDEV.S(G2:G12)</f>
        <v>8.9595048564486639</v>
      </c>
      <c r="H50" s="130"/>
      <c r="I50" s="241">
        <f>_xlfn.STDEV.S(I2:I12)</f>
        <v>2.2786359556062963</v>
      </c>
      <c r="J50" s="213">
        <f>_xlfn.STDEV.S(J2:J12)</f>
        <v>2.5135993750360903</v>
      </c>
      <c r="K50" s="213">
        <f>_xlfn.STDEV.S(K2:K12)</f>
        <v>1.6473118598602987</v>
      </c>
      <c r="L50" s="213">
        <f>_xlfn.STDEV.S(L2:L12)</f>
        <v>0.91899154215121015</v>
      </c>
      <c r="M50" s="242">
        <f>_xlfn.STDEV.S(M2:M12)</f>
        <v>1.734568324606232</v>
      </c>
      <c r="O50" s="130"/>
      <c r="P50" s="450"/>
      <c r="Q50" s="454"/>
      <c r="R50" s="455"/>
      <c r="S50" s="12"/>
      <c r="T50" s="14"/>
      <c r="U50" s="406"/>
      <c r="V50" s="252"/>
      <c r="W50" s="252"/>
      <c r="X50" s="450"/>
      <c r="Y50" s="454"/>
      <c r="Z50" s="455"/>
      <c r="AA50" s="272"/>
      <c r="AB50" s="272"/>
      <c r="AC50" s="272"/>
      <c r="AD50" s="272"/>
    </row>
    <row r="51" spans="1:30">
      <c r="A51" s="465"/>
      <c r="B51" s="277" t="s">
        <v>108</v>
      </c>
      <c r="C51" s="129">
        <f>COUNT(C2:C12)</f>
        <v>11</v>
      </c>
      <c r="D51" s="130">
        <f>COUNT(D2:D12)</f>
        <v>11</v>
      </c>
      <c r="E51" s="130">
        <f>COUNT(E2:E12)</f>
        <v>11</v>
      </c>
      <c r="F51" s="130">
        <f>COUNT(F2:F12)</f>
        <v>11</v>
      </c>
      <c r="G51" s="131">
        <f>COUNT(G2:G12)</f>
        <v>11</v>
      </c>
      <c r="H51" s="130"/>
      <c r="I51" s="241">
        <f>COUNT(I2:I12)</f>
        <v>11</v>
      </c>
      <c r="J51" s="213">
        <f>COUNT(J2:J12)</f>
        <v>11</v>
      </c>
      <c r="K51" s="213">
        <f>COUNT(K2:K12)</f>
        <v>11</v>
      </c>
      <c r="L51" s="213">
        <f>COUNT(L2:L12)</f>
        <v>11</v>
      </c>
      <c r="M51" s="242">
        <f>COUNT(M2:M12)</f>
        <v>11</v>
      </c>
      <c r="O51" s="130"/>
      <c r="P51" s="450"/>
      <c r="Q51" s="454"/>
      <c r="R51" s="455"/>
      <c r="S51" s="12"/>
      <c r="T51" s="14"/>
      <c r="U51" s="406"/>
      <c r="V51" s="252"/>
      <c r="W51" s="252"/>
      <c r="X51" s="450"/>
      <c r="Y51" s="454"/>
      <c r="Z51" s="455"/>
      <c r="AA51" s="272"/>
      <c r="AB51" s="272"/>
      <c r="AC51" s="272"/>
      <c r="AD51" s="272"/>
    </row>
    <row r="52" spans="1:30">
      <c r="A52" s="465"/>
      <c r="B52" s="277" t="s">
        <v>171</v>
      </c>
      <c r="C52" s="129">
        <f>SKEW(C2:C12)</f>
        <v>0.95021900598506581</v>
      </c>
      <c r="D52" s="130">
        <f>SKEW(D2:D12)</f>
        <v>-0.32298534558322234</v>
      </c>
      <c r="E52" s="130">
        <f>SKEW(E2:E12)</f>
        <v>-9.2872367439694709E-2</v>
      </c>
      <c r="F52" s="130">
        <f>SKEW(F2:F12)</f>
        <v>-0.28451921866724389</v>
      </c>
      <c r="G52" s="131">
        <f>SKEW(G2:G12)</f>
        <v>-1.2355833668163103</v>
      </c>
      <c r="H52" s="130"/>
      <c r="I52" s="241">
        <f>SKEW(I2:I12)</f>
        <v>0.19974589712147589</v>
      </c>
      <c r="J52" s="213">
        <f>SKEW(J2:J12)</f>
        <v>-0.85028382919929968</v>
      </c>
      <c r="K52" s="213">
        <f>SKEW(K2:K12)</f>
        <v>-1.3990720521867284</v>
      </c>
      <c r="L52" s="213">
        <f>SKEW(L2:L12)</f>
        <v>0.54048262325888596</v>
      </c>
      <c r="M52" s="242">
        <f>SKEW(M2:M12)</f>
        <v>0.76270358855946196</v>
      </c>
      <c r="O52" s="130"/>
      <c r="P52" s="450"/>
      <c r="Q52" s="454"/>
      <c r="R52" s="455"/>
      <c r="S52" s="12"/>
      <c r="T52" s="14"/>
      <c r="U52" s="406"/>
      <c r="V52" s="252"/>
      <c r="W52" s="252"/>
      <c r="X52" s="450"/>
      <c r="Y52" s="454"/>
      <c r="Z52" s="455"/>
      <c r="AA52" s="272"/>
      <c r="AB52" s="272"/>
      <c r="AC52" s="272"/>
      <c r="AD52" s="272"/>
    </row>
    <row r="53" spans="1:30">
      <c r="A53" s="465"/>
      <c r="B53" s="277" t="s">
        <v>172</v>
      </c>
      <c r="C53" s="129">
        <f>KURT(C2:C12)</f>
        <v>-0.12050804310586472</v>
      </c>
      <c r="D53" s="130">
        <f>KURT(D2:D12)</f>
        <v>-1.0700225177247042</v>
      </c>
      <c r="E53" s="130">
        <f>KURT(E2:E12)</f>
        <v>0.16848952407795181</v>
      </c>
      <c r="F53" s="130">
        <f>KURT(F2:F12)</f>
        <v>-0.88383847158901485</v>
      </c>
      <c r="G53" s="131">
        <f>KURT(G2:G12)</f>
        <v>0.88964548685436995</v>
      </c>
      <c r="H53" s="130"/>
      <c r="I53" s="241">
        <f>KURT(I2:I12)</f>
        <v>-1.2358763341681471</v>
      </c>
      <c r="J53" s="213">
        <f>KURT(J2:J12)</f>
        <v>0.55808181081033847</v>
      </c>
      <c r="K53" s="213">
        <f>KURT(K2:K12)</f>
        <v>1.9369730618474765</v>
      </c>
      <c r="L53" s="213">
        <f>KURT(L2:L12)</f>
        <v>-1.63815569982577</v>
      </c>
      <c r="M53" s="242">
        <f>KURT(M2:M12)</f>
        <v>0.44534754237699836</v>
      </c>
      <c r="O53" s="130"/>
      <c r="P53" s="450"/>
      <c r="Q53" s="454"/>
      <c r="R53" s="455"/>
      <c r="S53" s="12"/>
      <c r="T53" s="14"/>
      <c r="U53" s="406"/>
      <c r="V53" s="252"/>
      <c r="W53" s="252"/>
      <c r="X53" s="450"/>
      <c r="Y53" s="454"/>
      <c r="Z53" s="455"/>
      <c r="AA53" s="272"/>
      <c r="AB53" s="272"/>
      <c r="AC53" s="272"/>
      <c r="AD53" s="272"/>
    </row>
    <row r="54" spans="1:30">
      <c r="A54" s="464" t="s">
        <v>104</v>
      </c>
      <c r="B54" s="275" t="s">
        <v>76</v>
      </c>
      <c r="C54" s="123">
        <f>AVERAGE(C15:C26)</f>
        <v>22.916666666666668</v>
      </c>
      <c r="D54" s="124">
        <f>AVERAGE(D15:D26)</f>
        <v>25.916666666666668</v>
      </c>
      <c r="E54" s="124">
        <f>AVERAGE(E15:E26)</f>
        <v>22.75</v>
      </c>
      <c r="F54" s="124">
        <f>AVERAGE(F15:F26)</f>
        <v>32.416666666666664</v>
      </c>
      <c r="G54" s="125">
        <f>AVERAGE(G15:G26)</f>
        <v>49.416666666666664</v>
      </c>
      <c r="H54" s="130"/>
      <c r="I54" s="237">
        <f>AVERAGE(I15:I26)</f>
        <v>6.4666666666666659</v>
      </c>
      <c r="J54" s="238">
        <f>AVERAGE(J15:J26)</f>
        <v>6.9666666666666659</v>
      </c>
      <c r="K54" s="238">
        <f>AVERAGE(K15:K26)</f>
        <v>6.7749999999999995</v>
      </c>
      <c r="L54" s="238">
        <f>AVERAGE(L15:L26)</f>
        <v>8.4416666666666664</v>
      </c>
      <c r="M54" s="240">
        <f>AVERAGE(M15:M26)</f>
        <v>7.2833333333333323</v>
      </c>
      <c r="O54" s="130"/>
      <c r="P54" s="450"/>
      <c r="Q54" s="454"/>
      <c r="R54" s="455"/>
      <c r="S54" s="12"/>
      <c r="T54" s="14"/>
      <c r="U54" s="406"/>
      <c r="V54" s="252"/>
      <c r="W54" s="252"/>
      <c r="X54" s="450"/>
      <c r="Y54" s="454"/>
      <c r="Z54" s="455"/>
      <c r="AA54" s="272"/>
      <c r="AB54" s="272"/>
      <c r="AC54" s="272"/>
      <c r="AD54" s="272"/>
    </row>
    <row r="55" spans="1:30">
      <c r="A55" s="465"/>
      <c r="B55" s="277" t="s">
        <v>174</v>
      </c>
      <c r="C55" s="129">
        <f>MEDIAN(C15:C26)</f>
        <v>22</v>
      </c>
      <c r="D55" s="130">
        <f>MEDIAN(D15:D26)</f>
        <v>24.5</v>
      </c>
      <c r="E55" s="130">
        <f>MEDIAN(E15:E26)</f>
        <v>23.5</v>
      </c>
      <c r="F55" s="130">
        <f>MEDIAN(F15:F26)</f>
        <v>28.5</v>
      </c>
      <c r="G55" s="131">
        <f>MEDIAN(G15:G26)</f>
        <v>49.5</v>
      </c>
      <c r="H55" s="130"/>
      <c r="I55" s="241">
        <f>MEDIAN(I15:I26)</f>
        <v>7.1</v>
      </c>
      <c r="J55" s="213">
        <f>MEDIAN(J15:J26)</f>
        <v>6.75</v>
      </c>
      <c r="K55" s="213">
        <f>MEDIAN(K15:K26)</f>
        <v>6.25</v>
      </c>
      <c r="L55" s="213">
        <f>MEDIAN(L15:L26)</f>
        <v>8.4</v>
      </c>
      <c r="M55" s="242">
        <f>MEDIAN(M15:M26)</f>
        <v>7.4</v>
      </c>
      <c r="O55" s="130"/>
      <c r="P55" s="451"/>
      <c r="Q55" s="456"/>
      <c r="R55" s="457"/>
      <c r="S55" s="12"/>
      <c r="T55" s="14"/>
      <c r="U55" s="407"/>
      <c r="V55" s="252"/>
      <c r="W55" s="252"/>
      <c r="X55" s="451"/>
      <c r="Y55" s="456"/>
      <c r="Z55" s="457"/>
      <c r="AA55" s="272"/>
      <c r="AB55" s="272"/>
      <c r="AC55" s="272"/>
      <c r="AD55" s="272"/>
    </row>
    <row r="56" spans="1:30">
      <c r="A56" s="465"/>
      <c r="B56" s="277" t="s">
        <v>173</v>
      </c>
      <c r="C56" s="129">
        <f>_xlfn.MODE.SNGL(C15:C26)</f>
        <v>20</v>
      </c>
      <c r="D56" s="130">
        <f>_xlfn.MODE.SNGL(D15:D26)</f>
        <v>6</v>
      </c>
      <c r="E56" s="130">
        <f>_xlfn.MODE.SNGL(E15:E26)</f>
        <v>26</v>
      </c>
      <c r="F56" s="130">
        <f>_xlfn.MODE.SNGL(F15:F26)</f>
        <v>28</v>
      </c>
      <c r="G56" s="131">
        <f>_xlfn.MODE.SNGL(G15:G26)</f>
        <v>50</v>
      </c>
      <c r="H56" s="130"/>
      <c r="I56" s="241">
        <f>_xlfn.MODE.SNGL(I15:I26)</f>
        <v>8.1999999999999993</v>
      </c>
      <c r="J56" s="213" t="e">
        <f>_xlfn.MODE.SNGL(J15:J26)</f>
        <v>#N/A</v>
      </c>
      <c r="K56" s="213" t="e">
        <f>_xlfn.MODE.SNGL(K15:K26)</f>
        <v>#N/A</v>
      </c>
      <c r="L56" s="213" t="e">
        <f>_xlfn.MODE.SNGL(L15:L26)</f>
        <v>#N/A</v>
      </c>
      <c r="M56" s="242" t="e">
        <f>_xlfn.MODE.SNGL(M15:M26)</f>
        <v>#N/A</v>
      </c>
      <c r="O56" s="130"/>
      <c r="P56" s="130"/>
      <c r="Q56" s="130"/>
      <c r="R56" s="130"/>
      <c r="S56" s="130"/>
      <c r="U56" s="213"/>
      <c r="V56" s="272"/>
      <c r="W56" s="272"/>
      <c r="X56" s="272"/>
      <c r="Y56" s="272"/>
      <c r="Z56" s="272"/>
      <c r="AA56" s="272"/>
      <c r="AB56" s="272"/>
      <c r="AC56" s="272"/>
      <c r="AD56" s="272"/>
    </row>
    <row r="57" spans="1:30">
      <c r="A57" s="465"/>
      <c r="B57" s="277" t="s">
        <v>181</v>
      </c>
      <c r="C57" s="129">
        <f t="array" ref="C57">ROUND(SUM((C15:C26 - C54)^2),3)</f>
        <v>1300.9169999999999</v>
      </c>
      <c r="D57" s="130">
        <f t="array" ref="D57">ROUND(SUM((D15:D26 - D54)^2),3)</f>
        <v>1618.9169999999999</v>
      </c>
      <c r="E57" s="130">
        <f t="array" ref="E57">ROUND(SUM((E15:E26 - E54)^2),3)</f>
        <v>1370.25</v>
      </c>
      <c r="F57" s="130">
        <f t="array" ref="F57">ROUND(SUM((F15:F26 - F54)^2),3)</f>
        <v>1010.917</v>
      </c>
      <c r="G57" s="131">
        <f t="array" ref="G57">ROUND(SUM((G15:G26 - G54)^2),3)</f>
        <v>442.91699999999997</v>
      </c>
      <c r="H57" s="130"/>
      <c r="I57" s="241">
        <f t="array" ref="I57">ROUND(SUM((I15:I26 - I54)^2),3)</f>
        <v>31.187000000000001</v>
      </c>
      <c r="J57" s="213">
        <f t="array" ref="J57">ROUND(SUM((J15:J26 - J54)^2),3)</f>
        <v>50.506999999999998</v>
      </c>
      <c r="K57" s="213">
        <f t="array" ref="K57">ROUND(SUM((K15:K26 - K54)^2),3)</f>
        <v>52.023000000000003</v>
      </c>
      <c r="L57" s="213">
        <f t="array" ref="L57">ROUND(SUM((L15:L26 - L54)^2),3)</f>
        <v>14.689</v>
      </c>
      <c r="M57" s="242">
        <f t="array" ref="M57">ROUND(SUM((M15:M26 - M54)^2),3)</f>
        <v>47.396999999999998</v>
      </c>
      <c r="O57" s="130"/>
      <c r="P57" s="130"/>
      <c r="Q57" s="130"/>
      <c r="R57" s="130"/>
      <c r="S57" s="130"/>
      <c r="U57" s="213"/>
      <c r="V57" s="272"/>
      <c r="W57" s="272"/>
      <c r="X57" s="272"/>
      <c r="Y57" s="272"/>
      <c r="Z57" s="272"/>
      <c r="AA57" s="272"/>
      <c r="AB57" s="272"/>
      <c r="AC57" s="272"/>
      <c r="AD57" s="272"/>
    </row>
    <row r="58" spans="1:30">
      <c r="A58" s="465"/>
      <c r="B58" s="277" t="s">
        <v>170</v>
      </c>
      <c r="C58" s="129">
        <f>_xlfn.VAR.S(C15:C26)</f>
        <v>118.26515151515154</v>
      </c>
      <c r="D58" s="130">
        <f>_xlfn.VAR.S(D15:D26)</f>
        <v>147.17424242424246</v>
      </c>
      <c r="E58" s="130">
        <f>_xlfn.VAR.S(E15:E26)</f>
        <v>124.56818181818181</v>
      </c>
      <c r="F58" s="130">
        <f>_xlfn.VAR.S(F15:F26)</f>
        <v>91.901515151515099</v>
      </c>
      <c r="G58" s="131">
        <f>_xlfn.VAR.S(G15:G26)</f>
        <v>40.265151515151622</v>
      </c>
      <c r="H58" s="130"/>
      <c r="I58" s="241">
        <f>_xlfn.VAR.S(I15:I26)</f>
        <v>2.8351515151515203</v>
      </c>
      <c r="J58" s="213">
        <f>_xlfn.VAR.S(J15:J26)</f>
        <v>4.5915151515151509</v>
      </c>
      <c r="K58" s="213">
        <f>_xlfn.VAR.S(K15:K26)</f>
        <v>4.7293181818181855</v>
      </c>
      <c r="L58" s="213">
        <f>_xlfn.VAR.S(L15:L26)</f>
        <v>1.3353787878787982</v>
      </c>
      <c r="M58" s="242">
        <f>_xlfn.VAR.S(M15:M26)</f>
        <v>4.3087878787878973</v>
      </c>
      <c r="O58" s="130"/>
      <c r="P58" s="130"/>
      <c r="Q58" s="130"/>
      <c r="R58" s="130"/>
      <c r="S58" s="130"/>
      <c r="U58" s="213"/>
      <c r="V58" s="272"/>
      <c r="W58" s="272"/>
      <c r="X58" s="272"/>
      <c r="Y58" s="272"/>
      <c r="Z58" s="272"/>
      <c r="AA58" s="272"/>
      <c r="AB58" s="272"/>
      <c r="AC58" s="272"/>
      <c r="AD58" s="272"/>
    </row>
    <row r="59" spans="1:30">
      <c r="A59" s="465"/>
      <c r="B59" s="277" t="s">
        <v>77</v>
      </c>
      <c r="C59" s="129">
        <f>_xlfn.STDEV.S(C15:C26)</f>
        <v>10.874978230559892</v>
      </c>
      <c r="D59" s="130">
        <f>_xlfn.STDEV.S(D15:D26)</f>
        <v>12.131539161386014</v>
      </c>
      <c r="E59" s="130">
        <f>_xlfn.STDEV.S(E15:E26)</f>
        <v>11.16101168434931</v>
      </c>
      <c r="F59" s="130">
        <f>_xlfn.STDEV.S(F15:F26)</f>
        <v>9.58652779433279</v>
      </c>
      <c r="G59" s="131">
        <f>_xlfn.STDEV.S(G15:G26)</f>
        <v>6.3454827645461007</v>
      </c>
      <c r="H59" s="130"/>
      <c r="I59" s="241">
        <f>_xlfn.STDEV.S(I15:I26)</f>
        <v>1.6837908169221971</v>
      </c>
      <c r="J59" s="213">
        <f>_xlfn.STDEV.S(J15:J26)</f>
        <v>2.1427821054682976</v>
      </c>
      <c r="K59" s="213">
        <f>_xlfn.STDEV.S(K15:K26)</f>
        <v>2.174699561276956</v>
      </c>
      <c r="L59" s="213">
        <f>_xlfn.STDEV.S(L15:L26)</f>
        <v>1.1555859067498175</v>
      </c>
      <c r="M59" s="242">
        <f>_xlfn.STDEV.S(M15:M26)</f>
        <v>2.0757619995529106</v>
      </c>
      <c r="O59" s="130"/>
      <c r="P59" s="130"/>
      <c r="Q59" s="130"/>
      <c r="R59" s="130"/>
      <c r="S59" s="130"/>
      <c r="U59" s="213"/>
      <c r="V59" s="272"/>
      <c r="W59" s="272"/>
      <c r="X59" s="272"/>
      <c r="Y59" s="272"/>
      <c r="Z59" s="272"/>
      <c r="AA59" s="272"/>
      <c r="AB59" s="272"/>
      <c r="AC59" s="272"/>
      <c r="AD59" s="272"/>
    </row>
    <row r="60" spans="1:30">
      <c r="A60" s="465"/>
      <c r="B60" s="277" t="s">
        <v>108</v>
      </c>
      <c r="C60" s="129">
        <f>COUNT(C15:C26)</f>
        <v>12</v>
      </c>
      <c r="D60" s="130">
        <f>COUNT(D15:D26)</f>
        <v>12</v>
      </c>
      <c r="E60" s="130">
        <f>COUNT(E15:E26)</f>
        <v>12</v>
      </c>
      <c r="F60" s="130">
        <f>COUNT(F15:F26)</f>
        <v>12</v>
      </c>
      <c r="G60" s="131">
        <f>COUNT(G15:G26)</f>
        <v>12</v>
      </c>
      <c r="H60" s="130"/>
      <c r="I60" s="241">
        <f>COUNT(I15:I26)</f>
        <v>12</v>
      </c>
      <c r="J60" s="213">
        <f>COUNT(J15:J26)</f>
        <v>12</v>
      </c>
      <c r="K60" s="213">
        <f>COUNT(K15:K26)</f>
        <v>12</v>
      </c>
      <c r="L60" s="213">
        <f>COUNT(L15:L26)</f>
        <v>12</v>
      </c>
      <c r="M60" s="242">
        <f>COUNT(M15:M26)</f>
        <v>12</v>
      </c>
      <c r="O60" s="130"/>
      <c r="P60" s="130"/>
      <c r="Q60" s="130"/>
      <c r="R60" s="130"/>
      <c r="S60" s="130"/>
      <c r="U60" s="213"/>
      <c r="V60" s="272"/>
      <c r="W60" s="272"/>
      <c r="X60" s="272"/>
      <c r="Y60" s="272"/>
      <c r="Z60" s="272"/>
      <c r="AA60" s="272"/>
      <c r="AB60" s="272"/>
      <c r="AC60" s="272"/>
      <c r="AD60" s="272"/>
    </row>
    <row r="61" spans="1:30">
      <c r="A61" s="465"/>
      <c r="B61" s="277" t="s">
        <v>171</v>
      </c>
      <c r="C61" s="129">
        <f>SKEW(C15:C26)</f>
        <v>0.19290297399592657</v>
      </c>
      <c r="D61" s="130">
        <f>SKEW(D15:D26)</f>
        <v>-0.17402877822805227</v>
      </c>
      <c r="E61" s="130">
        <f>SKEW(E15:E26)</f>
        <v>0.18728696340268866</v>
      </c>
      <c r="F61" s="130">
        <f>SKEW(F15:F26)</f>
        <v>0.87673355563207278</v>
      </c>
      <c r="G61" s="131">
        <f>SKEW(G15:G26)</f>
        <v>-3.4803760184966524E-2</v>
      </c>
      <c r="H61" s="130"/>
      <c r="I61" s="241">
        <f>SKEW(I15:I26)</f>
        <v>-0.64837716076129848</v>
      </c>
      <c r="J61" s="213">
        <f>SKEW(J15:J26)</f>
        <v>0.14803756686156519</v>
      </c>
      <c r="K61" s="213">
        <f>SKEW(K15:K26)</f>
        <v>0.78220863176270494</v>
      </c>
      <c r="L61" s="213">
        <f>SKEW(L15:L26)</f>
        <v>0.25562810739157732</v>
      </c>
      <c r="M61" s="242">
        <f>SKEW(M15:M26)</f>
        <v>-0.69811345350194609</v>
      </c>
      <c r="O61" s="130"/>
      <c r="P61" s="130"/>
      <c r="Q61" s="130"/>
      <c r="R61" s="130"/>
      <c r="S61" s="130"/>
      <c r="U61" s="213"/>
      <c r="V61" s="272"/>
      <c r="W61" s="272"/>
      <c r="X61" s="272"/>
      <c r="Y61" s="272"/>
      <c r="Z61" s="272"/>
      <c r="AA61" s="272"/>
      <c r="AB61" s="272"/>
      <c r="AC61" s="272"/>
      <c r="AD61" s="272"/>
    </row>
    <row r="62" spans="1:30">
      <c r="A62" s="465"/>
      <c r="B62" s="277" t="s">
        <v>172</v>
      </c>
      <c r="C62" s="129">
        <f>KURT(C15:C26)</f>
        <v>-0.25303193960167381</v>
      </c>
      <c r="D62" s="130">
        <f>KURT(D15:D26)</f>
        <v>-1.3918033059625579E-2</v>
      </c>
      <c r="E62" s="130">
        <f>KURT(E15:E26)</f>
        <v>-1.3807954173580885</v>
      </c>
      <c r="F62" s="130">
        <f>KURT(F15:F26)</f>
        <v>-0.26551793241152666</v>
      </c>
      <c r="G62" s="131">
        <f>KURT(G15:G26)</f>
        <v>-0.38055265586931997</v>
      </c>
      <c r="H62" s="130"/>
      <c r="I62" s="241">
        <f>KURT(I15:I26)</f>
        <v>-0.90054084129527956</v>
      </c>
      <c r="J62" s="213">
        <f>KURT(J15:J26)</f>
        <v>-1.1654364948389206</v>
      </c>
      <c r="K62" s="213">
        <f>KURT(K15:K26)</f>
        <v>0.63017896099722748</v>
      </c>
      <c r="L62" s="213">
        <f>KURT(L15:L26)</f>
        <v>7.4031462194582787E-2</v>
      </c>
      <c r="M62" s="242">
        <f>KURT(M15:M26)</f>
        <v>0.33102861662931904</v>
      </c>
      <c r="O62" s="130"/>
      <c r="P62" s="130"/>
      <c r="Q62" s="130"/>
      <c r="R62" s="130"/>
      <c r="S62" s="130"/>
      <c r="U62" s="213"/>
    </row>
    <row r="63" spans="1:30">
      <c r="A63" s="464" t="s">
        <v>105</v>
      </c>
      <c r="B63" s="275" t="s">
        <v>76</v>
      </c>
      <c r="C63" s="123">
        <f>AVERAGE(C30:C43)</f>
        <v>8.8571428571428577</v>
      </c>
      <c r="D63" s="124">
        <f>AVERAGE(D30:D43)</f>
        <v>18.142857142857142</v>
      </c>
      <c r="E63" s="124">
        <f>AVERAGE(E30:E43)</f>
        <v>19.571428571428573</v>
      </c>
      <c r="F63" s="124">
        <f>AVERAGE(F30:F43)</f>
        <v>30.357142857142858</v>
      </c>
      <c r="G63" s="125">
        <f>AVERAGE(G30:G43)</f>
        <v>32</v>
      </c>
      <c r="H63" s="130"/>
      <c r="I63" s="237">
        <f>AVERAGE(I30:I43)</f>
        <v>7.0714285714285721</v>
      </c>
      <c r="J63" s="238">
        <f>AVERAGE(J30:J43)</f>
        <v>5.8142857142857158</v>
      </c>
      <c r="K63" s="238">
        <f>AVERAGE(K30:K43)</f>
        <v>7.9</v>
      </c>
      <c r="L63" s="238">
        <f>AVERAGE(L30:L43)</f>
        <v>6.7000000000000011</v>
      </c>
      <c r="M63" s="240">
        <f>AVERAGE(M30:M43)</f>
        <v>7.5142857142857133</v>
      </c>
      <c r="O63" s="130"/>
      <c r="P63" s="130"/>
      <c r="Q63" s="130"/>
      <c r="R63" s="130"/>
      <c r="S63" s="130"/>
      <c r="U63" s="213"/>
    </row>
    <row r="64" spans="1:30">
      <c r="A64" s="465"/>
      <c r="B64" s="277" t="s">
        <v>174</v>
      </c>
      <c r="C64" s="129">
        <f>MEDIAN(C30:C43)</f>
        <v>8</v>
      </c>
      <c r="D64" s="130">
        <f>MEDIAN(D30:D43)</f>
        <v>16</v>
      </c>
      <c r="E64" s="130">
        <f>MEDIAN(E30:E43)</f>
        <v>21</v>
      </c>
      <c r="F64" s="130">
        <f>MEDIAN(F30:F43)</f>
        <v>27.5</v>
      </c>
      <c r="G64" s="131">
        <f>MEDIAN(G30:G43)</f>
        <v>30.5</v>
      </c>
      <c r="H64" s="130"/>
      <c r="I64" s="241">
        <f>MEDIAN(I30:I43)</f>
        <v>6.85</v>
      </c>
      <c r="J64" s="213">
        <f>MEDIAN(J30:J43)</f>
        <v>5.9</v>
      </c>
      <c r="K64" s="213">
        <f>MEDIAN(K30:K43)</f>
        <v>8.1999999999999993</v>
      </c>
      <c r="L64" s="213">
        <f>MEDIAN(L30:L43)</f>
        <v>6.7</v>
      </c>
      <c r="M64" s="242">
        <f>MEDIAN(M30:M43)</f>
        <v>7.35</v>
      </c>
      <c r="O64" s="130"/>
      <c r="P64" s="130"/>
      <c r="Q64" s="130"/>
      <c r="R64" s="130"/>
      <c r="S64" s="130"/>
      <c r="U64" s="213"/>
    </row>
    <row r="65" spans="1:30">
      <c r="A65" s="465"/>
      <c r="B65" s="277" t="s">
        <v>173</v>
      </c>
      <c r="C65" s="129">
        <f>_xlfn.MODE.SNGL(C30:C43)</f>
        <v>0</v>
      </c>
      <c r="D65" s="130">
        <f>_xlfn.MODE.SNGL(D30:D43)</f>
        <v>16</v>
      </c>
      <c r="E65" s="130">
        <f>_xlfn.MODE.SNGL(E30:E43)</f>
        <v>26</v>
      </c>
      <c r="F65" s="130">
        <f>_xlfn.MODE.SNGL(F30:F43)</f>
        <v>27</v>
      </c>
      <c r="G65" s="131">
        <f>_xlfn.MODE.SNGL(G30:G43)</f>
        <v>29</v>
      </c>
      <c r="H65" s="130"/>
      <c r="I65" s="241">
        <f>_xlfn.MODE.SNGL(I30:I43)</f>
        <v>6.5</v>
      </c>
      <c r="J65" s="213" t="e">
        <f>_xlfn.MODE.SNGL(J30:J43)</f>
        <v>#N/A</v>
      </c>
      <c r="K65" s="213">
        <f>_xlfn.MODE.SNGL(K30:K43)</f>
        <v>8.1999999999999993</v>
      </c>
      <c r="L65" s="213">
        <f>_xlfn.MODE.SNGL(L30:L43)</f>
        <v>7.8</v>
      </c>
      <c r="M65" s="242">
        <f>_xlfn.MODE.SNGL(M30:M43)</f>
        <v>8.1</v>
      </c>
      <c r="O65" s="130"/>
      <c r="P65" s="130"/>
      <c r="Q65" s="130"/>
      <c r="R65" s="130"/>
      <c r="S65" s="130"/>
      <c r="U65" s="213"/>
    </row>
    <row r="66" spans="1:30">
      <c r="A66" s="465"/>
      <c r="B66" s="277" t="s">
        <v>181</v>
      </c>
      <c r="C66" s="129">
        <f t="array" ref="C66">ROUND(SUM((C30:C43 - C63)^2),3)</f>
        <v>655.71400000000006</v>
      </c>
      <c r="D66" s="130">
        <f t="array" ref="D66">ROUND(SUM((D30:D43 - D63)^2),3)</f>
        <v>687.71400000000006</v>
      </c>
      <c r="E66" s="130">
        <f t="array" ref="E66">ROUND(SUM((E30:E43 - E63)^2),3)</f>
        <v>1017.429</v>
      </c>
      <c r="F66" s="130">
        <f t="array" ref="F66">ROUND(SUM((F30:F43 - F63)^2),3)</f>
        <v>1911.2139999999999</v>
      </c>
      <c r="G66" s="131">
        <f t="array" ref="G66">ROUND(SUM((G30:G43 - G63)^2),3)</f>
        <v>1604</v>
      </c>
      <c r="H66" s="130"/>
      <c r="I66" s="241">
        <f t="array" ref="I66">ROUND(SUM((I30:I43 - I63)^2),3)</f>
        <v>44.369</v>
      </c>
      <c r="J66" s="213">
        <f t="array" ref="J66">ROUND(SUM((J30:J43 - J63)^2),3)</f>
        <v>43.296999999999997</v>
      </c>
      <c r="K66" s="213">
        <f t="array" ref="K66">ROUND(SUM((K30:K43 - K63)^2),3)</f>
        <v>36.619999999999997</v>
      </c>
      <c r="L66" s="213">
        <f t="array" ref="L66">ROUND(SUM((L30:L43 - L63)^2),3)</f>
        <v>15.32</v>
      </c>
      <c r="M66" s="242">
        <f t="array" ref="M66">ROUND(SUM((M30:M43 - M63)^2),3)</f>
        <v>15.936999999999999</v>
      </c>
      <c r="O66" s="130"/>
      <c r="P66" s="130"/>
      <c r="Q66" s="130"/>
      <c r="R66" s="130"/>
      <c r="S66" s="130"/>
      <c r="U66" s="213"/>
    </row>
    <row r="67" spans="1:30">
      <c r="A67" s="465"/>
      <c r="B67" s="277" t="s">
        <v>170</v>
      </c>
      <c r="C67" s="129">
        <f>_xlfn.VAR.S(C30:C43)</f>
        <v>50.439560439560445</v>
      </c>
      <c r="D67" s="130">
        <f>_xlfn.VAR.S(D30:D43)</f>
        <v>52.901098901098869</v>
      </c>
      <c r="E67" s="130">
        <f>_xlfn.VAR.S(E30:E43)</f>
        <v>78.263736263736277</v>
      </c>
      <c r="F67" s="130">
        <f>_xlfn.VAR.S(F30:F43)</f>
        <v>147.01648351648356</v>
      </c>
      <c r="G67" s="131">
        <f>_xlfn.VAR.S(G30:G43)</f>
        <v>123.38461538461539</v>
      </c>
      <c r="H67" s="130"/>
      <c r="I67" s="241">
        <f>_xlfn.VAR.S(I30:I43)</f>
        <v>3.4129670329670123</v>
      </c>
      <c r="J67" s="213">
        <f>_xlfn.VAR.S(J30:J43)</f>
        <v>3.3305494505494266</v>
      </c>
      <c r="K67" s="213">
        <f>_xlfn.VAR.S(K30:K43)</f>
        <v>2.8169230769230684</v>
      </c>
      <c r="L67" s="213">
        <f>_xlfn.VAR.S(L30:L43)</f>
        <v>1.1784615384615336</v>
      </c>
      <c r="M67" s="242">
        <f>_xlfn.VAR.S(M30:M43)</f>
        <v>1.2259340659340892</v>
      </c>
      <c r="O67" s="130"/>
      <c r="P67" s="130"/>
      <c r="Q67" s="130"/>
      <c r="R67" s="130"/>
      <c r="S67" s="130"/>
      <c r="U67" s="213"/>
    </row>
    <row r="68" spans="1:30">
      <c r="A68" s="465"/>
      <c r="B68" s="277" t="s">
        <v>77</v>
      </c>
      <c r="C68" s="129">
        <f>_xlfn.STDEV.S(C30:C43)</f>
        <v>7.1020814160047792</v>
      </c>
      <c r="D68" s="130">
        <f>_xlfn.STDEV.S(D30:D43)</f>
        <v>7.2733141621339907</v>
      </c>
      <c r="E68" s="130">
        <f>_xlfn.STDEV.S(E30:E43)</f>
        <v>8.8466793919377604</v>
      </c>
      <c r="F68" s="130">
        <f>_xlfn.STDEV.S(F30:F43)</f>
        <v>12.125035402689905</v>
      </c>
      <c r="G68" s="131">
        <f>_xlfn.STDEV.S(G30:G43)</f>
        <v>11.107862773036738</v>
      </c>
      <c r="H68" s="130"/>
      <c r="I68" s="241">
        <f>_xlfn.STDEV.S(I30:I43)</f>
        <v>1.8474217258024797</v>
      </c>
      <c r="J68" s="213">
        <f>_xlfn.STDEV.S(J30:J43)</f>
        <v>1.8249793014030122</v>
      </c>
      <c r="K68" s="213">
        <f>_xlfn.STDEV.S(K30:K43)</f>
        <v>1.6783691718221794</v>
      </c>
      <c r="L68" s="213">
        <f>_xlfn.STDEV.S(L30:L43)</f>
        <v>1.0855696838349593</v>
      </c>
      <c r="M68" s="242">
        <f>_xlfn.STDEV.S(M30:M43)</f>
        <v>1.1072190686282861</v>
      </c>
      <c r="O68" s="130"/>
      <c r="P68" s="130"/>
      <c r="Q68" s="130"/>
      <c r="R68" s="130"/>
      <c r="S68" s="130"/>
      <c r="U68" s="213"/>
    </row>
    <row r="69" spans="1:30">
      <c r="A69" s="465"/>
      <c r="B69" s="277" t="s">
        <v>108</v>
      </c>
      <c r="C69" s="129">
        <f>COUNT(C30:C43)</f>
        <v>14</v>
      </c>
      <c r="D69" s="130">
        <f>COUNT(D30:D43)</f>
        <v>14</v>
      </c>
      <c r="E69" s="130">
        <f>COUNT(E30:E43)</f>
        <v>14</v>
      </c>
      <c r="F69" s="130">
        <f>COUNT(F30:F43)</f>
        <v>14</v>
      </c>
      <c r="G69" s="131">
        <f>COUNT(G30:G43)</f>
        <v>14</v>
      </c>
      <c r="H69" s="130"/>
      <c r="I69" s="241">
        <f>COUNT(I30:I43)</f>
        <v>14</v>
      </c>
      <c r="J69" s="213">
        <f>COUNT(J30:J43)</f>
        <v>14</v>
      </c>
      <c r="K69" s="213">
        <f>COUNT(K30:K43)</f>
        <v>14</v>
      </c>
      <c r="L69" s="213">
        <f>COUNT(L30:L43)</f>
        <v>14</v>
      </c>
      <c r="M69" s="242">
        <f>COUNT(M30:M43)</f>
        <v>14</v>
      </c>
      <c r="O69" s="130"/>
      <c r="P69" s="130"/>
      <c r="Q69" s="130"/>
      <c r="R69" s="130"/>
      <c r="S69" s="130"/>
      <c r="U69" s="213"/>
    </row>
    <row r="70" spans="1:30">
      <c r="A70" s="465"/>
      <c r="B70" s="277" t="s">
        <v>171</v>
      </c>
      <c r="C70" s="129">
        <f>SKEW(C30:C43)</f>
        <v>0.36753164298199353</v>
      </c>
      <c r="D70" s="130">
        <f>SKEW(D30:D43)</f>
        <v>-4.3097373841169566E-2</v>
      </c>
      <c r="E70" s="130">
        <f>SKEW(E30:E43)</f>
        <v>-0.51079221247034645</v>
      </c>
      <c r="F70" s="130">
        <f>SKEW(F30:F43)</f>
        <v>0.59248914534881503</v>
      </c>
      <c r="G70" s="131">
        <f>SKEW(G30:G43)</f>
        <v>0.43020681852850939</v>
      </c>
      <c r="H70" s="130"/>
      <c r="I70" s="241">
        <f>SKEW(I30:I43)</f>
        <v>-0.40332379998278922</v>
      </c>
      <c r="J70" s="213">
        <f>SKEW(J30:J43)</f>
        <v>-0.5235568427979681</v>
      </c>
      <c r="K70" s="213">
        <f>SKEW(K30:K43)</f>
        <v>7.5851895034462852E-2</v>
      </c>
      <c r="L70" s="213">
        <f>SKEW(L30:L43)</f>
        <v>-0.79592674281986375</v>
      </c>
      <c r="M70" s="242">
        <f>SKEW(M30:M43)</f>
        <v>0.78366203668389744</v>
      </c>
      <c r="O70" s="130"/>
      <c r="P70" s="130"/>
      <c r="Q70" s="130"/>
      <c r="R70" s="130"/>
      <c r="S70" s="130"/>
      <c r="U70" s="213"/>
    </row>
    <row r="71" spans="1:30">
      <c r="A71" s="466"/>
      <c r="B71" s="279" t="s">
        <v>172</v>
      </c>
      <c r="C71" s="132">
        <f>KURT(C30:C43)</f>
        <v>-0.92258455372642301</v>
      </c>
      <c r="D71" s="133">
        <f>KURT(D30:D43)</f>
        <v>-0.21533954288095991</v>
      </c>
      <c r="E71" s="133">
        <f>KURT(E30:E43)</f>
        <v>-0.98628951274644594</v>
      </c>
      <c r="F71" s="133">
        <f>KURT(F30:F43)</f>
        <v>-0.13113326290888461</v>
      </c>
      <c r="G71" s="134">
        <f>KURT(G30:G43)</f>
        <v>-0.38592223815885429</v>
      </c>
      <c r="H71" s="130"/>
      <c r="I71" s="215">
        <f>KURT(I30:I43)</f>
        <v>8.4850793509900324E-2</v>
      </c>
      <c r="J71" s="243">
        <f>KURT(J30:J43)</f>
        <v>-0.51108791023521949</v>
      </c>
      <c r="K71" s="243">
        <f>KURT(K30:K43)</f>
        <v>1.872816550473722</v>
      </c>
      <c r="L71" s="243">
        <f>KURT(L30:L43)</f>
        <v>0.70146611972516038</v>
      </c>
      <c r="M71" s="245">
        <f>KURT(M30:M43)</f>
        <v>0.54882806010411489</v>
      </c>
      <c r="O71" s="130"/>
      <c r="P71" s="130"/>
      <c r="Q71" s="130"/>
      <c r="R71" s="130"/>
      <c r="S71" s="130"/>
      <c r="U71" s="213"/>
    </row>
    <row r="72" spans="1:30" s="281" customFormat="1">
      <c r="A72" s="130"/>
      <c r="B72" s="280"/>
      <c r="C72" s="130"/>
      <c r="D72" s="130"/>
      <c r="E72" s="130"/>
      <c r="F72" s="130"/>
      <c r="G72" s="130"/>
      <c r="H72" s="130"/>
      <c r="I72" s="213"/>
      <c r="J72" s="213"/>
      <c r="K72" s="213"/>
      <c r="L72" s="213"/>
      <c r="M72" s="213"/>
      <c r="N72" s="130"/>
      <c r="O72" s="130"/>
      <c r="P72" s="130"/>
      <c r="Q72" s="130"/>
      <c r="R72" s="130"/>
      <c r="S72" s="130"/>
      <c r="T72" s="130"/>
      <c r="U72" s="213"/>
      <c r="V72" s="130"/>
      <c r="W72" s="130"/>
      <c r="X72" s="130"/>
      <c r="Y72" s="130"/>
      <c r="Z72" s="130"/>
      <c r="AA72" s="130"/>
      <c r="AB72" s="130"/>
      <c r="AC72" s="130"/>
      <c r="AD72" s="130"/>
    </row>
    <row r="73" spans="1:30" s="281" customFormat="1">
      <c r="A73" s="130"/>
      <c r="B73" s="280"/>
      <c r="C73" s="458" t="s">
        <v>196</v>
      </c>
      <c r="D73" s="459"/>
      <c r="E73" s="459"/>
      <c r="F73" s="459"/>
      <c r="G73" s="460"/>
      <c r="H73" s="130"/>
      <c r="I73" s="461" t="s">
        <v>196</v>
      </c>
      <c r="J73" s="462"/>
      <c r="K73" s="462"/>
      <c r="L73" s="462"/>
      <c r="M73" s="463"/>
      <c r="N73" s="130"/>
      <c r="O73" s="130"/>
      <c r="P73" s="130"/>
      <c r="Q73" s="130"/>
      <c r="R73" s="130"/>
      <c r="S73" s="130"/>
      <c r="T73" s="130"/>
      <c r="U73" s="213"/>
      <c r="V73" s="130"/>
      <c r="W73" s="130"/>
      <c r="X73" s="130"/>
      <c r="Y73" s="130"/>
      <c r="Z73" s="130"/>
      <c r="AA73" s="130"/>
      <c r="AB73" s="130"/>
      <c r="AC73" s="130"/>
      <c r="AD73" s="130"/>
    </row>
    <row r="74" spans="1:30">
      <c r="C74" s="136" t="s">
        <v>12</v>
      </c>
      <c r="D74" s="137" t="s">
        <v>13</v>
      </c>
      <c r="E74" s="137" t="s">
        <v>14</v>
      </c>
      <c r="F74" s="137" t="s">
        <v>15</v>
      </c>
      <c r="G74" s="138" t="s">
        <v>16</v>
      </c>
      <c r="H74" s="268"/>
      <c r="I74" s="269" t="s">
        <v>155</v>
      </c>
      <c r="J74" s="270" t="s">
        <v>156</v>
      </c>
      <c r="K74" s="270" t="s">
        <v>157</v>
      </c>
      <c r="L74" s="270" t="s">
        <v>158</v>
      </c>
      <c r="M74" s="271" t="s">
        <v>159</v>
      </c>
      <c r="N74" s="268"/>
      <c r="O74" s="268"/>
      <c r="P74" s="268"/>
      <c r="Q74" s="268"/>
      <c r="R74" s="268"/>
      <c r="S74" s="268"/>
    </row>
    <row r="75" spans="1:30">
      <c r="B75" s="282"/>
      <c r="C75" s="123">
        <f>ROUND(ABS(C2-C$45),3)</f>
        <v>3.5449999999999999</v>
      </c>
      <c r="D75" s="124">
        <f t="shared" ref="D75:G75" si="0">ROUND(ABS(D2-D$45),3)</f>
        <v>1.2729999999999999</v>
      </c>
      <c r="E75" s="124">
        <f t="shared" si="0"/>
        <v>7.2729999999999997</v>
      </c>
      <c r="F75" s="124">
        <f t="shared" si="0"/>
        <v>11.455</v>
      </c>
      <c r="G75" s="125">
        <f t="shared" si="0"/>
        <v>0.45500000000000002</v>
      </c>
      <c r="H75" s="130"/>
      <c r="I75" s="237">
        <f>ROUND(ABS(I2-I$45),3)</f>
        <v>2.1269999999999998</v>
      </c>
      <c r="J75" s="237">
        <f t="shared" ref="J75:M75" si="1">ROUND(ABS(J2-J$45),3)</f>
        <v>5.327</v>
      </c>
      <c r="K75" s="237">
        <f t="shared" si="1"/>
        <v>0.58199999999999996</v>
      </c>
      <c r="L75" s="237">
        <f t="shared" si="1"/>
        <v>0.63600000000000001</v>
      </c>
      <c r="M75" s="237">
        <f t="shared" si="1"/>
        <v>0.155</v>
      </c>
      <c r="O75" s="130"/>
      <c r="P75" s="130"/>
      <c r="Q75" s="130"/>
      <c r="R75" s="130"/>
      <c r="S75" s="130"/>
    </row>
    <row r="76" spans="1:30">
      <c r="B76" s="282"/>
      <c r="C76" s="129">
        <f t="shared" ref="C76:G85" si="2">ROUND(ABS(C3-C$45),3)</f>
        <v>12.455</v>
      </c>
      <c r="D76" s="130">
        <f t="shared" si="2"/>
        <v>14.727</v>
      </c>
      <c r="E76" s="130">
        <f t="shared" si="2"/>
        <v>17.727</v>
      </c>
      <c r="F76" s="130">
        <f t="shared" si="2"/>
        <v>12.545</v>
      </c>
      <c r="G76" s="131">
        <f t="shared" si="2"/>
        <v>0.45500000000000002</v>
      </c>
      <c r="H76" s="130"/>
      <c r="I76" s="241">
        <f t="shared" ref="I76:M76" si="3">ROUND(ABS(I3-I$45),3)</f>
        <v>1.627</v>
      </c>
      <c r="J76" s="241">
        <f t="shared" si="3"/>
        <v>2.9729999999999999</v>
      </c>
      <c r="K76" s="241">
        <f t="shared" si="3"/>
        <v>0.88200000000000001</v>
      </c>
      <c r="L76" s="241">
        <f t="shared" si="3"/>
        <v>0.436</v>
      </c>
      <c r="M76" s="241">
        <f t="shared" si="3"/>
        <v>1.4450000000000001</v>
      </c>
      <c r="O76" s="130"/>
      <c r="P76" s="130"/>
      <c r="Q76" s="130"/>
      <c r="R76" s="130"/>
      <c r="S76" s="130"/>
    </row>
    <row r="77" spans="1:30">
      <c r="B77" s="282"/>
      <c r="C77" s="129">
        <f t="shared" si="2"/>
        <v>14.455</v>
      </c>
      <c r="D77" s="130">
        <f t="shared" si="2"/>
        <v>7.2729999999999997</v>
      </c>
      <c r="E77" s="130">
        <f t="shared" si="2"/>
        <v>1.7270000000000001</v>
      </c>
      <c r="F77" s="130">
        <f t="shared" si="2"/>
        <v>3.4550000000000001</v>
      </c>
      <c r="G77" s="131">
        <f t="shared" si="2"/>
        <v>4.5449999999999999</v>
      </c>
      <c r="H77" s="130"/>
      <c r="I77" s="241">
        <f t="shared" ref="I77:M77" si="4">ROUND(ABS(I4-I$45),3)</f>
        <v>3.827</v>
      </c>
      <c r="J77" s="241">
        <f t="shared" si="4"/>
        <v>2.7730000000000001</v>
      </c>
      <c r="K77" s="241">
        <f t="shared" si="4"/>
        <v>1.8180000000000001</v>
      </c>
      <c r="L77" s="241">
        <f t="shared" si="4"/>
        <v>0.63600000000000001</v>
      </c>
      <c r="M77" s="241">
        <f t="shared" si="4"/>
        <v>2.0449999999999999</v>
      </c>
      <c r="O77" s="130"/>
      <c r="P77" s="130"/>
      <c r="Q77" s="130"/>
      <c r="R77" s="130"/>
      <c r="S77" s="130"/>
    </row>
    <row r="78" spans="1:30">
      <c r="B78" s="282"/>
      <c r="C78" s="129">
        <f t="shared" si="2"/>
        <v>8.5449999999999999</v>
      </c>
      <c r="D78" s="130">
        <f t="shared" si="2"/>
        <v>8.2729999999999997</v>
      </c>
      <c r="E78" s="130">
        <f t="shared" si="2"/>
        <v>5.7270000000000003</v>
      </c>
      <c r="F78" s="130">
        <f t="shared" si="2"/>
        <v>6.4550000000000001</v>
      </c>
      <c r="G78" s="131">
        <f t="shared" si="2"/>
        <v>6.5449999999999999</v>
      </c>
      <c r="H78" s="130"/>
      <c r="I78" s="241">
        <f t="shared" ref="I78:M78" si="5">ROUND(ABS(I5-I$45),3)</f>
        <v>2.2730000000000001</v>
      </c>
      <c r="J78" s="241">
        <f t="shared" si="5"/>
        <v>1.173</v>
      </c>
      <c r="K78" s="241">
        <f t="shared" si="5"/>
        <v>0.58199999999999996</v>
      </c>
      <c r="L78" s="241">
        <f t="shared" si="5"/>
        <v>1.036</v>
      </c>
      <c r="M78" s="241">
        <f t="shared" si="5"/>
        <v>0.245</v>
      </c>
      <c r="O78" s="130"/>
      <c r="P78" s="130"/>
      <c r="Q78" s="130"/>
      <c r="R78" s="130"/>
      <c r="S78" s="130"/>
    </row>
    <row r="79" spans="1:30">
      <c r="B79" s="282"/>
      <c r="C79" s="129">
        <f t="shared" si="2"/>
        <v>4.5449999999999999</v>
      </c>
      <c r="D79" s="130">
        <f t="shared" si="2"/>
        <v>11.727</v>
      </c>
      <c r="E79" s="130">
        <f t="shared" si="2"/>
        <v>3.2730000000000001</v>
      </c>
      <c r="F79" s="130">
        <f t="shared" si="2"/>
        <v>3.4550000000000001</v>
      </c>
      <c r="G79" s="131">
        <f t="shared" si="2"/>
        <v>14.455</v>
      </c>
      <c r="H79" s="130"/>
      <c r="I79" s="241">
        <f t="shared" ref="I79:M79" si="6">ROUND(ABS(I6-I$45),3)</f>
        <v>2.173</v>
      </c>
      <c r="J79" s="241">
        <f t="shared" si="6"/>
        <v>0.52700000000000002</v>
      </c>
      <c r="K79" s="241">
        <f t="shared" si="6"/>
        <v>0.58199999999999996</v>
      </c>
      <c r="L79" s="241">
        <f t="shared" si="6"/>
        <v>0.53600000000000003</v>
      </c>
      <c r="M79" s="241">
        <f t="shared" si="6"/>
        <v>5.5E-2</v>
      </c>
      <c r="O79" s="130"/>
      <c r="P79" s="130"/>
      <c r="Q79" s="130"/>
      <c r="R79" s="130"/>
      <c r="S79" s="130"/>
    </row>
    <row r="80" spans="1:30">
      <c r="B80" s="282"/>
      <c r="C80" s="129">
        <f t="shared" si="2"/>
        <v>3.5449999999999999</v>
      </c>
      <c r="D80" s="130">
        <f t="shared" si="2"/>
        <v>5.7270000000000003</v>
      </c>
      <c r="E80" s="130">
        <f t="shared" si="2"/>
        <v>1.7270000000000001</v>
      </c>
      <c r="F80" s="130">
        <f t="shared" si="2"/>
        <v>8.5449999999999999</v>
      </c>
      <c r="G80" s="131">
        <f t="shared" si="2"/>
        <v>1.4550000000000001</v>
      </c>
      <c r="H80" s="130"/>
      <c r="I80" s="241">
        <f t="shared" ref="I80:M80" si="7">ROUND(ABS(I7-I$45),3)</f>
        <v>1.073</v>
      </c>
      <c r="J80" s="241">
        <f t="shared" si="7"/>
        <v>0.127</v>
      </c>
      <c r="K80" s="241">
        <f t="shared" si="7"/>
        <v>0.182</v>
      </c>
      <c r="L80" s="241">
        <f t="shared" si="7"/>
        <v>1.1639999999999999</v>
      </c>
      <c r="M80" s="241">
        <f t="shared" si="7"/>
        <v>1.0549999999999999</v>
      </c>
      <c r="O80" s="130"/>
      <c r="P80" s="130"/>
      <c r="Q80" s="130"/>
      <c r="R80" s="130"/>
      <c r="S80" s="130"/>
    </row>
    <row r="81" spans="2:19">
      <c r="B81" s="282"/>
      <c r="C81" s="129">
        <f>ROUND(ABS(C8-C$45),3)</f>
        <v>3.5449999999999999</v>
      </c>
      <c r="D81" s="130">
        <f t="shared" ref="D81:G81" si="8">ROUND(ABS(D8-D$45),3)</f>
        <v>1.2729999999999999</v>
      </c>
      <c r="E81" s="130">
        <f t="shared" si="8"/>
        <v>13.273</v>
      </c>
      <c r="F81" s="130">
        <f t="shared" si="8"/>
        <v>3.5449999999999999</v>
      </c>
      <c r="G81" s="131">
        <f t="shared" si="8"/>
        <v>7.5449999999999999</v>
      </c>
      <c r="H81" s="130"/>
      <c r="I81" s="241">
        <f>ROUND(ABS(I8-I$45),3)</f>
        <v>1.373</v>
      </c>
      <c r="J81" s="241">
        <f t="shared" ref="J81:M81" si="9">ROUND(ABS(J8-J$45),3)</f>
        <v>2.427</v>
      </c>
      <c r="K81" s="241">
        <f t="shared" si="9"/>
        <v>1.1180000000000001</v>
      </c>
      <c r="L81" s="241">
        <f t="shared" si="9"/>
        <v>0.76400000000000001</v>
      </c>
      <c r="M81" s="241">
        <f t="shared" si="9"/>
        <v>1.655</v>
      </c>
      <c r="O81" s="130"/>
      <c r="P81" s="130"/>
      <c r="Q81" s="130"/>
      <c r="R81" s="130"/>
      <c r="S81" s="130"/>
    </row>
    <row r="82" spans="2:19">
      <c r="B82" s="282"/>
      <c r="C82" s="129">
        <f t="shared" si="2"/>
        <v>1.5449999999999999</v>
      </c>
      <c r="D82" s="130">
        <f t="shared" si="2"/>
        <v>7.2729999999999997</v>
      </c>
      <c r="E82" s="130">
        <f t="shared" si="2"/>
        <v>0.27300000000000002</v>
      </c>
      <c r="F82" s="130">
        <f t="shared" si="2"/>
        <v>0.45500000000000002</v>
      </c>
      <c r="G82" s="131">
        <f t="shared" si="2"/>
        <v>2.5449999999999999</v>
      </c>
      <c r="H82" s="130"/>
      <c r="I82" s="241">
        <f t="shared" ref="I82:M82" si="10">ROUND(ABS(I9-I$45),3)</f>
        <v>2.0270000000000001</v>
      </c>
      <c r="J82" s="241">
        <f t="shared" si="10"/>
        <v>0.17299999999999999</v>
      </c>
      <c r="K82" s="241">
        <f t="shared" si="10"/>
        <v>0.58199999999999996</v>
      </c>
      <c r="L82" s="241">
        <f t="shared" si="10"/>
        <v>0.23599999999999999</v>
      </c>
      <c r="M82" s="241">
        <f t="shared" si="10"/>
        <v>1.7450000000000001</v>
      </c>
      <c r="O82" s="130"/>
      <c r="P82" s="130"/>
      <c r="Q82" s="130"/>
      <c r="R82" s="130"/>
      <c r="S82" s="130"/>
    </row>
    <row r="83" spans="2:19">
      <c r="B83" s="282"/>
      <c r="C83" s="129">
        <f t="shared" si="2"/>
        <v>8.5449999999999999</v>
      </c>
      <c r="D83" s="130">
        <f t="shared" si="2"/>
        <v>13.273</v>
      </c>
      <c r="E83" s="130">
        <f t="shared" si="2"/>
        <v>7.7270000000000003</v>
      </c>
      <c r="F83" s="130">
        <f t="shared" si="2"/>
        <v>8.5449999999999999</v>
      </c>
      <c r="G83" s="131">
        <f t="shared" si="2"/>
        <v>10.545</v>
      </c>
      <c r="H83" s="130"/>
      <c r="I83" s="241">
        <f t="shared" ref="I83:M83" si="11">ROUND(ABS(I10-I$45),3)</f>
        <v>3.2730000000000001</v>
      </c>
      <c r="J83" s="241">
        <f t="shared" si="11"/>
        <v>2.3730000000000002</v>
      </c>
      <c r="K83" s="241">
        <f t="shared" si="11"/>
        <v>1.3819999999999999</v>
      </c>
      <c r="L83" s="241">
        <f t="shared" si="11"/>
        <v>0.93600000000000005</v>
      </c>
      <c r="M83" s="241">
        <f t="shared" si="11"/>
        <v>1.7450000000000001</v>
      </c>
      <c r="O83" s="130"/>
      <c r="P83" s="130"/>
      <c r="Q83" s="130"/>
      <c r="R83" s="130"/>
      <c r="S83" s="130"/>
    </row>
    <row r="84" spans="2:19">
      <c r="B84" s="282"/>
      <c r="C84" s="129">
        <f t="shared" si="2"/>
        <v>1.4550000000000001</v>
      </c>
      <c r="D84" s="130">
        <f t="shared" si="2"/>
        <v>8.7270000000000003</v>
      </c>
      <c r="E84" s="130">
        <f t="shared" si="2"/>
        <v>3.7269999999999999</v>
      </c>
      <c r="F84" s="130">
        <f t="shared" si="2"/>
        <v>7.4550000000000001</v>
      </c>
      <c r="G84" s="131">
        <f t="shared" si="2"/>
        <v>18.454999999999998</v>
      </c>
      <c r="H84" s="130"/>
      <c r="I84" s="241">
        <f t="shared" ref="I84:M84" si="12">ROUND(ABS(I11-I$45),3)</f>
        <v>1.327</v>
      </c>
      <c r="J84" s="241">
        <f t="shared" si="12"/>
        <v>0.97299999999999998</v>
      </c>
      <c r="K84" s="241">
        <f t="shared" si="12"/>
        <v>3.8180000000000001</v>
      </c>
      <c r="L84" s="241">
        <f t="shared" si="12"/>
        <v>1.3640000000000001</v>
      </c>
      <c r="M84" s="241">
        <f t="shared" si="12"/>
        <v>3.6549999999999998</v>
      </c>
      <c r="O84" s="130"/>
      <c r="P84" s="130"/>
      <c r="Q84" s="130"/>
      <c r="R84" s="130"/>
      <c r="S84" s="130"/>
    </row>
    <row r="85" spans="2:19">
      <c r="B85" s="282"/>
      <c r="C85" s="132">
        <f t="shared" si="2"/>
        <v>5.4550000000000001</v>
      </c>
      <c r="D85" s="133">
        <f t="shared" si="2"/>
        <v>2.2730000000000001</v>
      </c>
      <c r="E85" s="133">
        <f t="shared" si="2"/>
        <v>14.273</v>
      </c>
      <c r="F85" s="133">
        <f t="shared" si="2"/>
        <v>0.45500000000000002</v>
      </c>
      <c r="G85" s="134">
        <f t="shared" si="2"/>
        <v>3.5449999999999999</v>
      </c>
      <c r="H85" s="130"/>
      <c r="I85" s="215">
        <f t="shared" ref="I85:M85" si="13">ROUND(ABS(I12-I$45),3)</f>
        <v>0.77300000000000002</v>
      </c>
      <c r="J85" s="215">
        <f t="shared" si="13"/>
        <v>2.0270000000000001</v>
      </c>
      <c r="K85" s="215">
        <f t="shared" si="13"/>
        <v>1.982</v>
      </c>
      <c r="L85" s="215">
        <f t="shared" si="13"/>
        <v>1.1639999999999999</v>
      </c>
      <c r="M85" s="215">
        <f t="shared" si="13"/>
        <v>0.65500000000000003</v>
      </c>
      <c r="O85" s="130"/>
      <c r="P85" s="130"/>
      <c r="Q85" s="130"/>
      <c r="R85" s="130"/>
      <c r="S85" s="130"/>
    </row>
    <row r="86" spans="2:19">
      <c r="B86" s="282"/>
      <c r="O86" s="130"/>
      <c r="P86" s="130"/>
      <c r="Q86" s="130"/>
      <c r="R86" s="130"/>
      <c r="S86" s="130"/>
    </row>
    <row r="87" spans="2:19">
      <c r="B87" s="282"/>
      <c r="C87" s="458" t="s">
        <v>196</v>
      </c>
      <c r="D87" s="459"/>
      <c r="E87" s="459"/>
      <c r="F87" s="459"/>
      <c r="G87" s="460"/>
      <c r="I87" s="461" t="s">
        <v>196</v>
      </c>
      <c r="J87" s="462"/>
      <c r="K87" s="462"/>
      <c r="L87" s="462"/>
      <c r="M87" s="463"/>
      <c r="O87" s="130"/>
      <c r="P87" s="130"/>
      <c r="Q87" s="130"/>
      <c r="R87" s="130"/>
      <c r="S87" s="130"/>
    </row>
    <row r="88" spans="2:19">
      <c r="B88" s="282"/>
      <c r="C88" s="285" t="s">
        <v>28</v>
      </c>
      <c r="D88" s="283" t="s">
        <v>29</v>
      </c>
      <c r="E88" s="283" t="s">
        <v>30</v>
      </c>
      <c r="F88" s="283" t="s">
        <v>31</v>
      </c>
      <c r="G88" s="284" t="s">
        <v>32</v>
      </c>
      <c r="H88" s="268"/>
      <c r="I88" s="286" t="s">
        <v>160</v>
      </c>
      <c r="J88" s="287" t="s">
        <v>161</v>
      </c>
      <c r="K88" s="287" t="s">
        <v>162</v>
      </c>
      <c r="L88" s="287" t="s">
        <v>163</v>
      </c>
      <c r="M88" s="288" t="s">
        <v>164</v>
      </c>
      <c r="N88" s="268"/>
      <c r="O88" s="268"/>
      <c r="P88" s="268"/>
      <c r="Q88" s="268"/>
      <c r="R88" s="268"/>
      <c r="S88" s="268"/>
    </row>
    <row r="89" spans="2:19">
      <c r="B89" s="282"/>
      <c r="C89" s="123">
        <f>ROUND(ABS(C15-C$54),3)</f>
        <v>13.917</v>
      </c>
      <c r="D89" s="124">
        <f t="shared" ref="D89:G89" si="14">ROUND(ABS(D15-D$54),3)</f>
        <v>4.9169999999999998</v>
      </c>
      <c r="E89" s="124">
        <f t="shared" si="14"/>
        <v>15.25</v>
      </c>
      <c r="F89" s="124">
        <f t="shared" si="14"/>
        <v>4.4169999999999998</v>
      </c>
      <c r="G89" s="125">
        <f t="shared" si="14"/>
        <v>7.5830000000000002</v>
      </c>
      <c r="H89" s="130"/>
      <c r="I89" s="237">
        <f>ROUND(ABS(I15-I$54),3)</f>
        <v>3.1669999999999998</v>
      </c>
      <c r="J89" s="238">
        <f t="shared" ref="J89:M89" si="15">ROUND(ABS(J15-J$54),3)</f>
        <v>2.0670000000000002</v>
      </c>
      <c r="K89" s="238">
        <f t="shared" si="15"/>
        <v>0.57499999999999996</v>
      </c>
      <c r="L89" s="238">
        <f t="shared" si="15"/>
        <v>0.64200000000000002</v>
      </c>
      <c r="M89" s="240">
        <f t="shared" si="15"/>
        <v>1.083</v>
      </c>
      <c r="O89" s="130"/>
      <c r="P89" s="130"/>
      <c r="Q89" s="130"/>
      <c r="R89" s="130"/>
      <c r="S89" s="130"/>
    </row>
    <row r="90" spans="2:19">
      <c r="B90" s="282"/>
      <c r="C90" s="129">
        <f t="shared" ref="C90:G100" si="16">ROUND(ABS(C16-C$54),3)</f>
        <v>2.9169999999999998</v>
      </c>
      <c r="D90" s="130">
        <f t="shared" si="16"/>
        <v>0.91700000000000004</v>
      </c>
      <c r="E90" s="130">
        <f t="shared" si="16"/>
        <v>13.75</v>
      </c>
      <c r="F90" s="130">
        <f t="shared" si="16"/>
        <v>12.417</v>
      </c>
      <c r="G90" s="131">
        <f t="shared" si="16"/>
        <v>0.58299999999999996</v>
      </c>
      <c r="H90" s="130"/>
      <c r="I90" s="241">
        <f t="shared" ref="I90:M100" si="17">ROUND(ABS(I16-I$54),3)</f>
        <v>1.667</v>
      </c>
      <c r="J90" s="213">
        <f t="shared" si="17"/>
        <v>3.1669999999999998</v>
      </c>
      <c r="K90" s="213">
        <f t="shared" si="17"/>
        <v>0.875</v>
      </c>
      <c r="L90" s="213">
        <f t="shared" si="17"/>
        <v>1.8420000000000001</v>
      </c>
      <c r="M90" s="242">
        <f t="shared" si="17"/>
        <v>0.217</v>
      </c>
      <c r="O90" s="130"/>
      <c r="P90" s="130"/>
      <c r="Q90" s="130"/>
      <c r="R90" s="130"/>
      <c r="S90" s="130"/>
    </row>
    <row r="91" spans="2:19">
      <c r="B91" s="282"/>
      <c r="C91" s="129">
        <f t="shared" si="16"/>
        <v>14.917</v>
      </c>
      <c r="D91" s="130">
        <f t="shared" si="16"/>
        <v>19.917000000000002</v>
      </c>
      <c r="E91" s="130">
        <f t="shared" si="16"/>
        <v>11.25</v>
      </c>
      <c r="F91" s="130">
        <f t="shared" si="16"/>
        <v>8.4169999999999998</v>
      </c>
      <c r="G91" s="131">
        <f t="shared" si="16"/>
        <v>8.5830000000000002</v>
      </c>
      <c r="H91" s="130"/>
      <c r="I91" s="241">
        <f t="shared" si="17"/>
        <v>1.7330000000000001</v>
      </c>
      <c r="J91" s="213">
        <f t="shared" si="17"/>
        <v>2.4329999999999998</v>
      </c>
      <c r="K91" s="213">
        <f t="shared" si="17"/>
        <v>4.5250000000000004</v>
      </c>
      <c r="L91" s="213">
        <f t="shared" si="17"/>
        <v>2.258</v>
      </c>
      <c r="M91" s="242">
        <f t="shared" si="17"/>
        <v>2.5169999999999999</v>
      </c>
      <c r="O91" s="130"/>
      <c r="P91" s="130"/>
      <c r="Q91" s="130"/>
      <c r="R91" s="130"/>
      <c r="S91" s="130"/>
    </row>
    <row r="92" spans="2:19">
      <c r="B92" s="282"/>
      <c r="C92" s="129">
        <f t="shared" si="16"/>
        <v>21.082999999999998</v>
      </c>
      <c r="D92" s="130">
        <f t="shared" si="16"/>
        <v>1.917</v>
      </c>
      <c r="E92" s="130">
        <f t="shared" si="16"/>
        <v>1.75</v>
      </c>
      <c r="F92" s="130">
        <f t="shared" si="16"/>
        <v>3.4169999999999998</v>
      </c>
      <c r="G92" s="131">
        <f t="shared" si="16"/>
        <v>0.41699999999999998</v>
      </c>
      <c r="H92" s="130"/>
      <c r="I92" s="241">
        <f t="shared" si="17"/>
        <v>1.7330000000000001</v>
      </c>
      <c r="J92" s="213">
        <f t="shared" si="17"/>
        <v>2.5670000000000002</v>
      </c>
      <c r="K92" s="213">
        <f t="shared" si="17"/>
        <v>0.27500000000000002</v>
      </c>
      <c r="L92" s="213">
        <f t="shared" si="17"/>
        <v>1.1579999999999999</v>
      </c>
      <c r="M92" s="242">
        <f t="shared" si="17"/>
        <v>1.7000000000000001E-2</v>
      </c>
      <c r="O92" s="130"/>
      <c r="P92" s="130"/>
      <c r="Q92" s="130"/>
      <c r="R92" s="130"/>
      <c r="S92" s="130"/>
    </row>
    <row r="93" spans="2:19">
      <c r="B93" s="282"/>
      <c r="C93" s="129">
        <f t="shared" si="16"/>
        <v>13.917</v>
      </c>
      <c r="D93" s="130">
        <f t="shared" si="16"/>
        <v>16.082999999999998</v>
      </c>
      <c r="E93" s="130">
        <f t="shared" si="16"/>
        <v>6.25</v>
      </c>
      <c r="F93" s="130">
        <f t="shared" si="16"/>
        <v>5.4169999999999998</v>
      </c>
      <c r="G93" s="131">
        <f t="shared" si="16"/>
        <v>11.417</v>
      </c>
      <c r="H93" s="130"/>
      <c r="I93" s="241">
        <f t="shared" si="17"/>
        <v>1.2330000000000001</v>
      </c>
      <c r="J93" s="213">
        <f t="shared" si="17"/>
        <v>3.3330000000000002</v>
      </c>
      <c r="K93" s="213">
        <f t="shared" si="17"/>
        <v>2.4249999999999998</v>
      </c>
      <c r="L93" s="213">
        <f t="shared" si="17"/>
        <v>0.65800000000000003</v>
      </c>
      <c r="M93" s="242">
        <f t="shared" si="17"/>
        <v>2.383</v>
      </c>
      <c r="O93" s="130"/>
      <c r="P93" s="130"/>
      <c r="Q93" s="130"/>
      <c r="R93" s="130"/>
      <c r="S93" s="130"/>
    </row>
    <row r="94" spans="2:19">
      <c r="B94" s="282"/>
      <c r="C94" s="129">
        <f t="shared" si="16"/>
        <v>6.0830000000000002</v>
      </c>
      <c r="D94" s="130">
        <f t="shared" si="16"/>
        <v>9.0830000000000002</v>
      </c>
      <c r="E94" s="130">
        <f t="shared" si="16"/>
        <v>3.25</v>
      </c>
      <c r="F94" s="130">
        <f t="shared" si="16"/>
        <v>4.4169999999999998</v>
      </c>
      <c r="G94" s="131">
        <f t="shared" si="16"/>
        <v>9.5830000000000002</v>
      </c>
      <c r="H94" s="130"/>
      <c r="I94" s="241">
        <f t="shared" si="17"/>
        <v>1.2669999999999999</v>
      </c>
      <c r="J94" s="213">
        <f t="shared" si="17"/>
        <v>0.96699999999999997</v>
      </c>
      <c r="K94" s="213">
        <f t="shared" si="17"/>
        <v>0.17499999999999999</v>
      </c>
      <c r="L94" s="213">
        <f t="shared" si="17"/>
        <v>0.74199999999999999</v>
      </c>
      <c r="M94" s="242">
        <f t="shared" si="17"/>
        <v>1.383</v>
      </c>
      <c r="O94" s="130"/>
      <c r="P94" s="130"/>
      <c r="Q94" s="130"/>
      <c r="R94" s="130"/>
      <c r="S94" s="130"/>
    </row>
    <row r="95" spans="2:19">
      <c r="B95" s="282"/>
      <c r="C95" s="129">
        <f t="shared" si="16"/>
        <v>1.083</v>
      </c>
      <c r="D95" s="130">
        <f t="shared" si="16"/>
        <v>20.082999999999998</v>
      </c>
      <c r="E95" s="130">
        <f t="shared" si="16"/>
        <v>17.25</v>
      </c>
      <c r="F95" s="130">
        <f t="shared" si="16"/>
        <v>18.582999999999998</v>
      </c>
      <c r="G95" s="131">
        <f t="shared" si="16"/>
        <v>0.41699999999999998</v>
      </c>
      <c r="H95" s="130"/>
      <c r="I95" s="241">
        <f t="shared" si="17"/>
        <v>0.46700000000000003</v>
      </c>
      <c r="J95" s="213">
        <f t="shared" si="17"/>
        <v>0.83299999999999996</v>
      </c>
      <c r="K95" s="213">
        <f t="shared" si="17"/>
        <v>1.875</v>
      </c>
      <c r="L95" s="213">
        <f t="shared" si="17"/>
        <v>0.14199999999999999</v>
      </c>
      <c r="M95" s="242">
        <f t="shared" si="17"/>
        <v>0.183</v>
      </c>
      <c r="O95" s="130"/>
      <c r="P95" s="130"/>
      <c r="Q95" s="130"/>
      <c r="R95" s="130"/>
      <c r="S95" s="130"/>
    </row>
    <row r="96" spans="2:19">
      <c r="B96" s="282"/>
      <c r="C96" s="129">
        <f t="shared" si="16"/>
        <v>7.0830000000000002</v>
      </c>
      <c r="D96" s="130">
        <f t="shared" si="16"/>
        <v>19.917000000000002</v>
      </c>
      <c r="E96" s="130">
        <f t="shared" si="16"/>
        <v>11.75</v>
      </c>
      <c r="F96" s="130">
        <f t="shared" si="16"/>
        <v>7.5830000000000002</v>
      </c>
      <c r="G96" s="131">
        <f t="shared" si="16"/>
        <v>6.4169999999999998</v>
      </c>
      <c r="H96" s="130"/>
      <c r="I96" s="241">
        <f t="shared" si="17"/>
        <v>0.433</v>
      </c>
      <c r="J96" s="213">
        <f t="shared" si="17"/>
        <v>0.16700000000000001</v>
      </c>
      <c r="K96" s="213">
        <f t="shared" si="17"/>
        <v>3.4750000000000001</v>
      </c>
      <c r="L96" s="213">
        <f t="shared" si="17"/>
        <v>0.158</v>
      </c>
      <c r="M96" s="242">
        <f t="shared" si="17"/>
        <v>1.7170000000000001</v>
      </c>
      <c r="O96" s="130"/>
      <c r="P96" s="130"/>
      <c r="Q96" s="130"/>
      <c r="R96" s="130"/>
      <c r="S96" s="130"/>
    </row>
    <row r="97" spans="3:19">
      <c r="C97" s="129">
        <f t="shared" si="16"/>
        <v>9.0830000000000002</v>
      </c>
      <c r="D97" s="130">
        <f t="shared" si="16"/>
        <v>3.9169999999999998</v>
      </c>
      <c r="E97" s="130">
        <f t="shared" si="16"/>
        <v>12.75</v>
      </c>
      <c r="F97" s="130">
        <f t="shared" si="16"/>
        <v>6.5830000000000002</v>
      </c>
      <c r="G97" s="131">
        <f t="shared" si="16"/>
        <v>6.4169999999999998</v>
      </c>
      <c r="H97" s="130"/>
      <c r="I97" s="241">
        <f t="shared" si="17"/>
        <v>2.0670000000000002</v>
      </c>
      <c r="J97" s="213">
        <f t="shared" si="17"/>
        <v>2.7330000000000001</v>
      </c>
      <c r="K97" s="213">
        <f t="shared" si="17"/>
        <v>0.47499999999999998</v>
      </c>
      <c r="L97" s="213">
        <f t="shared" si="17"/>
        <v>0.34200000000000003</v>
      </c>
      <c r="M97" s="242">
        <f t="shared" si="17"/>
        <v>4.383</v>
      </c>
      <c r="O97" s="130"/>
      <c r="P97" s="130"/>
      <c r="Q97" s="130"/>
      <c r="R97" s="130"/>
      <c r="S97" s="130"/>
    </row>
    <row r="98" spans="3:19">
      <c r="C98" s="129">
        <f t="shared" si="16"/>
        <v>7.0830000000000002</v>
      </c>
      <c r="D98" s="130">
        <f t="shared" si="16"/>
        <v>1.917</v>
      </c>
      <c r="E98" s="130">
        <f t="shared" si="16"/>
        <v>4.75</v>
      </c>
      <c r="F98" s="130">
        <f t="shared" si="16"/>
        <v>2.4169999999999998</v>
      </c>
      <c r="G98" s="131">
        <f t="shared" si="16"/>
        <v>2.4169999999999998</v>
      </c>
      <c r="H98" s="130"/>
      <c r="I98" s="241">
        <f t="shared" si="17"/>
        <v>1.7330000000000001</v>
      </c>
      <c r="J98" s="213">
        <f t="shared" si="17"/>
        <v>1.367</v>
      </c>
      <c r="K98" s="213">
        <f t="shared" si="17"/>
        <v>1.075</v>
      </c>
      <c r="L98" s="213">
        <f t="shared" si="17"/>
        <v>1.542</v>
      </c>
      <c r="M98" s="242">
        <f t="shared" si="17"/>
        <v>2.7170000000000001</v>
      </c>
      <c r="O98" s="130"/>
      <c r="P98" s="130"/>
      <c r="Q98" s="130"/>
      <c r="R98" s="130"/>
      <c r="S98" s="130"/>
    </row>
    <row r="99" spans="3:19">
      <c r="C99" s="129">
        <f t="shared" si="16"/>
        <v>2.9169999999999998</v>
      </c>
      <c r="D99" s="130">
        <f t="shared" si="16"/>
        <v>4.0830000000000002</v>
      </c>
      <c r="E99" s="130">
        <f t="shared" si="16"/>
        <v>11.75</v>
      </c>
      <c r="F99" s="130">
        <f t="shared" si="16"/>
        <v>14.583</v>
      </c>
      <c r="G99" s="131">
        <f t="shared" si="16"/>
        <v>0.58299999999999996</v>
      </c>
      <c r="H99" s="130"/>
      <c r="I99" s="241">
        <f t="shared" si="17"/>
        <v>0.93300000000000005</v>
      </c>
      <c r="J99" s="213">
        <f t="shared" si="17"/>
        <v>1.2330000000000001</v>
      </c>
      <c r="K99" s="213">
        <f t="shared" si="17"/>
        <v>0.77500000000000002</v>
      </c>
      <c r="L99" s="213">
        <f t="shared" si="17"/>
        <v>0.95799999999999996</v>
      </c>
      <c r="M99" s="242">
        <f t="shared" si="17"/>
        <v>1.417</v>
      </c>
      <c r="O99" s="130"/>
      <c r="P99" s="130"/>
      <c r="Q99" s="130"/>
      <c r="R99" s="130"/>
      <c r="S99" s="130"/>
    </row>
    <row r="100" spans="3:19">
      <c r="C100" s="132">
        <f t="shared" si="16"/>
        <v>2.9169999999999998</v>
      </c>
      <c r="D100" s="133">
        <f t="shared" si="16"/>
        <v>4.0830000000000002</v>
      </c>
      <c r="E100" s="133">
        <f t="shared" si="16"/>
        <v>3.25</v>
      </c>
      <c r="F100" s="133">
        <f t="shared" si="16"/>
        <v>6.4169999999999998</v>
      </c>
      <c r="G100" s="134">
        <f>ROUND(ABS(G26-G$54),3)</f>
        <v>0.58299999999999996</v>
      </c>
      <c r="H100" s="130"/>
      <c r="I100" s="215">
        <f t="shared" si="17"/>
        <v>0.83299999999999996</v>
      </c>
      <c r="J100" s="243">
        <f t="shared" si="17"/>
        <v>0.26700000000000002</v>
      </c>
      <c r="K100" s="243">
        <f t="shared" si="17"/>
        <v>2.625</v>
      </c>
      <c r="L100" s="243">
        <f t="shared" si="17"/>
        <v>5.8000000000000003E-2</v>
      </c>
      <c r="M100" s="245">
        <f t="shared" si="17"/>
        <v>0.81699999999999995</v>
      </c>
      <c r="O100" s="130"/>
      <c r="P100" s="130"/>
      <c r="Q100" s="130"/>
      <c r="R100" s="130"/>
      <c r="S100" s="130"/>
    </row>
    <row r="101" spans="3:19">
      <c r="O101" s="130"/>
      <c r="P101" s="130"/>
      <c r="Q101" s="130"/>
      <c r="R101" s="130"/>
      <c r="S101" s="130"/>
    </row>
    <row r="102" spans="3:19">
      <c r="C102" s="458" t="s">
        <v>196</v>
      </c>
      <c r="D102" s="459"/>
      <c r="E102" s="459"/>
      <c r="F102" s="459"/>
      <c r="G102" s="460"/>
      <c r="I102" s="461" t="s">
        <v>196</v>
      </c>
      <c r="J102" s="462"/>
      <c r="K102" s="462"/>
      <c r="L102" s="462"/>
      <c r="M102" s="463"/>
      <c r="O102" s="130"/>
      <c r="P102" s="130"/>
      <c r="Q102" s="130"/>
      <c r="R102" s="130"/>
      <c r="S102" s="130"/>
    </row>
    <row r="103" spans="3:19">
      <c r="C103" s="285" t="s">
        <v>69</v>
      </c>
      <c r="D103" s="283" t="s">
        <v>70</v>
      </c>
      <c r="E103" s="283" t="s">
        <v>71</v>
      </c>
      <c r="F103" s="283" t="s">
        <v>72</v>
      </c>
      <c r="G103" s="284" t="s">
        <v>73</v>
      </c>
      <c r="H103" s="268"/>
      <c r="I103" s="286" t="s">
        <v>165</v>
      </c>
      <c r="J103" s="287" t="s">
        <v>166</v>
      </c>
      <c r="K103" s="287" t="s">
        <v>167</v>
      </c>
      <c r="L103" s="287" t="s">
        <v>168</v>
      </c>
      <c r="M103" s="288" t="s">
        <v>169</v>
      </c>
      <c r="N103" s="268"/>
      <c r="O103" s="268"/>
      <c r="P103" s="268"/>
      <c r="Q103" s="268"/>
      <c r="R103" s="268"/>
      <c r="S103" s="268"/>
    </row>
    <row r="104" spans="3:19">
      <c r="C104" s="123">
        <f>ROUND(ABS(C30-C$63),3)</f>
        <v>8.8569999999999993</v>
      </c>
      <c r="D104" s="124">
        <f t="shared" ref="D104:F104" si="18">ROUND(ABS(D30-D$63),3)</f>
        <v>3.1429999999999998</v>
      </c>
      <c r="E104" s="124">
        <f t="shared" si="18"/>
        <v>6.4290000000000003</v>
      </c>
      <c r="F104" s="124">
        <f t="shared" si="18"/>
        <v>2.3570000000000002</v>
      </c>
      <c r="G104" s="125">
        <f>ROUND(ABS(G30-G$63),3)</f>
        <v>2</v>
      </c>
      <c r="H104" s="130"/>
      <c r="I104" s="237">
        <f>ROUND(ABS(I30-I$63),3)</f>
        <v>3.0289999999999999</v>
      </c>
      <c r="J104" s="238">
        <f t="shared" ref="J104:M104" si="19">ROUND(ABS(J30-J$63),3)</f>
        <v>1.6140000000000001</v>
      </c>
      <c r="K104" s="238">
        <f t="shared" si="19"/>
        <v>0.6</v>
      </c>
      <c r="L104" s="238">
        <f t="shared" si="19"/>
        <v>2.5</v>
      </c>
      <c r="M104" s="240">
        <f t="shared" si="19"/>
        <v>0.214</v>
      </c>
      <c r="O104" s="130"/>
      <c r="P104" s="130"/>
      <c r="Q104" s="130"/>
      <c r="R104" s="130"/>
      <c r="S104" s="130"/>
    </row>
    <row r="105" spans="3:19">
      <c r="C105" s="129">
        <f t="shared" ref="C105:G116" si="20">ROUND(ABS(C31-C$63),3)</f>
        <v>1.857</v>
      </c>
      <c r="D105" s="130">
        <f t="shared" si="20"/>
        <v>2.1429999999999998</v>
      </c>
      <c r="E105" s="130">
        <f t="shared" si="20"/>
        <v>0.42899999999999999</v>
      </c>
      <c r="F105" s="130">
        <f t="shared" si="20"/>
        <v>16.356999999999999</v>
      </c>
      <c r="G105" s="131">
        <f t="shared" si="20"/>
        <v>0</v>
      </c>
      <c r="H105" s="130"/>
      <c r="I105" s="241">
        <f t="shared" ref="I105:M117" si="21">ROUND(ABS(I31-I$63),3)</f>
        <v>3.5710000000000002</v>
      </c>
      <c r="J105" s="213">
        <f t="shared" si="21"/>
        <v>0.214</v>
      </c>
      <c r="K105" s="213">
        <f t="shared" si="21"/>
        <v>0.2</v>
      </c>
      <c r="L105" s="213">
        <f t="shared" si="21"/>
        <v>0.4</v>
      </c>
      <c r="M105" s="242">
        <f t="shared" si="21"/>
        <v>0.58599999999999997</v>
      </c>
      <c r="O105" s="130"/>
      <c r="P105" s="130"/>
      <c r="Q105" s="130"/>
      <c r="R105" s="130"/>
      <c r="S105" s="130"/>
    </row>
    <row r="106" spans="3:19">
      <c r="C106" s="129">
        <f t="shared" si="20"/>
        <v>3.1429999999999998</v>
      </c>
      <c r="D106" s="130">
        <f t="shared" si="20"/>
        <v>5.8570000000000002</v>
      </c>
      <c r="E106" s="130">
        <f t="shared" si="20"/>
        <v>0.57099999999999995</v>
      </c>
      <c r="F106" s="130">
        <f t="shared" si="20"/>
        <v>9.3569999999999993</v>
      </c>
      <c r="G106" s="131">
        <f t="shared" si="20"/>
        <v>3</v>
      </c>
      <c r="H106" s="130"/>
      <c r="I106" s="241">
        <f t="shared" si="21"/>
        <v>1.629</v>
      </c>
      <c r="J106" s="213">
        <f t="shared" si="21"/>
        <v>1.8859999999999999</v>
      </c>
      <c r="K106" s="213">
        <f t="shared" si="21"/>
        <v>0.4</v>
      </c>
      <c r="L106" s="213">
        <f t="shared" si="21"/>
        <v>1.1000000000000001</v>
      </c>
      <c r="M106" s="242">
        <f t="shared" si="21"/>
        <v>0.61399999999999999</v>
      </c>
      <c r="O106" s="130"/>
      <c r="P106" s="130"/>
      <c r="Q106" s="130"/>
      <c r="R106" s="130"/>
      <c r="S106" s="130"/>
    </row>
    <row r="107" spans="3:19">
      <c r="C107" s="129">
        <f t="shared" si="20"/>
        <v>6.8570000000000002</v>
      </c>
      <c r="D107" s="130">
        <f t="shared" si="20"/>
        <v>4.8570000000000002</v>
      </c>
      <c r="E107" s="130">
        <f t="shared" si="20"/>
        <v>8.4290000000000003</v>
      </c>
      <c r="F107" s="130">
        <f t="shared" si="20"/>
        <v>9.6430000000000007</v>
      </c>
      <c r="G107" s="131">
        <f t="shared" si="20"/>
        <v>5</v>
      </c>
      <c r="H107" s="130"/>
      <c r="I107" s="241">
        <f t="shared" si="21"/>
        <v>2.129</v>
      </c>
      <c r="J107" s="213">
        <f t="shared" si="21"/>
        <v>0.28599999999999998</v>
      </c>
      <c r="K107" s="213">
        <f t="shared" si="21"/>
        <v>0.5</v>
      </c>
      <c r="L107" s="213">
        <f t="shared" si="21"/>
        <v>0.3</v>
      </c>
      <c r="M107" s="242">
        <f t="shared" si="21"/>
        <v>0.78600000000000003</v>
      </c>
      <c r="O107" s="130"/>
      <c r="P107" s="130"/>
      <c r="Q107" s="130"/>
      <c r="R107" s="130"/>
      <c r="S107" s="130"/>
    </row>
    <row r="108" spans="3:19">
      <c r="C108" s="129">
        <f t="shared" si="20"/>
        <v>9.1430000000000007</v>
      </c>
      <c r="D108" s="130">
        <f t="shared" si="20"/>
        <v>14.143000000000001</v>
      </c>
      <c r="E108" s="130">
        <f t="shared" si="20"/>
        <v>11.429</v>
      </c>
      <c r="F108" s="130">
        <f t="shared" si="20"/>
        <v>6.6429999999999998</v>
      </c>
      <c r="G108" s="131">
        <f t="shared" si="20"/>
        <v>12</v>
      </c>
      <c r="H108" s="130"/>
      <c r="I108" s="241">
        <f t="shared" si="21"/>
        <v>0.57099999999999995</v>
      </c>
      <c r="J108" s="213">
        <f t="shared" si="21"/>
        <v>1.486</v>
      </c>
      <c r="K108" s="213">
        <f t="shared" si="21"/>
        <v>1.2</v>
      </c>
      <c r="L108" s="213">
        <f t="shared" si="21"/>
        <v>0</v>
      </c>
      <c r="M108" s="242">
        <f t="shared" si="21"/>
        <v>0.314</v>
      </c>
      <c r="O108" s="130"/>
      <c r="P108" s="130"/>
      <c r="Q108" s="130"/>
      <c r="R108" s="130"/>
      <c r="S108" s="130"/>
    </row>
    <row r="109" spans="3:19">
      <c r="C109" s="129">
        <f t="shared" si="20"/>
        <v>5.1429999999999998</v>
      </c>
      <c r="D109" s="130">
        <f t="shared" si="20"/>
        <v>1.857</v>
      </c>
      <c r="E109" s="130">
        <f t="shared" si="20"/>
        <v>2.4289999999999998</v>
      </c>
      <c r="F109" s="130">
        <f t="shared" si="20"/>
        <v>25.643000000000001</v>
      </c>
      <c r="G109" s="131">
        <f t="shared" si="20"/>
        <v>20</v>
      </c>
      <c r="H109" s="130"/>
      <c r="I109" s="241">
        <f t="shared" si="21"/>
        <v>0.67100000000000004</v>
      </c>
      <c r="J109" s="213">
        <f t="shared" si="21"/>
        <v>2.1859999999999999</v>
      </c>
      <c r="K109" s="213">
        <f t="shared" si="21"/>
        <v>0.3</v>
      </c>
      <c r="L109" s="213">
        <f t="shared" si="21"/>
        <v>1.4</v>
      </c>
      <c r="M109" s="242">
        <f t="shared" si="21"/>
        <v>1.1140000000000001</v>
      </c>
      <c r="O109" s="130"/>
      <c r="P109" s="130"/>
      <c r="Q109" s="130"/>
      <c r="R109" s="130"/>
      <c r="S109" s="130"/>
    </row>
    <row r="110" spans="3:19">
      <c r="C110" s="129">
        <f t="shared" si="20"/>
        <v>13.143000000000001</v>
      </c>
      <c r="D110" s="130">
        <f t="shared" si="20"/>
        <v>12.856999999999999</v>
      </c>
      <c r="E110" s="130">
        <f t="shared" si="20"/>
        <v>6.4290000000000003</v>
      </c>
      <c r="F110" s="130">
        <f t="shared" si="20"/>
        <v>3.3570000000000002</v>
      </c>
      <c r="G110" s="131">
        <f t="shared" si="20"/>
        <v>8</v>
      </c>
      <c r="H110" s="130"/>
      <c r="I110" s="241">
        <f t="shared" si="21"/>
        <v>3.0710000000000002</v>
      </c>
      <c r="J110" s="213">
        <f t="shared" si="21"/>
        <v>2.6139999999999999</v>
      </c>
      <c r="K110" s="213">
        <f t="shared" si="21"/>
        <v>3.2</v>
      </c>
      <c r="L110" s="213">
        <f t="shared" si="21"/>
        <v>0.9</v>
      </c>
      <c r="M110" s="242">
        <f t="shared" si="21"/>
        <v>1.014</v>
      </c>
      <c r="O110" s="130"/>
      <c r="P110" s="130"/>
      <c r="Q110" s="130"/>
      <c r="R110" s="130"/>
      <c r="S110" s="130"/>
    </row>
    <row r="111" spans="3:19">
      <c r="C111" s="129">
        <f t="shared" si="20"/>
        <v>8.1430000000000007</v>
      </c>
      <c r="D111" s="130">
        <f t="shared" si="20"/>
        <v>7.1429999999999998</v>
      </c>
      <c r="E111" s="130">
        <f t="shared" si="20"/>
        <v>3.5710000000000002</v>
      </c>
      <c r="F111" s="130">
        <f t="shared" si="20"/>
        <v>11.356999999999999</v>
      </c>
      <c r="G111" s="131">
        <f t="shared" si="20"/>
        <v>9</v>
      </c>
      <c r="H111" s="130"/>
      <c r="I111" s="241">
        <f t="shared" si="21"/>
        <v>1.7290000000000001</v>
      </c>
      <c r="J111" s="213">
        <f t="shared" si="21"/>
        <v>0.114</v>
      </c>
      <c r="K111" s="213">
        <f t="shared" si="21"/>
        <v>0.3</v>
      </c>
      <c r="L111" s="213">
        <f t="shared" si="21"/>
        <v>0</v>
      </c>
      <c r="M111" s="242">
        <f t="shared" si="21"/>
        <v>0.114</v>
      </c>
      <c r="O111" s="130"/>
      <c r="P111" s="130"/>
      <c r="Q111" s="130"/>
      <c r="R111" s="130"/>
      <c r="S111" s="130"/>
    </row>
    <row r="112" spans="3:19">
      <c r="C112" s="129">
        <f t="shared" si="20"/>
        <v>8.8569999999999993</v>
      </c>
      <c r="D112" s="130">
        <f t="shared" si="20"/>
        <v>2.1429999999999998</v>
      </c>
      <c r="E112" s="130">
        <f t="shared" si="20"/>
        <v>10.429</v>
      </c>
      <c r="F112" s="130">
        <f t="shared" si="20"/>
        <v>3.3570000000000002</v>
      </c>
      <c r="G112" s="131">
        <f t="shared" si="20"/>
        <v>7</v>
      </c>
      <c r="H112" s="130"/>
      <c r="I112" s="241">
        <f t="shared" si="21"/>
        <v>0.57099999999999995</v>
      </c>
      <c r="J112" s="213">
        <f t="shared" si="21"/>
        <v>3.6139999999999999</v>
      </c>
      <c r="K112" s="213">
        <f t="shared" si="21"/>
        <v>3.8</v>
      </c>
      <c r="L112" s="213">
        <f t="shared" si="21"/>
        <v>1.1000000000000001</v>
      </c>
      <c r="M112" s="242">
        <f t="shared" si="21"/>
        <v>0.91400000000000003</v>
      </c>
      <c r="O112" s="130"/>
      <c r="P112" s="130"/>
      <c r="Q112" s="130"/>
      <c r="R112" s="130"/>
      <c r="S112" s="130"/>
    </row>
    <row r="113" spans="2:19">
      <c r="C113" s="129">
        <f t="shared" si="20"/>
        <v>2.1429999999999998</v>
      </c>
      <c r="D113" s="130">
        <f t="shared" si="20"/>
        <v>8.8569999999999993</v>
      </c>
      <c r="E113" s="130">
        <f t="shared" si="20"/>
        <v>12.571</v>
      </c>
      <c r="F113" s="130">
        <f t="shared" si="20"/>
        <v>14.643000000000001</v>
      </c>
      <c r="G113" s="131">
        <f t="shared" si="20"/>
        <v>12</v>
      </c>
      <c r="H113" s="130"/>
      <c r="I113" s="241">
        <f t="shared" si="21"/>
        <v>0.57099999999999995</v>
      </c>
      <c r="J113" s="213">
        <f t="shared" si="21"/>
        <v>2.3860000000000001</v>
      </c>
      <c r="K113" s="213">
        <f t="shared" si="21"/>
        <v>1</v>
      </c>
      <c r="L113" s="213">
        <f t="shared" si="21"/>
        <v>1.3</v>
      </c>
      <c r="M113" s="242">
        <f t="shared" si="21"/>
        <v>0.58599999999999997</v>
      </c>
      <c r="O113" s="130"/>
      <c r="P113" s="130"/>
      <c r="Q113" s="130"/>
      <c r="R113" s="130"/>
      <c r="S113" s="130"/>
    </row>
    <row r="114" spans="2:19">
      <c r="C114" s="129">
        <f t="shared" si="20"/>
        <v>2.8570000000000002</v>
      </c>
      <c r="D114" s="130">
        <f t="shared" si="20"/>
        <v>6.8570000000000002</v>
      </c>
      <c r="E114" s="130">
        <f t="shared" si="20"/>
        <v>13.571</v>
      </c>
      <c r="F114" s="130">
        <f t="shared" si="20"/>
        <v>15.356999999999999</v>
      </c>
      <c r="G114" s="131">
        <f t="shared" si="20"/>
        <v>17</v>
      </c>
      <c r="H114" s="130"/>
      <c r="I114" s="241">
        <f t="shared" si="21"/>
        <v>0.82899999999999996</v>
      </c>
      <c r="J114" s="213">
        <f t="shared" si="21"/>
        <v>0.98599999999999999</v>
      </c>
      <c r="K114" s="213">
        <f t="shared" si="21"/>
        <v>0.7</v>
      </c>
      <c r="L114" s="213">
        <f t="shared" si="21"/>
        <v>0.4</v>
      </c>
      <c r="M114" s="242">
        <f t="shared" si="21"/>
        <v>1.486</v>
      </c>
      <c r="O114" s="130"/>
      <c r="P114" s="130"/>
      <c r="Q114" s="130"/>
      <c r="R114" s="130"/>
      <c r="S114" s="130"/>
    </row>
    <row r="115" spans="2:19">
      <c r="C115" s="129">
        <f t="shared" si="20"/>
        <v>7.8570000000000002</v>
      </c>
      <c r="D115" s="130">
        <f t="shared" si="20"/>
        <v>3.1429999999999998</v>
      </c>
      <c r="E115" s="130">
        <f t="shared" si="20"/>
        <v>4.4290000000000003</v>
      </c>
      <c r="F115" s="130">
        <f t="shared" si="20"/>
        <v>6.3570000000000002</v>
      </c>
      <c r="G115" s="131">
        <f t="shared" si="20"/>
        <v>5</v>
      </c>
      <c r="H115" s="130"/>
      <c r="I115" s="241">
        <f t="shared" si="21"/>
        <v>0.77100000000000002</v>
      </c>
      <c r="J115" s="213">
        <f t="shared" si="21"/>
        <v>1.1140000000000001</v>
      </c>
      <c r="K115" s="213">
        <f t="shared" si="21"/>
        <v>0.8</v>
      </c>
      <c r="L115" s="213">
        <f t="shared" si="21"/>
        <v>1.2</v>
      </c>
      <c r="M115" s="242">
        <f t="shared" si="21"/>
        <v>1.6140000000000001</v>
      </c>
      <c r="O115" s="130"/>
      <c r="P115" s="130"/>
      <c r="Q115" s="130"/>
      <c r="R115" s="130"/>
      <c r="S115" s="130"/>
    </row>
    <row r="116" spans="2:19">
      <c r="C116" s="129">
        <f t="shared" si="20"/>
        <v>3.8570000000000002</v>
      </c>
      <c r="D116" s="130">
        <f t="shared" si="20"/>
        <v>7.1429999999999998</v>
      </c>
      <c r="E116" s="130">
        <f t="shared" si="20"/>
        <v>14.571</v>
      </c>
      <c r="F116" s="130">
        <f t="shared" si="20"/>
        <v>10.643000000000001</v>
      </c>
      <c r="G116" s="131">
        <f t="shared" si="20"/>
        <v>19</v>
      </c>
      <c r="H116" s="130"/>
      <c r="I116" s="241">
        <f t="shared" si="21"/>
        <v>0.32900000000000001</v>
      </c>
      <c r="J116" s="213">
        <f t="shared" si="21"/>
        <v>1.014</v>
      </c>
      <c r="K116" s="213">
        <f t="shared" si="21"/>
        <v>2.7</v>
      </c>
      <c r="L116" s="213">
        <f t="shared" si="21"/>
        <v>0.5</v>
      </c>
      <c r="M116" s="242">
        <f t="shared" si="21"/>
        <v>1.4E-2</v>
      </c>
      <c r="O116" s="130"/>
      <c r="P116" s="130"/>
      <c r="Q116" s="130"/>
      <c r="R116" s="130"/>
      <c r="S116" s="130"/>
    </row>
    <row r="117" spans="2:19">
      <c r="C117" s="132">
        <f>ROUND(ABS(C43-C$63),3)</f>
        <v>0.14299999999999999</v>
      </c>
      <c r="D117" s="133">
        <f t="shared" ref="D117:G117" si="22">ROUND(ABS(D43-D$63),3)</f>
        <v>2.1429999999999998</v>
      </c>
      <c r="E117" s="133">
        <f t="shared" si="22"/>
        <v>5.5709999999999997</v>
      </c>
      <c r="F117" s="133">
        <f t="shared" si="22"/>
        <v>0.64300000000000002</v>
      </c>
      <c r="G117" s="134">
        <f t="shared" si="22"/>
        <v>3</v>
      </c>
      <c r="H117" s="130"/>
      <c r="I117" s="215">
        <f t="shared" si="21"/>
        <v>0.129</v>
      </c>
      <c r="J117" s="243">
        <f t="shared" si="21"/>
        <v>1.0860000000000001</v>
      </c>
      <c r="K117" s="243">
        <f t="shared" si="21"/>
        <v>0.3</v>
      </c>
      <c r="L117" s="243">
        <f t="shared" si="21"/>
        <v>0.3</v>
      </c>
      <c r="M117" s="245">
        <f t="shared" si="21"/>
        <v>2.4860000000000002</v>
      </c>
      <c r="O117" s="130"/>
      <c r="P117" s="130"/>
      <c r="Q117" s="130"/>
      <c r="R117" s="130"/>
      <c r="S117" s="130"/>
    </row>
    <row r="118" spans="2:19">
      <c r="O118" s="130"/>
      <c r="P118" s="130"/>
      <c r="Q118" s="130"/>
      <c r="R118" s="130"/>
      <c r="S118" s="130"/>
    </row>
    <row r="119" spans="2:19">
      <c r="O119" s="130"/>
      <c r="P119" s="130"/>
      <c r="Q119" s="130"/>
      <c r="R119" s="130"/>
      <c r="S119" s="130"/>
    </row>
    <row r="120" spans="2:19">
      <c r="B120" t="s">
        <v>234</v>
      </c>
      <c r="C120"/>
      <c r="D120"/>
      <c r="E120"/>
      <c r="F120"/>
      <c r="G120"/>
      <c r="H120"/>
      <c r="J120" t="s">
        <v>234</v>
      </c>
      <c r="K120"/>
      <c r="L120"/>
      <c r="M120"/>
      <c r="N120"/>
      <c r="O120"/>
      <c r="P120"/>
    </row>
    <row r="121" spans="2:19">
      <c r="B121"/>
      <c r="C121"/>
      <c r="D121"/>
      <c r="E121"/>
      <c r="F121"/>
      <c r="G121"/>
      <c r="H121"/>
      <c r="J121"/>
      <c r="K121"/>
      <c r="L121"/>
      <c r="M121"/>
      <c r="N121"/>
      <c r="O121"/>
      <c r="P121"/>
    </row>
    <row r="122" spans="2:19" ht="16.5" thickBot="1">
      <c r="B122" t="s">
        <v>235</v>
      </c>
      <c r="C122"/>
      <c r="D122"/>
      <c r="E122"/>
      <c r="F122"/>
      <c r="G122"/>
      <c r="H122"/>
      <c r="J122" t="s">
        <v>235</v>
      </c>
      <c r="K122"/>
      <c r="L122"/>
      <c r="M122"/>
      <c r="N122"/>
      <c r="O122"/>
      <c r="P122"/>
    </row>
    <row r="123" spans="2:19">
      <c r="B123" s="521" t="s">
        <v>236</v>
      </c>
      <c r="C123" s="521" t="s">
        <v>207</v>
      </c>
      <c r="D123" s="521" t="s">
        <v>237</v>
      </c>
      <c r="E123" s="521" t="s">
        <v>238</v>
      </c>
      <c r="F123" s="521" t="s">
        <v>239</v>
      </c>
      <c r="G123"/>
      <c r="H123"/>
      <c r="J123" s="521" t="s">
        <v>236</v>
      </c>
      <c r="K123" s="521" t="s">
        <v>207</v>
      </c>
      <c r="L123" s="521" t="s">
        <v>237</v>
      </c>
      <c r="M123" s="521" t="s">
        <v>238</v>
      </c>
      <c r="N123" s="521" t="s">
        <v>239</v>
      </c>
      <c r="O123"/>
      <c r="P123"/>
    </row>
    <row r="124" spans="2:19">
      <c r="B124" s="519" t="s">
        <v>12</v>
      </c>
      <c r="C124" s="519">
        <v>11</v>
      </c>
      <c r="D124" s="519">
        <v>67.635000000000005</v>
      </c>
      <c r="E124" s="519">
        <v>6.1486363636363643</v>
      </c>
      <c r="F124" s="519">
        <v>18.686425454545439</v>
      </c>
      <c r="G124"/>
      <c r="H124"/>
      <c r="J124" s="519" t="s">
        <v>155</v>
      </c>
      <c r="K124" s="519">
        <v>11</v>
      </c>
      <c r="L124" s="519">
        <v>21.873000000000001</v>
      </c>
      <c r="M124" s="519">
        <v>1.9884545454545455</v>
      </c>
      <c r="N124" s="519">
        <v>0.84283527272727166</v>
      </c>
      <c r="O124"/>
      <c r="P124"/>
    </row>
    <row r="125" spans="2:19">
      <c r="B125" s="519" t="s">
        <v>13</v>
      </c>
      <c r="C125" s="519">
        <v>11</v>
      </c>
      <c r="D125" s="519">
        <v>81.819000000000003</v>
      </c>
      <c r="E125" s="519">
        <v>7.4380909090909091</v>
      </c>
      <c r="F125" s="519">
        <v>21.360465890909087</v>
      </c>
      <c r="G125"/>
      <c r="H125"/>
      <c r="J125" s="519" t="s">
        <v>156</v>
      </c>
      <c r="K125" s="519">
        <v>11</v>
      </c>
      <c r="L125" s="519">
        <v>20.873000000000001</v>
      </c>
      <c r="M125" s="519">
        <v>1.8975454545454546</v>
      </c>
      <c r="N125" s="519">
        <v>2.3574352727272734</v>
      </c>
      <c r="O125"/>
      <c r="P125"/>
    </row>
    <row r="126" spans="2:19">
      <c r="B126" s="519" t="s">
        <v>14</v>
      </c>
      <c r="C126" s="519">
        <v>11</v>
      </c>
      <c r="D126" s="519">
        <v>76.727000000000004</v>
      </c>
      <c r="E126" s="519">
        <v>6.9751818181818184</v>
      </c>
      <c r="F126" s="519">
        <v>33.499704363636361</v>
      </c>
      <c r="G126"/>
      <c r="H126"/>
      <c r="J126" s="519" t="s">
        <v>157</v>
      </c>
      <c r="K126" s="519">
        <v>11</v>
      </c>
      <c r="L126" s="519">
        <v>13.51</v>
      </c>
      <c r="M126" s="519">
        <v>1.2281818181818183</v>
      </c>
      <c r="N126" s="519">
        <v>1.0543627636363642</v>
      </c>
      <c r="O126"/>
      <c r="P126"/>
    </row>
    <row r="127" spans="2:19">
      <c r="B127" s="519" t="s">
        <v>15</v>
      </c>
      <c r="C127" s="519">
        <v>11</v>
      </c>
      <c r="D127" s="519">
        <v>66.364999999999995</v>
      </c>
      <c r="E127" s="519">
        <v>6.0331818181818173</v>
      </c>
      <c r="F127" s="519">
        <v>16.833516363636392</v>
      </c>
      <c r="G127"/>
      <c r="H127"/>
      <c r="J127" s="519" t="s">
        <v>158</v>
      </c>
      <c r="K127" s="519">
        <v>11</v>
      </c>
      <c r="L127" s="519">
        <v>8.9079999999999995</v>
      </c>
      <c r="M127" s="519">
        <v>0.80981818181818177</v>
      </c>
      <c r="N127" s="519">
        <v>0.12315956363636368</v>
      </c>
      <c r="O127"/>
      <c r="P127"/>
    </row>
    <row r="128" spans="2:19" ht="16.5" thickBot="1">
      <c r="B128" s="520" t="s">
        <v>16</v>
      </c>
      <c r="C128" s="520">
        <v>11</v>
      </c>
      <c r="D128" s="520">
        <v>70.545000000000002</v>
      </c>
      <c r="E128" s="520">
        <v>6.4131818181818181</v>
      </c>
      <c r="F128" s="520">
        <v>35.030936363636343</v>
      </c>
      <c r="G128"/>
      <c r="H128"/>
      <c r="J128" s="520" t="s">
        <v>159</v>
      </c>
      <c r="K128" s="520">
        <v>11</v>
      </c>
      <c r="L128" s="520">
        <v>14.454999999999998</v>
      </c>
      <c r="M128" s="520">
        <v>1.314090909090909</v>
      </c>
      <c r="N128" s="520">
        <v>1.1092090909090913</v>
      </c>
      <c r="O128"/>
      <c r="P128"/>
    </row>
    <row r="129" spans="2:16">
      <c r="B129"/>
      <c r="C129"/>
      <c r="D129"/>
      <c r="E129"/>
      <c r="F129"/>
      <c r="G129"/>
      <c r="H129"/>
      <c r="J129"/>
      <c r="K129"/>
      <c r="L129"/>
      <c r="M129"/>
      <c r="N129"/>
      <c r="O129"/>
      <c r="P129"/>
    </row>
    <row r="130" spans="2:16">
      <c r="B130"/>
      <c r="C130"/>
      <c r="D130"/>
      <c r="E130"/>
      <c r="F130"/>
      <c r="G130"/>
      <c r="H130"/>
      <c r="J130"/>
      <c r="K130"/>
      <c r="L130"/>
      <c r="M130"/>
      <c r="N130"/>
      <c r="O130"/>
      <c r="P130"/>
    </row>
    <row r="131" spans="2:16" ht="16.5" thickBot="1">
      <c r="B131" t="s">
        <v>240</v>
      </c>
      <c r="C131"/>
      <c r="D131"/>
      <c r="E131"/>
      <c r="F131"/>
      <c r="G131"/>
      <c r="H131"/>
      <c r="J131" t="s">
        <v>240</v>
      </c>
      <c r="K131"/>
      <c r="L131"/>
      <c r="M131"/>
      <c r="N131"/>
      <c r="O131"/>
      <c r="P131"/>
    </row>
    <row r="132" spans="2:16">
      <c r="B132" s="523" t="s">
        <v>241</v>
      </c>
      <c r="C132" s="521" t="s">
        <v>181</v>
      </c>
      <c r="D132" s="521" t="s">
        <v>203</v>
      </c>
      <c r="E132" s="521" t="s">
        <v>242</v>
      </c>
      <c r="F132" s="521" t="s">
        <v>243</v>
      </c>
      <c r="G132" s="521" t="s">
        <v>244</v>
      </c>
      <c r="H132" s="521" t="s">
        <v>245</v>
      </c>
      <c r="J132" s="523" t="s">
        <v>241</v>
      </c>
      <c r="K132" s="521" t="s">
        <v>181</v>
      </c>
      <c r="L132" s="521" t="s">
        <v>203</v>
      </c>
      <c r="M132" s="521" t="s">
        <v>242</v>
      </c>
      <c r="N132" s="521" t="s">
        <v>243</v>
      </c>
      <c r="O132" s="521" t="s">
        <v>244</v>
      </c>
      <c r="P132" s="521" t="s">
        <v>245</v>
      </c>
    </row>
    <row r="133" spans="2:16">
      <c r="B133" s="519" t="s">
        <v>246</v>
      </c>
      <c r="C133" s="519">
        <v>15.433628072727288</v>
      </c>
      <c r="D133" s="519">
        <v>4</v>
      </c>
      <c r="E133" s="519">
        <v>3.858407018181822</v>
      </c>
      <c r="F133" s="519">
        <v>0.15383042667646876</v>
      </c>
      <c r="G133" s="524">
        <v>0.96039798720104053</v>
      </c>
      <c r="H133" s="519">
        <v>2.5571791499763585</v>
      </c>
      <c r="J133" s="519" t="s">
        <v>246</v>
      </c>
      <c r="K133" s="519">
        <v>10.644801345454532</v>
      </c>
      <c r="L133" s="519">
        <v>4</v>
      </c>
      <c r="M133" s="519">
        <v>2.661200336363633</v>
      </c>
      <c r="N133" s="519">
        <v>2.4250039948955968</v>
      </c>
      <c r="O133" s="522">
        <v>6.0146385531152487E-2</v>
      </c>
      <c r="P133" s="519">
        <v>2.5571791499763585</v>
      </c>
    </row>
    <row r="134" spans="2:16">
      <c r="B134" s="519" t="s">
        <v>247</v>
      </c>
      <c r="C134" s="519">
        <v>1254.1104843636363</v>
      </c>
      <c r="D134" s="519">
        <v>50</v>
      </c>
      <c r="E134" s="519">
        <v>25.082209687272726</v>
      </c>
      <c r="F134" s="519"/>
      <c r="G134" s="519"/>
      <c r="H134" s="519"/>
      <c r="J134" s="519" t="s">
        <v>247</v>
      </c>
      <c r="K134" s="519">
        <v>54.870019636363629</v>
      </c>
      <c r="L134" s="519">
        <v>50</v>
      </c>
      <c r="M134" s="519">
        <v>1.0974003927272726</v>
      </c>
      <c r="N134" s="519"/>
      <c r="O134" s="519"/>
      <c r="P134" s="519"/>
    </row>
    <row r="135" spans="2:16">
      <c r="B135" s="519"/>
      <c r="C135" s="519"/>
      <c r="D135" s="519"/>
      <c r="E135" s="519"/>
      <c r="F135" s="519"/>
      <c r="G135" s="519"/>
      <c r="H135" s="519"/>
      <c r="J135" s="519"/>
      <c r="K135" s="519"/>
      <c r="L135" s="519"/>
      <c r="M135" s="519"/>
      <c r="N135" s="519"/>
      <c r="O135" s="519"/>
      <c r="P135" s="519"/>
    </row>
    <row r="136" spans="2:16" ht="16.5" thickBot="1">
      <c r="B136" s="520" t="s">
        <v>248</v>
      </c>
      <c r="C136" s="520">
        <v>1269.5441124363635</v>
      </c>
      <c r="D136" s="520">
        <v>54</v>
      </c>
      <c r="E136" s="520"/>
      <c r="F136" s="520"/>
      <c r="G136" s="520"/>
      <c r="H136" s="520"/>
      <c r="J136" s="520" t="s">
        <v>248</v>
      </c>
      <c r="K136" s="520">
        <v>65.514820981818161</v>
      </c>
      <c r="L136" s="520">
        <v>54</v>
      </c>
      <c r="M136" s="520"/>
      <c r="N136" s="520"/>
      <c r="O136" s="520"/>
      <c r="P136" s="520"/>
    </row>
    <row r="137" spans="2:16">
      <c r="B137" s="135"/>
      <c r="H137" s="130"/>
    </row>
    <row r="138" spans="2:16">
      <c r="B138" t="s">
        <v>234</v>
      </c>
      <c r="C138"/>
      <c r="D138"/>
      <c r="E138"/>
      <c r="F138"/>
      <c r="G138"/>
      <c r="H138"/>
      <c r="J138" t="s">
        <v>234</v>
      </c>
      <c r="K138"/>
      <c r="L138"/>
      <c r="M138"/>
      <c r="N138"/>
      <c r="O138"/>
      <c r="P138"/>
    </row>
    <row r="139" spans="2:16">
      <c r="B139"/>
      <c r="C139"/>
      <c r="D139"/>
      <c r="E139"/>
      <c r="F139"/>
      <c r="G139"/>
      <c r="H139"/>
      <c r="J139"/>
      <c r="K139"/>
      <c r="L139"/>
      <c r="M139"/>
      <c r="N139"/>
      <c r="O139"/>
      <c r="P139"/>
    </row>
    <row r="140" spans="2:16" ht="16.5" thickBot="1">
      <c r="B140" t="s">
        <v>235</v>
      </c>
      <c r="C140"/>
      <c r="D140"/>
      <c r="E140"/>
      <c r="F140"/>
      <c r="G140"/>
      <c r="H140"/>
      <c r="J140" t="s">
        <v>235</v>
      </c>
      <c r="K140"/>
      <c r="L140"/>
      <c r="M140"/>
      <c r="N140"/>
      <c r="O140"/>
      <c r="P140"/>
    </row>
    <row r="141" spans="2:16">
      <c r="B141" s="521" t="s">
        <v>236</v>
      </c>
      <c r="C141" s="521" t="s">
        <v>207</v>
      </c>
      <c r="D141" s="521" t="s">
        <v>237</v>
      </c>
      <c r="E141" s="521" t="s">
        <v>238</v>
      </c>
      <c r="F141" s="521" t="s">
        <v>239</v>
      </c>
      <c r="G141"/>
      <c r="H141"/>
      <c r="J141" s="521" t="s">
        <v>236</v>
      </c>
      <c r="K141" s="521" t="s">
        <v>207</v>
      </c>
      <c r="L141" s="521" t="s">
        <v>237</v>
      </c>
      <c r="M141" s="521" t="s">
        <v>238</v>
      </c>
      <c r="N141" s="521" t="s">
        <v>239</v>
      </c>
      <c r="O141"/>
      <c r="P141"/>
    </row>
    <row r="142" spans="2:16">
      <c r="B142" s="519" t="s">
        <v>28</v>
      </c>
      <c r="C142" s="519">
        <v>12</v>
      </c>
      <c r="D142" s="519">
        <v>102.99999999999999</v>
      </c>
      <c r="E142" s="519">
        <v>8.5833333333333321</v>
      </c>
      <c r="F142" s="519">
        <v>37.89393951515153</v>
      </c>
      <c r="G142"/>
      <c r="H142"/>
      <c r="J142" s="519" t="s">
        <v>160</v>
      </c>
      <c r="K142" s="519">
        <v>12</v>
      </c>
      <c r="L142" s="519">
        <v>17.266000000000002</v>
      </c>
      <c r="M142" s="519">
        <v>1.4388333333333334</v>
      </c>
      <c r="N142" s="519">
        <v>0.57670651515151439</v>
      </c>
      <c r="O142"/>
      <c r="P142"/>
    </row>
    <row r="143" spans="2:16">
      <c r="B143" s="519" t="s">
        <v>29</v>
      </c>
      <c r="C143" s="519">
        <v>12</v>
      </c>
      <c r="D143" s="519">
        <v>106.834</v>
      </c>
      <c r="E143" s="519">
        <v>8.9028333333333336</v>
      </c>
      <c r="F143" s="519">
        <v>60.708306515151484</v>
      </c>
      <c r="G143"/>
      <c r="H143"/>
      <c r="J143" s="519" t="s">
        <v>161</v>
      </c>
      <c r="K143" s="519">
        <v>12</v>
      </c>
      <c r="L143" s="519">
        <v>21.134</v>
      </c>
      <c r="M143" s="519">
        <v>1.7611666666666668</v>
      </c>
      <c r="N143" s="519">
        <v>1.2078337878787879</v>
      </c>
      <c r="O143"/>
      <c r="P143"/>
    </row>
    <row r="144" spans="2:16">
      <c r="B144" s="519" t="s">
        <v>30</v>
      </c>
      <c r="C144" s="519">
        <v>12</v>
      </c>
      <c r="D144" s="519">
        <v>113</v>
      </c>
      <c r="E144" s="519">
        <v>9.4166666666666661</v>
      </c>
      <c r="F144" s="519">
        <v>27.833333333333339</v>
      </c>
      <c r="G144"/>
      <c r="H144"/>
      <c r="J144" s="519" t="s">
        <v>162</v>
      </c>
      <c r="K144" s="519">
        <v>12</v>
      </c>
      <c r="L144" s="519">
        <v>19.149999999999999</v>
      </c>
      <c r="M144" s="519">
        <v>1.5958333333333332</v>
      </c>
      <c r="N144" s="519">
        <v>1.9511174242424252</v>
      </c>
      <c r="O144"/>
      <c r="P144"/>
    </row>
    <row r="145" spans="2:16">
      <c r="B145" s="519" t="s">
        <v>31</v>
      </c>
      <c r="C145" s="519">
        <v>12</v>
      </c>
      <c r="D145" s="519">
        <v>94.668000000000006</v>
      </c>
      <c r="E145" s="519">
        <v>7.8890000000000002</v>
      </c>
      <c r="F145" s="519">
        <v>24.007346909090892</v>
      </c>
      <c r="G145"/>
      <c r="H145"/>
      <c r="J145" s="519" t="s">
        <v>163</v>
      </c>
      <c r="K145" s="519">
        <v>12</v>
      </c>
      <c r="L145" s="519">
        <v>10.500000000000002</v>
      </c>
      <c r="M145" s="519">
        <v>0.87500000000000011</v>
      </c>
      <c r="N145" s="519">
        <v>0.50015163636363591</v>
      </c>
      <c r="O145"/>
      <c r="P145"/>
    </row>
    <row r="146" spans="2:16" ht="16.5" thickBot="1">
      <c r="B146" s="520" t="s">
        <v>32</v>
      </c>
      <c r="C146" s="520">
        <v>12</v>
      </c>
      <c r="D146" s="520">
        <v>55.000000000000007</v>
      </c>
      <c r="E146" s="520">
        <v>4.5833333333333339</v>
      </c>
      <c r="F146" s="520">
        <v>17.348484969696965</v>
      </c>
      <c r="G146"/>
      <c r="H146"/>
      <c r="J146" s="520" t="s">
        <v>164</v>
      </c>
      <c r="K146" s="520">
        <v>12</v>
      </c>
      <c r="L146" s="520">
        <v>18.834</v>
      </c>
      <c r="M146" s="520">
        <v>1.5694999999999999</v>
      </c>
      <c r="N146" s="520">
        <v>1.6215186363636369</v>
      </c>
      <c r="O146"/>
      <c r="P146"/>
    </row>
    <row r="147" spans="2:16">
      <c r="B147"/>
      <c r="C147"/>
      <c r="D147"/>
      <c r="E147"/>
      <c r="F147"/>
      <c r="G147"/>
      <c r="H147"/>
      <c r="J147"/>
      <c r="K147"/>
      <c r="L147"/>
      <c r="M147"/>
      <c r="N147"/>
      <c r="O147"/>
      <c r="P147"/>
    </row>
    <row r="148" spans="2:16">
      <c r="B148"/>
      <c r="C148"/>
      <c r="D148"/>
      <c r="E148"/>
      <c r="F148"/>
      <c r="G148"/>
      <c r="H148"/>
      <c r="J148"/>
      <c r="K148"/>
      <c r="L148"/>
      <c r="M148"/>
      <c r="N148"/>
      <c r="O148"/>
      <c r="P148"/>
    </row>
    <row r="149" spans="2:16" ht="16.5" thickBot="1">
      <c r="B149" t="s">
        <v>240</v>
      </c>
      <c r="C149"/>
      <c r="D149"/>
      <c r="E149"/>
      <c r="F149"/>
      <c r="G149"/>
      <c r="H149"/>
      <c r="J149" t="s">
        <v>240</v>
      </c>
      <c r="K149"/>
      <c r="L149"/>
      <c r="M149"/>
      <c r="N149"/>
      <c r="O149"/>
      <c r="P149"/>
    </row>
    <row r="150" spans="2:16">
      <c r="B150" s="523" t="s">
        <v>241</v>
      </c>
      <c r="C150" s="521" t="s">
        <v>181</v>
      </c>
      <c r="D150" s="521" t="s">
        <v>203</v>
      </c>
      <c r="E150" s="521" t="s">
        <v>242</v>
      </c>
      <c r="F150" s="521" t="s">
        <v>243</v>
      </c>
      <c r="G150" s="521" t="s">
        <v>244</v>
      </c>
      <c r="H150" s="521" t="s">
        <v>245</v>
      </c>
      <c r="J150" s="523" t="s">
        <v>241</v>
      </c>
      <c r="K150" s="521" t="s">
        <v>181</v>
      </c>
      <c r="L150" s="521" t="s">
        <v>203</v>
      </c>
      <c r="M150" s="521" t="s">
        <v>242</v>
      </c>
      <c r="N150" s="521" t="s">
        <v>243</v>
      </c>
      <c r="O150" s="521" t="s">
        <v>244</v>
      </c>
      <c r="P150" s="521" t="s">
        <v>245</v>
      </c>
    </row>
    <row r="151" spans="2:16">
      <c r="B151" s="519" t="s">
        <v>246</v>
      </c>
      <c r="C151" s="519">
        <v>177.24214826666616</v>
      </c>
      <c r="D151" s="519">
        <v>4</v>
      </c>
      <c r="E151" s="519">
        <v>44.310537066666541</v>
      </c>
      <c r="F151" s="519">
        <v>1.3204053991371132</v>
      </c>
      <c r="G151" s="524">
        <v>0.27388659824740069</v>
      </c>
      <c r="H151" s="519">
        <v>2.5396886349036807</v>
      </c>
      <c r="J151" s="519" t="s">
        <v>246</v>
      </c>
      <c r="K151" s="519">
        <v>5.5572397333333612</v>
      </c>
      <c r="L151" s="519">
        <v>4</v>
      </c>
      <c r="M151" s="519">
        <v>1.3893099333333403</v>
      </c>
      <c r="N151" s="519">
        <v>1.1859587966845466</v>
      </c>
      <c r="O151" s="524">
        <v>0.32721227182424872</v>
      </c>
      <c r="P151" s="519">
        <v>2.5396886349036807</v>
      </c>
    </row>
    <row r="152" spans="2:16">
      <c r="B152" s="519" t="s">
        <v>247</v>
      </c>
      <c r="C152" s="519">
        <v>1845.7055236666667</v>
      </c>
      <c r="D152" s="519">
        <v>55</v>
      </c>
      <c r="E152" s="519">
        <v>33.558282248484851</v>
      </c>
      <c r="F152" s="519"/>
      <c r="G152" s="519"/>
      <c r="H152" s="519"/>
      <c r="J152" s="519" t="s">
        <v>247</v>
      </c>
      <c r="K152" s="519">
        <v>64.430607999999992</v>
      </c>
      <c r="L152" s="519">
        <v>55</v>
      </c>
      <c r="M152" s="519">
        <v>1.1714655999999999</v>
      </c>
      <c r="N152" s="519"/>
      <c r="O152" s="519"/>
      <c r="P152" s="519"/>
    </row>
    <row r="153" spans="2:16">
      <c r="B153" s="519"/>
      <c r="C153" s="519"/>
      <c r="D153" s="519"/>
      <c r="E153" s="519"/>
      <c r="F153" s="519"/>
      <c r="G153" s="519"/>
      <c r="H153" s="519"/>
      <c r="J153" s="519"/>
      <c r="K153" s="519"/>
      <c r="L153" s="519"/>
      <c r="M153" s="519"/>
      <c r="N153" s="519"/>
      <c r="O153" s="519"/>
      <c r="P153" s="519"/>
    </row>
    <row r="154" spans="2:16" ht="16.5" thickBot="1">
      <c r="B154" s="520" t="s">
        <v>248</v>
      </c>
      <c r="C154" s="520">
        <v>2022.9476719333329</v>
      </c>
      <c r="D154" s="520">
        <v>59</v>
      </c>
      <c r="E154" s="520"/>
      <c r="F154" s="520"/>
      <c r="G154" s="520"/>
      <c r="H154" s="520"/>
      <c r="J154" s="520" t="s">
        <v>248</v>
      </c>
      <c r="K154" s="520">
        <v>69.987847733333354</v>
      </c>
      <c r="L154" s="520">
        <v>59</v>
      </c>
      <c r="M154" s="520"/>
      <c r="N154" s="520"/>
      <c r="O154" s="520"/>
      <c r="P154" s="520"/>
    </row>
    <row r="156" spans="2:16">
      <c r="B156" t="s">
        <v>234</v>
      </c>
      <c r="C156"/>
      <c r="D156"/>
      <c r="E156"/>
      <c r="F156"/>
      <c r="G156"/>
      <c r="H156"/>
      <c r="J156" t="s">
        <v>234</v>
      </c>
      <c r="K156"/>
      <c r="L156"/>
      <c r="M156"/>
      <c r="N156"/>
      <c r="O156"/>
      <c r="P156"/>
    </row>
    <row r="157" spans="2:16">
      <c r="B157"/>
      <c r="C157"/>
      <c r="D157"/>
      <c r="E157"/>
      <c r="F157"/>
      <c r="G157"/>
      <c r="H157"/>
      <c r="J157"/>
      <c r="K157"/>
      <c r="L157"/>
      <c r="M157"/>
      <c r="N157"/>
      <c r="O157"/>
      <c r="P157"/>
    </row>
    <row r="158" spans="2:16" ht="16.5" thickBot="1">
      <c r="B158" t="s">
        <v>235</v>
      </c>
      <c r="C158"/>
      <c r="D158"/>
      <c r="E158"/>
      <c r="F158"/>
      <c r="G158"/>
      <c r="H158"/>
      <c r="J158" t="s">
        <v>235</v>
      </c>
      <c r="K158"/>
      <c r="L158"/>
      <c r="M158"/>
      <c r="N158"/>
      <c r="O158"/>
      <c r="P158"/>
    </row>
    <row r="159" spans="2:16">
      <c r="B159" s="521" t="s">
        <v>236</v>
      </c>
      <c r="C159" s="521" t="s">
        <v>207</v>
      </c>
      <c r="D159" s="521" t="s">
        <v>237</v>
      </c>
      <c r="E159" s="521" t="s">
        <v>238</v>
      </c>
      <c r="F159" s="521" t="s">
        <v>239</v>
      </c>
      <c r="G159"/>
      <c r="H159"/>
      <c r="J159" s="521" t="s">
        <v>236</v>
      </c>
      <c r="K159" s="521" t="s">
        <v>207</v>
      </c>
      <c r="L159" s="521" t="s">
        <v>237</v>
      </c>
      <c r="M159" s="521" t="s">
        <v>238</v>
      </c>
      <c r="N159" s="521" t="s">
        <v>239</v>
      </c>
      <c r="O159"/>
      <c r="P159"/>
    </row>
    <row r="160" spans="2:16">
      <c r="B160" s="519" t="s">
        <v>69</v>
      </c>
      <c r="C160" s="519">
        <v>14</v>
      </c>
      <c r="D160" s="519">
        <v>82</v>
      </c>
      <c r="E160" s="519">
        <v>5.8571428571428568</v>
      </c>
      <c r="F160" s="519">
        <v>13.494505516483517</v>
      </c>
      <c r="G160"/>
      <c r="H160"/>
      <c r="J160" s="519" t="s">
        <v>165</v>
      </c>
      <c r="K160" s="519">
        <v>14</v>
      </c>
      <c r="L160" s="519">
        <v>19.600000000000005</v>
      </c>
      <c r="M160" s="519">
        <v>1.4000000000000004</v>
      </c>
      <c r="N160" s="519">
        <v>1.3021979999999984</v>
      </c>
      <c r="O160"/>
      <c r="P160"/>
    </row>
    <row r="161" spans="2:16">
      <c r="B161" s="519" t="s">
        <v>70</v>
      </c>
      <c r="C161" s="519">
        <v>14</v>
      </c>
      <c r="D161" s="519">
        <v>82.286000000000001</v>
      </c>
      <c r="E161" s="519">
        <v>5.8775714285714287</v>
      </c>
      <c r="F161" s="519">
        <v>15.697880263736273</v>
      </c>
      <c r="G161"/>
      <c r="H161"/>
      <c r="J161" s="519" t="s">
        <v>166</v>
      </c>
      <c r="K161" s="519">
        <v>14</v>
      </c>
      <c r="L161" s="519">
        <v>20.599999999999998</v>
      </c>
      <c r="M161" s="519">
        <v>1.4714285714285713</v>
      </c>
      <c r="N161" s="519">
        <v>0.99890118681318707</v>
      </c>
      <c r="O161"/>
      <c r="P161"/>
    </row>
    <row r="162" spans="2:16">
      <c r="B162" s="519" t="s">
        <v>71</v>
      </c>
      <c r="C162" s="519">
        <v>14</v>
      </c>
      <c r="D162" s="519">
        <v>100.85799999999999</v>
      </c>
      <c r="E162" s="519">
        <v>7.2041428571428563</v>
      </c>
      <c r="F162" s="519">
        <v>22.371779516483528</v>
      </c>
      <c r="G162"/>
      <c r="H162"/>
      <c r="J162" s="519" t="s">
        <v>167</v>
      </c>
      <c r="K162" s="519">
        <v>14</v>
      </c>
      <c r="L162" s="519">
        <v>16</v>
      </c>
      <c r="M162" s="519">
        <v>1.1428571428571428</v>
      </c>
      <c r="N162" s="519">
        <v>1.4103296703296708</v>
      </c>
      <c r="O162"/>
      <c r="P162"/>
    </row>
    <row r="163" spans="2:16">
      <c r="B163" s="519" t="s">
        <v>72</v>
      </c>
      <c r="C163" s="519">
        <v>14</v>
      </c>
      <c r="D163" s="519">
        <v>135.714</v>
      </c>
      <c r="E163" s="519">
        <v>9.6938571428571425</v>
      </c>
      <c r="F163" s="519">
        <v>45.817089054945022</v>
      </c>
      <c r="G163"/>
      <c r="H163"/>
      <c r="J163" s="519" t="s">
        <v>168</v>
      </c>
      <c r="K163" s="519">
        <v>14</v>
      </c>
      <c r="L163" s="519">
        <v>11.4</v>
      </c>
      <c r="M163" s="519">
        <v>0.81428571428571428</v>
      </c>
      <c r="N163" s="519">
        <v>0.4643956043956044</v>
      </c>
      <c r="O163"/>
      <c r="P163"/>
    </row>
    <row r="164" spans="2:16" ht="16.5" thickBot="1">
      <c r="B164" s="520" t="s">
        <v>73</v>
      </c>
      <c r="C164" s="520">
        <v>14</v>
      </c>
      <c r="D164" s="520">
        <v>122</v>
      </c>
      <c r="E164" s="520">
        <v>8.7142857142857135</v>
      </c>
      <c r="F164" s="520">
        <v>41.604395604395606</v>
      </c>
      <c r="G164"/>
      <c r="H164"/>
      <c r="J164" s="520" t="s">
        <v>169</v>
      </c>
      <c r="K164" s="520">
        <v>14</v>
      </c>
      <c r="L164" s="520">
        <v>11.856</v>
      </c>
      <c r="M164" s="520">
        <v>0.84685714285714286</v>
      </c>
      <c r="N164" s="520">
        <v>0.45360043956043977</v>
      </c>
      <c r="O164"/>
      <c r="P164"/>
    </row>
    <row r="165" spans="2:16">
      <c r="B165"/>
      <c r="C165"/>
      <c r="D165"/>
      <c r="E165"/>
      <c r="F165"/>
      <c r="G165"/>
      <c r="H165"/>
      <c r="J165"/>
      <c r="K165"/>
      <c r="L165"/>
      <c r="M165"/>
      <c r="N165"/>
      <c r="O165"/>
      <c r="P165"/>
    </row>
    <row r="166" spans="2:16">
      <c r="B166"/>
      <c r="C166"/>
      <c r="D166"/>
      <c r="E166"/>
      <c r="F166"/>
      <c r="G166"/>
      <c r="H166"/>
      <c r="J166"/>
      <c r="K166"/>
      <c r="L166"/>
      <c r="M166"/>
      <c r="N166"/>
      <c r="O166"/>
      <c r="P166"/>
    </row>
    <row r="167" spans="2:16" ht="16.5" thickBot="1">
      <c r="B167" t="s">
        <v>240</v>
      </c>
      <c r="C167"/>
      <c r="D167"/>
      <c r="E167"/>
      <c r="F167"/>
      <c r="G167"/>
      <c r="H167"/>
      <c r="J167" t="s">
        <v>240</v>
      </c>
      <c r="K167"/>
      <c r="L167"/>
      <c r="M167"/>
      <c r="N167"/>
      <c r="O167"/>
      <c r="P167"/>
    </row>
    <row r="168" spans="2:16">
      <c r="B168" s="523" t="s">
        <v>241</v>
      </c>
      <c r="C168" s="521" t="s">
        <v>181</v>
      </c>
      <c r="D168" s="521" t="s">
        <v>203</v>
      </c>
      <c r="E168" s="521" t="s">
        <v>242</v>
      </c>
      <c r="F168" s="521" t="s">
        <v>243</v>
      </c>
      <c r="G168" s="521" t="s">
        <v>244</v>
      </c>
      <c r="H168" s="521" t="s">
        <v>245</v>
      </c>
      <c r="J168" s="523" t="s">
        <v>241</v>
      </c>
      <c r="K168" s="521" t="s">
        <v>181</v>
      </c>
      <c r="L168" s="521" t="s">
        <v>203</v>
      </c>
      <c r="M168" s="521" t="s">
        <v>242</v>
      </c>
      <c r="N168" s="521" t="s">
        <v>243</v>
      </c>
      <c r="O168" s="521" t="s">
        <v>244</v>
      </c>
      <c r="P168" s="521" t="s">
        <v>245</v>
      </c>
    </row>
    <row r="169" spans="2:16">
      <c r="B169" s="519" t="s">
        <v>246</v>
      </c>
      <c r="C169" s="519">
        <v>163.82243737142835</v>
      </c>
      <c r="D169" s="519">
        <v>4</v>
      </c>
      <c r="E169" s="519">
        <v>40.955609342857088</v>
      </c>
      <c r="F169" s="519">
        <v>1.473375465589787</v>
      </c>
      <c r="G169" s="524">
        <v>0.22048853677323399</v>
      </c>
      <c r="H169" s="519">
        <v>2.5130400960759935</v>
      </c>
      <c r="J169" s="519" t="s">
        <v>246</v>
      </c>
      <c r="K169" s="519">
        <v>5.170967771428586</v>
      </c>
      <c r="L169" s="519">
        <v>4</v>
      </c>
      <c r="M169" s="519">
        <v>1.2927419428571465</v>
      </c>
      <c r="N169" s="519">
        <v>1.3962230411711445</v>
      </c>
      <c r="O169" s="524">
        <v>0.2451334599433479</v>
      </c>
      <c r="P169" s="519">
        <v>2.5130400960759935</v>
      </c>
    </row>
    <row r="170" spans="2:16">
      <c r="B170" s="519" t="s">
        <v>247</v>
      </c>
      <c r="C170" s="519">
        <v>1806.8134494285714</v>
      </c>
      <c r="D170" s="519">
        <v>65</v>
      </c>
      <c r="E170" s="519">
        <v>27.797129991208791</v>
      </c>
      <c r="F170" s="519"/>
      <c r="G170" s="519"/>
      <c r="H170" s="519"/>
      <c r="J170" s="519" t="s">
        <v>247</v>
      </c>
      <c r="K170" s="519">
        <v>60.182523714285715</v>
      </c>
      <c r="L170" s="519">
        <v>65</v>
      </c>
      <c r="M170" s="519">
        <v>0.92588498021978027</v>
      </c>
      <c r="N170" s="519"/>
      <c r="O170" s="519"/>
      <c r="P170" s="519"/>
    </row>
    <row r="171" spans="2:16">
      <c r="B171" s="519"/>
      <c r="C171" s="519"/>
      <c r="D171" s="519"/>
      <c r="E171" s="519"/>
      <c r="F171" s="519"/>
      <c r="G171" s="519"/>
      <c r="H171" s="519"/>
      <c r="J171" s="519"/>
      <c r="K171" s="519"/>
      <c r="L171" s="519"/>
      <c r="M171" s="519"/>
      <c r="N171" s="519"/>
      <c r="O171" s="519"/>
      <c r="P171" s="519"/>
    </row>
    <row r="172" spans="2:16" ht="16.5" thickBot="1">
      <c r="B172" s="520" t="s">
        <v>248</v>
      </c>
      <c r="C172" s="520">
        <v>1970.6358867999998</v>
      </c>
      <c r="D172" s="520">
        <v>69</v>
      </c>
      <c r="E172" s="520"/>
      <c r="F172" s="520"/>
      <c r="G172" s="520"/>
      <c r="H172" s="520"/>
      <c r="J172" s="520" t="s">
        <v>248</v>
      </c>
      <c r="K172" s="520">
        <v>65.353491485714301</v>
      </c>
      <c r="L172" s="520">
        <v>69</v>
      </c>
      <c r="M172" s="520"/>
      <c r="N172" s="520"/>
      <c r="O172" s="520"/>
      <c r="P172" s="520"/>
    </row>
  </sheetData>
  <dataConsolidate/>
  <mergeCells count="15">
    <mergeCell ref="A63:A71"/>
    <mergeCell ref="P48:R55"/>
    <mergeCell ref="U48:U55"/>
    <mergeCell ref="X48:Z55"/>
    <mergeCell ref="A2:A12"/>
    <mergeCell ref="A15:A26"/>
    <mergeCell ref="A30:A43"/>
    <mergeCell ref="A45:A53"/>
    <mergeCell ref="A54:A62"/>
    <mergeCell ref="C73:G73"/>
    <mergeCell ref="C87:G87"/>
    <mergeCell ref="I73:M73"/>
    <mergeCell ref="I87:M87"/>
    <mergeCell ref="I102:M102"/>
    <mergeCell ref="C102:G10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34"/>
  <sheetViews>
    <sheetView topLeftCell="B14" workbookViewId="0">
      <selection activeCell="T146" sqref="T146"/>
    </sheetView>
  </sheetViews>
  <sheetFormatPr defaultColWidth="10.875" defaultRowHeight="15.75"/>
  <cols>
    <col min="1" max="1" width="10.875" style="187"/>
    <col min="2" max="2" width="19.625" style="187" bestFit="1" customWidth="1"/>
    <col min="3" max="5" width="11.875" style="187" bestFit="1" customWidth="1"/>
    <col min="6" max="7" width="10.875" style="187"/>
    <col min="8" max="8" width="10.875" style="198"/>
    <col min="9" max="9" width="22.625" style="359" customWidth="1"/>
    <col min="10" max="14" width="10.875" style="297"/>
    <col min="15" max="15" width="10.875" style="198"/>
    <col min="16" max="16" width="15.5" style="198" bestFit="1" customWidth="1"/>
    <col min="17" max="16384" width="10.875" style="187"/>
  </cols>
  <sheetData>
    <row r="1" spans="1:22" s="293" customFormat="1">
      <c r="C1" s="474" t="s">
        <v>198</v>
      </c>
      <c r="D1" s="475"/>
      <c r="E1" s="475"/>
      <c r="F1" s="475"/>
      <c r="G1" s="476"/>
      <c r="H1" s="298"/>
      <c r="I1" s="352"/>
      <c r="J1" s="477" t="s">
        <v>198</v>
      </c>
      <c r="K1" s="478"/>
      <c r="L1" s="478"/>
      <c r="M1" s="478"/>
      <c r="N1" s="479"/>
      <c r="O1" s="298"/>
      <c r="P1" s="298"/>
      <c r="Q1" s="474" t="s">
        <v>198</v>
      </c>
      <c r="R1" s="475"/>
      <c r="S1" s="475"/>
      <c r="T1" s="475"/>
      <c r="U1" s="476"/>
    </row>
    <row r="2" spans="1:22" s="303" customFormat="1">
      <c r="B2" s="304" t="s">
        <v>0</v>
      </c>
      <c r="C2" s="90" t="s">
        <v>12</v>
      </c>
      <c r="D2" s="90" t="s">
        <v>13</v>
      </c>
      <c r="E2" s="90" t="s">
        <v>14</v>
      </c>
      <c r="F2" s="90" t="s">
        <v>15</v>
      </c>
      <c r="G2" s="91" t="s">
        <v>16</v>
      </c>
      <c r="H2" s="305"/>
      <c r="I2" s="353"/>
      <c r="J2" s="387" t="s">
        <v>155</v>
      </c>
      <c r="K2" s="306" t="s">
        <v>156</v>
      </c>
      <c r="L2" s="306" t="s">
        <v>157</v>
      </c>
      <c r="M2" s="306" t="s">
        <v>158</v>
      </c>
      <c r="N2" s="388" t="s">
        <v>159</v>
      </c>
      <c r="O2" s="305"/>
      <c r="P2" s="305"/>
      <c r="Q2" s="89" t="s">
        <v>88</v>
      </c>
      <c r="R2" s="90" t="s">
        <v>89</v>
      </c>
      <c r="S2" s="90" t="s">
        <v>90</v>
      </c>
      <c r="T2" s="90" t="s">
        <v>91</v>
      </c>
      <c r="U2" s="91" t="s">
        <v>92</v>
      </c>
      <c r="V2" s="307"/>
    </row>
    <row r="3" spans="1:22" s="293" customFormat="1">
      <c r="A3" s="408" t="s">
        <v>103</v>
      </c>
      <c r="B3" s="308" t="s">
        <v>1</v>
      </c>
      <c r="C3" s="92">
        <v>55</v>
      </c>
      <c r="D3" s="93">
        <v>28</v>
      </c>
      <c r="E3" s="93">
        <v>34</v>
      </c>
      <c r="F3" s="93">
        <v>48</v>
      </c>
      <c r="G3" s="94">
        <v>59</v>
      </c>
      <c r="H3" s="37"/>
      <c r="I3" s="230"/>
      <c r="J3" s="315">
        <v>5.4</v>
      </c>
      <c r="K3" s="230">
        <v>1.3</v>
      </c>
      <c r="L3" s="230">
        <v>8.1999999999999993</v>
      </c>
      <c r="M3" s="230">
        <v>5.6</v>
      </c>
      <c r="N3" s="316">
        <v>6.5</v>
      </c>
      <c r="O3" s="37"/>
      <c r="P3" s="37"/>
      <c r="Q3" s="92">
        <v>334</v>
      </c>
      <c r="R3" s="93">
        <v>318</v>
      </c>
      <c r="S3" s="93">
        <v>171</v>
      </c>
      <c r="T3" s="93">
        <v>195</v>
      </c>
      <c r="U3" s="94">
        <v>399</v>
      </c>
      <c r="V3" s="95"/>
    </row>
    <row r="4" spans="1:22" s="293" customFormat="1">
      <c r="A4" s="409"/>
      <c r="B4" s="309" t="s">
        <v>2</v>
      </c>
      <c r="C4" s="38">
        <v>71</v>
      </c>
      <c r="D4" s="37">
        <v>12</v>
      </c>
      <c r="E4" s="37">
        <v>9</v>
      </c>
      <c r="F4" s="37">
        <v>24</v>
      </c>
      <c r="G4" s="39">
        <v>59</v>
      </c>
      <c r="H4" s="37"/>
      <c r="I4" s="230"/>
      <c r="J4" s="315">
        <v>4.9000000000000004</v>
      </c>
      <c r="K4" s="230">
        <v>9.6</v>
      </c>
      <c r="L4" s="230">
        <v>8.5</v>
      </c>
      <c r="M4" s="230">
        <v>5.8</v>
      </c>
      <c r="N4" s="316">
        <v>4.9000000000000004</v>
      </c>
      <c r="O4" s="37"/>
      <c r="P4" s="37"/>
      <c r="Q4" s="38">
        <v>307</v>
      </c>
      <c r="R4" s="37">
        <v>360</v>
      </c>
      <c r="S4" s="37">
        <v>369</v>
      </c>
      <c r="T4" s="37">
        <v>355</v>
      </c>
      <c r="U4" s="39">
        <v>272</v>
      </c>
      <c r="V4" s="95"/>
    </row>
    <row r="5" spans="1:22" s="293" customFormat="1">
      <c r="A5" s="409"/>
      <c r="B5" s="309" t="s">
        <v>3</v>
      </c>
      <c r="C5" s="38">
        <v>73</v>
      </c>
      <c r="D5" s="37">
        <v>34</v>
      </c>
      <c r="E5" s="37">
        <v>25</v>
      </c>
      <c r="F5" s="37">
        <v>40</v>
      </c>
      <c r="G5" s="39">
        <v>64</v>
      </c>
      <c r="H5" s="37"/>
      <c r="I5" s="230"/>
      <c r="J5" s="315">
        <v>7.1</v>
      </c>
      <c r="K5" s="230">
        <v>9.4</v>
      </c>
      <c r="L5" s="230">
        <v>5.8</v>
      </c>
      <c r="M5" s="230">
        <v>5.6</v>
      </c>
      <c r="N5" s="316">
        <v>4.3</v>
      </c>
      <c r="O5" s="37"/>
      <c r="P5" s="37"/>
      <c r="Q5" s="38">
        <v>473</v>
      </c>
      <c r="R5" s="37">
        <v>287</v>
      </c>
      <c r="S5" s="37">
        <v>116</v>
      </c>
      <c r="T5" s="37">
        <v>238</v>
      </c>
      <c r="U5" s="39">
        <v>432</v>
      </c>
      <c r="V5" s="95"/>
    </row>
    <row r="6" spans="1:22" s="293" customFormat="1">
      <c r="A6" s="409"/>
      <c r="B6" s="309" t="s">
        <v>4</v>
      </c>
      <c r="C6" s="38">
        <v>50</v>
      </c>
      <c r="D6" s="37">
        <v>35</v>
      </c>
      <c r="E6" s="37">
        <v>21</v>
      </c>
      <c r="F6" s="37">
        <v>43</v>
      </c>
      <c r="G6" s="39">
        <v>66</v>
      </c>
      <c r="H6" s="37"/>
      <c r="I6" s="230"/>
      <c r="J6" s="315">
        <v>1</v>
      </c>
      <c r="K6" s="230">
        <v>7.8</v>
      </c>
      <c r="L6" s="230">
        <v>8.1999999999999993</v>
      </c>
      <c r="M6" s="230">
        <v>5.2</v>
      </c>
      <c r="N6" s="316">
        <v>6.1</v>
      </c>
      <c r="O6" s="37"/>
      <c r="P6" s="37"/>
      <c r="Q6" s="38">
        <v>371</v>
      </c>
      <c r="R6" s="37">
        <v>317</v>
      </c>
      <c r="S6" s="37">
        <v>232</v>
      </c>
      <c r="T6" s="37">
        <v>189</v>
      </c>
      <c r="U6" s="39">
        <v>379</v>
      </c>
      <c r="V6" s="95"/>
    </row>
    <row r="7" spans="1:22" s="293" customFormat="1">
      <c r="A7" s="409"/>
      <c r="B7" s="309" t="s">
        <v>5</v>
      </c>
      <c r="C7" s="38">
        <v>54</v>
      </c>
      <c r="D7" s="37">
        <v>15</v>
      </c>
      <c r="E7" s="37">
        <v>30</v>
      </c>
      <c r="F7" s="37">
        <v>40</v>
      </c>
      <c r="G7" s="39">
        <v>45</v>
      </c>
      <c r="H7" s="37"/>
      <c r="I7" s="230"/>
      <c r="J7" s="315">
        <v>1.1000000000000001</v>
      </c>
      <c r="K7" s="230">
        <v>6.1</v>
      </c>
      <c r="L7" s="230">
        <v>8.1999999999999993</v>
      </c>
      <c r="M7" s="230">
        <v>5.7</v>
      </c>
      <c r="N7" s="316">
        <v>6.4</v>
      </c>
      <c r="O7" s="37"/>
      <c r="P7" s="37"/>
      <c r="Q7" s="38">
        <v>402</v>
      </c>
      <c r="R7" s="37">
        <v>256</v>
      </c>
      <c r="S7" s="37">
        <v>353</v>
      </c>
      <c r="T7" s="37">
        <v>243</v>
      </c>
      <c r="U7" s="39">
        <v>491</v>
      </c>
      <c r="V7" s="95"/>
    </row>
    <row r="8" spans="1:22" s="293" customFormat="1">
      <c r="A8" s="409"/>
      <c r="B8" s="309" t="s">
        <v>6</v>
      </c>
      <c r="C8" s="38">
        <v>55</v>
      </c>
      <c r="D8" s="37">
        <v>21</v>
      </c>
      <c r="E8" s="37">
        <v>25</v>
      </c>
      <c r="F8" s="37">
        <v>28</v>
      </c>
      <c r="G8" s="39">
        <v>58</v>
      </c>
      <c r="H8" s="37"/>
      <c r="I8" s="230"/>
      <c r="J8" s="315">
        <v>2.2000000000000002</v>
      </c>
      <c r="K8" s="230">
        <v>6.5</v>
      </c>
      <c r="L8" s="230">
        <v>7.8</v>
      </c>
      <c r="M8" s="230">
        <v>7.4</v>
      </c>
      <c r="N8" s="316">
        <v>7.4</v>
      </c>
      <c r="O8" s="37"/>
      <c r="P8" s="37"/>
      <c r="Q8" s="38">
        <v>413</v>
      </c>
      <c r="R8" s="37">
        <v>241</v>
      </c>
      <c r="S8" s="37">
        <v>242</v>
      </c>
      <c r="T8" s="37">
        <v>312</v>
      </c>
      <c r="U8" s="39">
        <v>298</v>
      </c>
      <c r="V8" s="95"/>
    </row>
    <row r="9" spans="1:22" s="293" customFormat="1">
      <c r="A9" s="409"/>
      <c r="B9" s="309" t="s">
        <v>7</v>
      </c>
      <c r="C9" s="38">
        <v>55</v>
      </c>
      <c r="D9" s="37">
        <v>28</v>
      </c>
      <c r="E9" s="37">
        <v>40</v>
      </c>
      <c r="F9" s="37">
        <v>33</v>
      </c>
      <c r="G9" s="39">
        <v>67</v>
      </c>
      <c r="H9" s="37"/>
      <c r="I9" s="230"/>
      <c r="J9" s="315">
        <v>1.9</v>
      </c>
      <c r="K9" s="230">
        <v>4.2</v>
      </c>
      <c r="L9" s="230">
        <v>6.5</v>
      </c>
      <c r="M9" s="230">
        <v>7</v>
      </c>
      <c r="N9" s="316">
        <v>8</v>
      </c>
      <c r="O9" s="37"/>
      <c r="P9" s="37"/>
      <c r="Q9" s="38">
        <v>224</v>
      </c>
      <c r="R9" s="37">
        <v>222</v>
      </c>
      <c r="S9" s="37">
        <v>370</v>
      </c>
      <c r="T9" s="37">
        <v>205</v>
      </c>
      <c r="U9" s="39">
        <v>358</v>
      </c>
      <c r="V9" s="95"/>
    </row>
    <row r="10" spans="1:22" s="293" customFormat="1">
      <c r="A10" s="409"/>
      <c r="B10" s="309" t="s">
        <v>8</v>
      </c>
      <c r="C10" s="38">
        <v>57</v>
      </c>
      <c r="D10" s="37">
        <v>34</v>
      </c>
      <c r="E10" s="37">
        <v>27</v>
      </c>
      <c r="F10" s="37">
        <v>37</v>
      </c>
      <c r="G10" s="39">
        <v>62</v>
      </c>
      <c r="H10" s="37"/>
      <c r="I10" s="230"/>
      <c r="J10" s="315">
        <v>5.3</v>
      </c>
      <c r="K10" s="230">
        <v>6.8</v>
      </c>
      <c r="L10" s="230">
        <v>8.1999999999999993</v>
      </c>
      <c r="M10" s="230">
        <v>6</v>
      </c>
      <c r="N10" s="316">
        <v>4.5999999999999996</v>
      </c>
      <c r="O10" s="37"/>
      <c r="P10" s="37"/>
      <c r="Q10" s="38">
        <v>392</v>
      </c>
      <c r="R10" s="37">
        <v>192</v>
      </c>
      <c r="S10" s="37">
        <v>275</v>
      </c>
      <c r="T10" s="37">
        <v>392</v>
      </c>
      <c r="U10" s="39">
        <v>356</v>
      </c>
      <c r="V10" s="95"/>
    </row>
    <row r="11" spans="1:22" s="293" customFormat="1">
      <c r="A11" s="409"/>
      <c r="B11" s="309" t="s">
        <v>9</v>
      </c>
      <c r="C11" s="38">
        <v>50</v>
      </c>
      <c r="D11" s="37">
        <v>40</v>
      </c>
      <c r="E11" s="37">
        <v>19</v>
      </c>
      <c r="F11" s="37">
        <v>28</v>
      </c>
      <c r="G11" s="39">
        <v>70</v>
      </c>
      <c r="H11" s="37"/>
      <c r="I11" s="230"/>
      <c r="J11" s="315">
        <v>0</v>
      </c>
      <c r="K11" s="230">
        <v>9</v>
      </c>
      <c r="L11" s="230">
        <v>9</v>
      </c>
      <c r="M11" s="230">
        <v>5.3</v>
      </c>
      <c r="N11" s="316">
        <v>4.5999999999999996</v>
      </c>
      <c r="O11" s="37"/>
      <c r="P11" s="37"/>
      <c r="Q11" s="38">
        <v>524</v>
      </c>
      <c r="R11" s="37">
        <v>452</v>
      </c>
      <c r="S11" s="37">
        <v>257</v>
      </c>
      <c r="T11" s="37">
        <v>385</v>
      </c>
      <c r="U11" s="39">
        <v>325</v>
      </c>
      <c r="V11" s="95"/>
    </row>
    <row r="12" spans="1:22" s="293" customFormat="1">
      <c r="A12" s="409"/>
      <c r="B12" s="309" t="s">
        <v>10</v>
      </c>
      <c r="C12" s="38">
        <v>60</v>
      </c>
      <c r="D12" s="37">
        <v>18</v>
      </c>
      <c r="E12" s="37">
        <v>23</v>
      </c>
      <c r="F12" s="37">
        <v>44</v>
      </c>
      <c r="G12" s="39">
        <v>41</v>
      </c>
      <c r="H12" s="37"/>
      <c r="I12" s="230"/>
      <c r="J12" s="315">
        <v>4.5999999999999996</v>
      </c>
      <c r="K12" s="230">
        <v>7.6</v>
      </c>
      <c r="L12" s="230">
        <v>3.8</v>
      </c>
      <c r="M12" s="230">
        <v>7.6</v>
      </c>
      <c r="N12" s="316">
        <v>10</v>
      </c>
      <c r="O12" s="37"/>
      <c r="P12" s="37"/>
      <c r="Q12" s="38">
        <v>396</v>
      </c>
      <c r="R12" s="37">
        <v>218</v>
      </c>
      <c r="S12" s="37">
        <v>253</v>
      </c>
      <c r="T12" s="37">
        <v>291</v>
      </c>
      <c r="U12" s="39">
        <v>324</v>
      </c>
      <c r="V12" s="95"/>
    </row>
    <row r="13" spans="1:22" s="293" customFormat="1">
      <c r="A13" s="410"/>
      <c r="B13" s="310" t="s">
        <v>11</v>
      </c>
      <c r="C13" s="74">
        <v>64</v>
      </c>
      <c r="D13" s="72">
        <v>29</v>
      </c>
      <c r="E13" s="72">
        <v>41</v>
      </c>
      <c r="F13" s="72">
        <v>37</v>
      </c>
      <c r="G13" s="73">
        <v>63</v>
      </c>
      <c r="H13" s="37"/>
      <c r="I13" s="230"/>
      <c r="J13" s="317">
        <v>2.5</v>
      </c>
      <c r="K13" s="311">
        <v>4.5999999999999996</v>
      </c>
      <c r="L13" s="311">
        <v>9.6</v>
      </c>
      <c r="M13" s="311">
        <v>7.4</v>
      </c>
      <c r="N13" s="318">
        <v>7</v>
      </c>
      <c r="O13" s="37"/>
      <c r="P13" s="37"/>
      <c r="Q13" s="74">
        <v>319</v>
      </c>
      <c r="R13" s="72">
        <v>165</v>
      </c>
      <c r="S13" s="72">
        <v>431</v>
      </c>
      <c r="T13" s="72">
        <v>336</v>
      </c>
      <c r="U13" s="73">
        <v>297</v>
      </c>
      <c r="V13" s="95"/>
    </row>
    <row r="14" spans="1:22" s="293" customFormat="1">
      <c r="A14" s="37"/>
      <c r="B14" s="389" t="s">
        <v>174</v>
      </c>
      <c r="C14" s="72">
        <f>MEDIAN(C3:C13)</f>
        <v>55</v>
      </c>
      <c r="D14" s="72">
        <f t="shared" ref="D14:G14" si="0">MEDIAN(D3:D13)</f>
        <v>28</v>
      </c>
      <c r="E14" s="72">
        <f t="shared" si="0"/>
        <v>25</v>
      </c>
      <c r="F14" s="72">
        <f t="shared" si="0"/>
        <v>37</v>
      </c>
      <c r="G14" s="73">
        <f t="shared" si="0"/>
        <v>62</v>
      </c>
      <c r="H14" s="37"/>
      <c r="I14" s="366" t="s">
        <v>174</v>
      </c>
      <c r="J14" s="384">
        <f t="shared" ref="J14:N14" si="1">MEDIAN(J3:J13)</f>
        <v>2.5</v>
      </c>
      <c r="K14" s="385">
        <f t="shared" si="1"/>
        <v>6.8</v>
      </c>
      <c r="L14" s="385">
        <f t="shared" si="1"/>
        <v>8.1999999999999993</v>
      </c>
      <c r="M14" s="385">
        <f t="shared" si="1"/>
        <v>5.8</v>
      </c>
      <c r="N14" s="386">
        <f t="shared" si="1"/>
        <v>6.4</v>
      </c>
      <c r="O14" s="37"/>
      <c r="P14" s="292" t="s">
        <v>174</v>
      </c>
      <c r="Q14" s="175">
        <f t="shared" ref="Q14:U14" si="2">MEDIAN(Q3:Q13)</f>
        <v>392</v>
      </c>
      <c r="R14" s="176">
        <f t="shared" si="2"/>
        <v>256</v>
      </c>
      <c r="S14" s="176">
        <f t="shared" si="2"/>
        <v>257</v>
      </c>
      <c r="T14" s="176">
        <f t="shared" si="2"/>
        <v>291</v>
      </c>
      <c r="U14" s="383">
        <f t="shared" si="2"/>
        <v>356</v>
      </c>
      <c r="V14" s="95"/>
    </row>
    <row r="15" spans="1:22" s="290" customFormat="1">
      <c r="A15" s="141"/>
      <c r="B15" s="185"/>
      <c r="C15" s="141"/>
      <c r="D15" s="141"/>
      <c r="E15" s="141"/>
      <c r="F15" s="141"/>
      <c r="G15" s="141"/>
      <c r="H15" s="141"/>
      <c r="I15" s="49"/>
      <c r="J15" s="13"/>
      <c r="K15" s="13"/>
      <c r="L15" s="13"/>
      <c r="M15" s="13"/>
      <c r="N15" s="13"/>
      <c r="O15" s="14"/>
      <c r="P15" s="141"/>
      <c r="Q15" s="141"/>
      <c r="R15" s="141"/>
      <c r="S15" s="141"/>
      <c r="T15" s="141"/>
      <c r="U15" s="141"/>
      <c r="V15" s="47"/>
    </row>
    <row r="16" spans="1:22" s="290" customFormat="1">
      <c r="A16" s="141"/>
      <c r="B16" s="291"/>
      <c r="C16" s="141"/>
      <c r="D16" s="141"/>
      <c r="E16" s="141"/>
      <c r="F16" s="141"/>
      <c r="G16" s="141"/>
      <c r="H16" s="141"/>
      <c r="I16" s="49"/>
      <c r="J16" s="13"/>
      <c r="K16" s="13"/>
      <c r="L16" s="13"/>
      <c r="M16" s="13"/>
      <c r="N16" s="13"/>
      <c r="O16" s="14"/>
      <c r="P16" s="141"/>
      <c r="Q16" s="141"/>
      <c r="R16" s="141"/>
      <c r="S16" s="141"/>
      <c r="T16" s="141"/>
      <c r="U16" s="141"/>
      <c r="V16" s="47"/>
    </row>
    <row r="17" spans="1:22" s="293" customFormat="1">
      <c r="B17" s="303"/>
      <c r="C17" s="474" t="s">
        <v>198</v>
      </c>
      <c r="D17" s="475"/>
      <c r="E17" s="475"/>
      <c r="F17" s="475"/>
      <c r="G17" s="476"/>
      <c r="H17" s="37"/>
      <c r="I17" s="230"/>
      <c r="J17" s="477" t="s">
        <v>198</v>
      </c>
      <c r="K17" s="478"/>
      <c r="L17" s="478"/>
      <c r="M17" s="478"/>
      <c r="N17" s="479"/>
      <c r="O17" s="37"/>
      <c r="P17" s="37"/>
      <c r="Q17" s="474" t="s">
        <v>198</v>
      </c>
      <c r="R17" s="475"/>
      <c r="S17" s="475"/>
      <c r="T17" s="475"/>
      <c r="U17" s="476"/>
      <c r="V17" s="95"/>
    </row>
    <row r="18" spans="1:22" s="303" customFormat="1">
      <c r="B18" s="304" t="s">
        <v>0</v>
      </c>
      <c r="C18" s="90" t="s">
        <v>28</v>
      </c>
      <c r="D18" s="90" t="s">
        <v>29</v>
      </c>
      <c r="E18" s="90" t="s">
        <v>30</v>
      </c>
      <c r="F18" s="90" t="s">
        <v>31</v>
      </c>
      <c r="G18" s="91" t="s">
        <v>32</v>
      </c>
      <c r="H18" s="305"/>
      <c r="I18" s="353"/>
      <c r="J18" s="312" t="s">
        <v>160</v>
      </c>
      <c r="K18" s="313" t="s">
        <v>161</v>
      </c>
      <c r="L18" s="313" t="s">
        <v>162</v>
      </c>
      <c r="M18" s="313" t="s">
        <v>163</v>
      </c>
      <c r="N18" s="314" t="s">
        <v>164</v>
      </c>
      <c r="O18" s="305"/>
      <c r="P18" s="305"/>
      <c r="Q18" s="89" t="s">
        <v>93</v>
      </c>
      <c r="R18" s="90" t="s">
        <v>94</v>
      </c>
      <c r="S18" s="90" t="s">
        <v>95</v>
      </c>
      <c r="T18" s="90" t="s">
        <v>96</v>
      </c>
      <c r="U18" s="91" t="s">
        <v>97</v>
      </c>
      <c r="V18" s="307"/>
    </row>
    <row r="19" spans="1:22" s="293" customFormat="1">
      <c r="A19" s="408" t="s">
        <v>104</v>
      </c>
      <c r="B19" s="308" t="s">
        <v>43</v>
      </c>
      <c r="C19" s="92">
        <v>9</v>
      </c>
      <c r="D19" s="93">
        <v>21</v>
      </c>
      <c r="E19" s="93">
        <v>38</v>
      </c>
      <c r="F19" s="93">
        <v>28</v>
      </c>
      <c r="G19" s="94">
        <v>57</v>
      </c>
      <c r="H19" s="37"/>
      <c r="I19" s="230"/>
      <c r="J19" s="315">
        <v>3.3</v>
      </c>
      <c r="K19" s="230">
        <v>4.9000000000000004</v>
      </c>
      <c r="L19" s="230">
        <v>6.2</v>
      </c>
      <c r="M19" s="230">
        <v>7.8</v>
      </c>
      <c r="N19" s="316">
        <v>6.2</v>
      </c>
      <c r="O19" s="37"/>
      <c r="P19" s="37"/>
      <c r="Q19" s="92">
        <v>268</v>
      </c>
      <c r="R19" s="93">
        <v>255</v>
      </c>
      <c r="S19" s="93">
        <v>190</v>
      </c>
      <c r="T19" s="93">
        <v>347</v>
      </c>
      <c r="U19" s="94">
        <v>323</v>
      </c>
      <c r="V19" s="95"/>
    </row>
    <row r="20" spans="1:22" s="293" customFormat="1">
      <c r="A20" s="409"/>
      <c r="B20" s="309" t="s">
        <v>44</v>
      </c>
      <c r="C20" s="38">
        <v>20</v>
      </c>
      <c r="D20" s="37">
        <v>25</v>
      </c>
      <c r="E20" s="37">
        <v>9</v>
      </c>
      <c r="F20" s="37">
        <v>20</v>
      </c>
      <c r="G20" s="39">
        <v>50</v>
      </c>
      <c r="H20" s="37"/>
      <c r="I20" s="230"/>
      <c r="J20" s="315">
        <v>4.8</v>
      </c>
      <c r="K20" s="230">
        <v>3.8</v>
      </c>
      <c r="L20" s="230">
        <v>5.9</v>
      </c>
      <c r="M20" s="230">
        <v>6.6</v>
      </c>
      <c r="N20" s="316">
        <v>7.5</v>
      </c>
      <c r="O20" s="37"/>
      <c r="P20" s="37"/>
      <c r="Q20" s="38">
        <v>179</v>
      </c>
      <c r="R20" s="37">
        <v>345</v>
      </c>
      <c r="S20" s="37">
        <v>447</v>
      </c>
      <c r="T20" s="37">
        <v>206</v>
      </c>
      <c r="U20" s="39">
        <v>320</v>
      </c>
      <c r="V20" s="95"/>
    </row>
    <row r="21" spans="1:22" s="293" customFormat="1">
      <c r="A21" s="409"/>
      <c r="B21" s="309" t="s">
        <v>45</v>
      </c>
      <c r="C21" s="38">
        <v>8</v>
      </c>
      <c r="D21" s="37">
        <v>6</v>
      </c>
      <c r="E21" s="37">
        <v>34</v>
      </c>
      <c r="F21" s="37">
        <v>24</v>
      </c>
      <c r="G21" s="39">
        <v>58</v>
      </c>
      <c r="H21" s="37"/>
      <c r="I21" s="230"/>
      <c r="J21" s="315">
        <v>8.1999999999999993</v>
      </c>
      <c r="K21" s="230">
        <v>9.4</v>
      </c>
      <c r="L21" s="230">
        <v>11.3</v>
      </c>
      <c r="M21" s="230">
        <v>10.7</v>
      </c>
      <c r="N21" s="316">
        <v>9.8000000000000007</v>
      </c>
      <c r="O21" s="37"/>
      <c r="P21" s="37"/>
      <c r="Q21" s="38">
        <v>306</v>
      </c>
      <c r="R21" s="37">
        <v>379</v>
      </c>
      <c r="S21" s="37">
        <v>323</v>
      </c>
      <c r="T21" s="37">
        <v>281</v>
      </c>
      <c r="U21" s="39">
        <v>419</v>
      </c>
      <c r="V21" s="95"/>
    </row>
    <row r="22" spans="1:22" s="293" customFormat="1">
      <c r="A22" s="409"/>
      <c r="B22" s="309" t="s">
        <v>46</v>
      </c>
      <c r="C22" s="38">
        <v>44</v>
      </c>
      <c r="D22" s="37">
        <v>24</v>
      </c>
      <c r="E22" s="37">
        <v>21</v>
      </c>
      <c r="F22" s="37">
        <v>29</v>
      </c>
      <c r="G22" s="39">
        <v>49</v>
      </c>
      <c r="H22" s="37"/>
      <c r="I22" s="230"/>
      <c r="J22" s="315">
        <v>8.1999999999999993</v>
      </c>
      <c r="K22" s="230">
        <v>4.4000000000000004</v>
      </c>
      <c r="L22" s="230">
        <v>6.5</v>
      </c>
      <c r="M22" s="230">
        <v>9.6</v>
      </c>
      <c r="N22" s="316">
        <v>7.3</v>
      </c>
      <c r="O22" s="37"/>
      <c r="P22" s="37"/>
      <c r="Q22" s="38">
        <v>327</v>
      </c>
      <c r="R22" s="37">
        <v>426</v>
      </c>
      <c r="S22" s="37">
        <v>203</v>
      </c>
      <c r="T22" s="37">
        <v>283</v>
      </c>
      <c r="U22" s="39">
        <v>480</v>
      </c>
      <c r="V22" s="95"/>
    </row>
    <row r="23" spans="1:22" s="293" customFormat="1">
      <c r="A23" s="409"/>
      <c r="B23" s="309" t="s">
        <v>47</v>
      </c>
      <c r="C23" s="38">
        <v>9</v>
      </c>
      <c r="D23" s="37">
        <v>42</v>
      </c>
      <c r="E23" s="37">
        <v>29</v>
      </c>
      <c r="F23" s="37">
        <v>27</v>
      </c>
      <c r="G23" s="39">
        <v>38</v>
      </c>
      <c r="H23" s="37"/>
      <c r="I23" s="230"/>
      <c r="J23" s="315">
        <v>7.7</v>
      </c>
      <c r="K23" s="230">
        <v>10.3</v>
      </c>
      <c r="L23" s="230">
        <v>9.1999999999999993</v>
      </c>
      <c r="M23" s="230">
        <v>9.1</v>
      </c>
      <c r="N23" s="316">
        <v>4.9000000000000004</v>
      </c>
      <c r="O23" s="37"/>
      <c r="P23" s="37"/>
      <c r="Q23" s="38">
        <v>260</v>
      </c>
      <c r="R23" s="37">
        <v>120</v>
      </c>
      <c r="S23" s="37">
        <v>293</v>
      </c>
      <c r="T23" s="37">
        <v>436</v>
      </c>
      <c r="U23" s="39">
        <v>232</v>
      </c>
      <c r="V23" s="95"/>
    </row>
    <row r="24" spans="1:22" s="293" customFormat="1">
      <c r="A24" s="409"/>
      <c r="B24" s="309" t="s">
        <v>48</v>
      </c>
      <c r="C24" s="38">
        <v>29</v>
      </c>
      <c r="D24" s="37">
        <v>35</v>
      </c>
      <c r="E24" s="37">
        <v>26</v>
      </c>
      <c r="F24" s="37">
        <v>28</v>
      </c>
      <c r="G24" s="39">
        <v>59</v>
      </c>
      <c r="H24" s="37"/>
      <c r="I24" s="230"/>
      <c r="J24" s="315">
        <v>5.2</v>
      </c>
      <c r="K24" s="230">
        <v>6</v>
      </c>
      <c r="L24" s="230">
        <v>6.6</v>
      </c>
      <c r="M24" s="230">
        <v>7.7</v>
      </c>
      <c r="N24" s="316">
        <v>5.9</v>
      </c>
      <c r="O24" s="37"/>
      <c r="P24" s="37"/>
      <c r="Q24" s="38">
        <v>356</v>
      </c>
      <c r="R24" s="37">
        <v>275</v>
      </c>
      <c r="S24" s="37">
        <v>279</v>
      </c>
      <c r="T24" s="37">
        <v>167</v>
      </c>
      <c r="U24" s="39">
        <v>209</v>
      </c>
      <c r="V24" s="95"/>
    </row>
    <row r="25" spans="1:22" s="293" customFormat="1">
      <c r="A25" s="409"/>
      <c r="B25" s="309" t="s">
        <v>49</v>
      </c>
      <c r="C25" s="38">
        <v>24</v>
      </c>
      <c r="D25" s="37">
        <v>46</v>
      </c>
      <c r="E25" s="37">
        <v>40</v>
      </c>
      <c r="F25" s="37">
        <v>51</v>
      </c>
      <c r="G25" s="39">
        <v>49</v>
      </c>
      <c r="H25" s="37"/>
      <c r="I25" s="230"/>
      <c r="J25" s="315">
        <v>6</v>
      </c>
      <c r="K25" s="230">
        <v>7.8</v>
      </c>
      <c r="L25" s="230">
        <v>4.9000000000000004</v>
      </c>
      <c r="M25" s="230">
        <v>8.3000000000000007</v>
      </c>
      <c r="N25" s="316">
        <v>7.1</v>
      </c>
      <c r="O25" s="37"/>
      <c r="P25" s="37"/>
      <c r="Q25" s="38">
        <v>263</v>
      </c>
      <c r="R25" s="37">
        <v>281</v>
      </c>
      <c r="S25" s="37">
        <v>243</v>
      </c>
      <c r="T25" s="37">
        <v>172</v>
      </c>
      <c r="U25" s="39">
        <v>313</v>
      </c>
      <c r="V25" s="95"/>
    </row>
    <row r="26" spans="1:22" s="293" customFormat="1">
      <c r="A26" s="409"/>
      <c r="B26" s="309" t="s">
        <v>50</v>
      </c>
      <c r="C26" s="38">
        <v>30</v>
      </c>
      <c r="D26" s="37">
        <v>6</v>
      </c>
      <c r="E26" s="37">
        <v>11</v>
      </c>
      <c r="F26" s="37">
        <v>40</v>
      </c>
      <c r="G26" s="39">
        <v>43</v>
      </c>
      <c r="H26" s="37"/>
      <c r="I26" s="230"/>
      <c r="J26" s="315">
        <v>6.9</v>
      </c>
      <c r="K26" s="230">
        <v>6.8</v>
      </c>
      <c r="L26" s="230">
        <v>3.3</v>
      </c>
      <c r="M26" s="230">
        <v>8.6</v>
      </c>
      <c r="N26" s="316">
        <v>9</v>
      </c>
      <c r="O26" s="37"/>
      <c r="P26" s="37"/>
      <c r="Q26" s="38">
        <v>266</v>
      </c>
      <c r="R26" s="37">
        <v>206</v>
      </c>
      <c r="S26" s="37">
        <v>229</v>
      </c>
      <c r="T26" s="37">
        <v>372</v>
      </c>
      <c r="U26" s="39">
        <v>338</v>
      </c>
      <c r="V26" s="95"/>
    </row>
    <row r="27" spans="1:22" s="293" customFormat="1">
      <c r="A27" s="409"/>
      <c r="B27" s="309" t="s">
        <v>51</v>
      </c>
      <c r="C27" s="38">
        <v>32</v>
      </c>
      <c r="D27" s="37">
        <v>22</v>
      </c>
      <c r="E27" s="37">
        <v>10</v>
      </c>
      <c r="F27" s="37">
        <v>39</v>
      </c>
      <c r="G27" s="39">
        <v>43</v>
      </c>
      <c r="H27" s="37"/>
      <c r="I27" s="230"/>
      <c r="J27" s="315">
        <v>4.4000000000000004</v>
      </c>
      <c r="K27" s="230">
        <v>9.6999999999999993</v>
      </c>
      <c r="L27" s="230">
        <v>6.3</v>
      </c>
      <c r="M27" s="230">
        <v>8.1</v>
      </c>
      <c r="N27" s="316">
        <v>2.9</v>
      </c>
      <c r="O27" s="37"/>
      <c r="P27" s="37"/>
      <c r="Q27" s="38">
        <v>297</v>
      </c>
      <c r="R27" s="37">
        <v>175</v>
      </c>
      <c r="S27" s="37">
        <v>151</v>
      </c>
      <c r="T27" s="37">
        <v>218</v>
      </c>
      <c r="U27" s="39">
        <v>274</v>
      </c>
      <c r="V27" s="95"/>
    </row>
    <row r="28" spans="1:22" s="293" customFormat="1">
      <c r="A28" s="409"/>
      <c r="B28" s="309" t="s">
        <v>52</v>
      </c>
      <c r="C28" s="38">
        <v>30</v>
      </c>
      <c r="D28" s="37">
        <v>24</v>
      </c>
      <c r="E28" s="37">
        <v>18</v>
      </c>
      <c r="F28" s="37">
        <v>30</v>
      </c>
      <c r="G28" s="39">
        <v>47</v>
      </c>
      <c r="H28" s="37"/>
      <c r="I28" s="230"/>
      <c r="J28" s="315">
        <v>8.1999999999999993</v>
      </c>
      <c r="K28" s="230">
        <v>5.6</v>
      </c>
      <c r="L28" s="230">
        <v>5.7</v>
      </c>
      <c r="M28" s="230">
        <v>6.9</v>
      </c>
      <c r="N28" s="316">
        <v>10</v>
      </c>
      <c r="O28" s="37"/>
      <c r="P28" s="37"/>
      <c r="Q28" s="38">
        <v>298</v>
      </c>
      <c r="R28" s="37">
        <v>241</v>
      </c>
      <c r="S28" s="37">
        <v>279</v>
      </c>
      <c r="T28" s="37">
        <v>279</v>
      </c>
      <c r="U28" s="39">
        <v>389</v>
      </c>
      <c r="V28" s="95"/>
    </row>
    <row r="29" spans="1:22" s="293" customFormat="1">
      <c r="A29" s="409"/>
      <c r="B29" s="309" t="s">
        <v>53</v>
      </c>
      <c r="C29" s="38">
        <v>20</v>
      </c>
      <c r="D29" s="37">
        <v>30</v>
      </c>
      <c r="E29" s="37">
        <v>11</v>
      </c>
      <c r="F29" s="37">
        <v>47</v>
      </c>
      <c r="G29" s="39">
        <v>50</v>
      </c>
      <c r="H29" s="37"/>
      <c r="I29" s="230"/>
      <c r="J29" s="315">
        <v>7.4</v>
      </c>
      <c r="K29" s="230">
        <v>8.1999999999999993</v>
      </c>
      <c r="L29" s="230">
        <v>6</v>
      </c>
      <c r="M29" s="230">
        <v>9.4</v>
      </c>
      <c r="N29" s="316">
        <v>8.6999999999999993</v>
      </c>
      <c r="O29" s="37"/>
      <c r="P29" s="37"/>
      <c r="Q29" s="38">
        <v>182</v>
      </c>
      <c r="R29" s="37">
        <v>263</v>
      </c>
      <c r="S29" s="37">
        <v>286</v>
      </c>
      <c r="T29" s="37">
        <v>315</v>
      </c>
      <c r="U29" s="39">
        <v>234</v>
      </c>
      <c r="V29" s="95"/>
    </row>
    <row r="30" spans="1:22" s="293" customFormat="1">
      <c r="A30" s="410"/>
      <c r="B30" s="310" t="s">
        <v>54</v>
      </c>
      <c r="C30" s="74">
        <v>20</v>
      </c>
      <c r="D30" s="72">
        <v>30</v>
      </c>
      <c r="E30" s="72">
        <v>26</v>
      </c>
      <c r="F30" s="72">
        <v>26</v>
      </c>
      <c r="G30" s="73">
        <v>50</v>
      </c>
      <c r="H30" s="37"/>
      <c r="I30" s="230"/>
      <c r="J30" s="317">
        <v>7.3</v>
      </c>
      <c r="K30" s="311">
        <v>6.7</v>
      </c>
      <c r="L30" s="311">
        <v>9.4</v>
      </c>
      <c r="M30" s="311">
        <v>8.5</v>
      </c>
      <c r="N30" s="318">
        <v>8.1</v>
      </c>
      <c r="O30" s="37"/>
      <c r="P30" s="37"/>
      <c r="Q30" s="74">
        <v>264</v>
      </c>
      <c r="R30" s="72">
        <v>334</v>
      </c>
      <c r="S30" s="72">
        <v>113</v>
      </c>
      <c r="T30" s="72">
        <v>307</v>
      </c>
      <c r="U30" s="73">
        <v>455</v>
      </c>
      <c r="V30" s="95"/>
    </row>
    <row r="31" spans="1:22" s="293" customFormat="1">
      <c r="A31" s="37"/>
      <c r="B31" s="389" t="s">
        <v>174</v>
      </c>
      <c r="C31" s="72">
        <f>MEDIAN(C19:C30)</f>
        <v>22</v>
      </c>
      <c r="D31" s="72">
        <f t="shared" ref="D31:G31" si="3">MEDIAN(D19:D30)</f>
        <v>24.5</v>
      </c>
      <c r="E31" s="72">
        <f t="shared" si="3"/>
        <v>23.5</v>
      </c>
      <c r="F31" s="72">
        <f t="shared" si="3"/>
        <v>28.5</v>
      </c>
      <c r="G31" s="73">
        <f t="shared" si="3"/>
        <v>49.5</v>
      </c>
      <c r="H31" s="37"/>
      <c r="I31" s="366" t="s">
        <v>174</v>
      </c>
      <c r="J31" s="317">
        <f>MEDIAN(J19:J30)</f>
        <v>7.1</v>
      </c>
      <c r="K31" s="311">
        <f t="shared" ref="K31:N31" si="4">MEDIAN(K19:K30)</f>
        <v>6.75</v>
      </c>
      <c r="L31" s="311">
        <f t="shared" si="4"/>
        <v>6.25</v>
      </c>
      <c r="M31" s="311">
        <f t="shared" si="4"/>
        <v>8.4</v>
      </c>
      <c r="N31" s="318">
        <f t="shared" si="4"/>
        <v>7.4</v>
      </c>
      <c r="O31" s="37"/>
      <c r="P31" s="292" t="s">
        <v>174</v>
      </c>
      <c r="Q31" s="175">
        <f>MEDIAN(Q19:Q30)</f>
        <v>267</v>
      </c>
      <c r="R31" s="176">
        <f t="shared" ref="R31:U31" si="5">MEDIAN(R19:R30)</f>
        <v>269</v>
      </c>
      <c r="S31" s="176">
        <f t="shared" si="5"/>
        <v>261</v>
      </c>
      <c r="T31" s="176">
        <f t="shared" si="5"/>
        <v>282</v>
      </c>
      <c r="U31" s="383">
        <f t="shared" si="5"/>
        <v>321.5</v>
      </c>
      <c r="V31" s="95"/>
    </row>
    <row r="32" spans="1:22" s="290" customFormat="1">
      <c r="A32" s="141"/>
      <c r="B32" s="183"/>
      <c r="C32" s="141"/>
      <c r="D32" s="141"/>
      <c r="E32" s="141"/>
      <c r="F32" s="141"/>
      <c r="G32" s="141"/>
      <c r="H32" s="141"/>
      <c r="I32" s="49"/>
      <c r="J32" s="13"/>
      <c r="K32" s="13"/>
      <c r="L32" s="13"/>
      <c r="M32" s="13"/>
      <c r="N32" s="13"/>
      <c r="O32" s="14"/>
      <c r="P32" s="141"/>
      <c r="Q32" s="141"/>
      <c r="R32" s="141"/>
      <c r="S32" s="141"/>
      <c r="T32" s="141"/>
      <c r="U32" s="141"/>
      <c r="V32" s="47"/>
    </row>
    <row r="33" spans="1:22" s="290" customFormat="1">
      <c r="B33" s="188"/>
      <c r="C33" s="47"/>
      <c r="D33" s="47"/>
      <c r="E33" s="47"/>
      <c r="F33" s="47"/>
      <c r="G33" s="47"/>
      <c r="H33" s="141"/>
      <c r="I33" s="49"/>
      <c r="J33" s="13"/>
      <c r="K33" s="13"/>
      <c r="L33" s="13"/>
      <c r="M33" s="13"/>
      <c r="N33" s="13"/>
      <c r="O33" s="14"/>
      <c r="P33" s="141"/>
      <c r="Q33" s="47"/>
      <c r="R33" s="47"/>
      <c r="S33" s="47"/>
      <c r="T33" s="47"/>
      <c r="U33" s="47"/>
      <c r="V33" s="47"/>
    </row>
    <row r="34" spans="1:22" s="293" customFormat="1">
      <c r="B34" s="303"/>
      <c r="C34" s="474" t="s">
        <v>198</v>
      </c>
      <c r="D34" s="475"/>
      <c r="E34" s="475"/>
      <c r="F34" s="475"/>
      <c r="G34" s="476"/>
      <c r="H34" s="37"/>
      <c r="I34" s="230"/>
      <c r="J34" s="477" t="s">
        <v>198</v>
      </c>
      <c r="K34" s="478"/>
      <c r="L34" s="478"/>
      <c r="M34" s="478"/>
      <c r="N34" s="479"/>
      <c r="O34" s="37"/>
      <c r="P34" s="37"/>
      <c r="Q34" s="474" t="s">
        <v>198</v>
      </c>
      <c r="R34" s="475"/>
      <c r="S34" s="475"/>
      <c r="T34" s="475"/>
      <c r="U34" s="476"/>
      <c r="V34" s="95"/>
    </row>
    <row r="35" spans="1:22" s="303" customFormat="1">
      <c r="B35" s="304" t="s">
        <v>0</v>
      </c>
      <c r="C35" s="90" t="s">
        <v>69</v>
      </c>
      <c r="D35" s="90" t="s">
        <v>70</v>
      </c>
      <c r="E35" s="90" t="s">
        <v>71</v>
      </c>
      <c r="F35" s="90" t="s">
        <v>72</v>
      </c>
      <c r="G35" s="91" t="s">
        <v>73</v>
      </c>
      <c r="H35" s="305"/>
      <c r="I35" s="353"/>
      <c r="J35" s="312" t="s">
        <v>165</v>
      </c>
      <c r="K35" s="313" t="s">
        <v>166</v>
      </c>
      <c r="L35" s="313" t="s">
        <v>167</v>
      </c>
      <c r="M35" s="313" t="s">
        <v>168</v>
      </c>
      <c r="N35" s="314" t="s">
        <v>169</v>
      </c>
      <c r="O35" s="305"/>
      <c r="P35" s="305"/>
      <c r="Q35" s="89" t="s">
        <v>98</v>
      </c>
      <c r="R35" s="90" t="s">
        <v>99</v>
      </c>
      <c r="S35" s="90" t="s">
        <v>100</v>
      </c>
      <c r="T35" s="90" t="s">
        <v>101</v>
      </c>
      <c r="U35" s="91" t="s">
        <v>102</v>
      </c>
      <c r="V35" s="307"/>
    </row>
    <row r="36" spans="1:22" s="293" customFormat="1">
      <c r="A36" s="408" t="s">
        <v>105</v>
      </c>
      <c r="B36" s="308" t="s">
        <v>55</v>
      </c>
      <c r="C36" s="92">
        <v>0</v>
      </c>
      <c r="D36" s="93">
        <v>15</v>
      </c>
      <c r="E36" s="93">
        <v>26</v>
      </c>
      <c r="F36" s="93">
        <v>28</v>
      </c>
      <c r="G36" s="94">
        <v>34</v>
      </c>
      <c r="H36" s="37"/>
      <c r="I36" s="230"/>
      <c r="J36" s="315">
        <v>10.1</v>
      </c>
      <c r="K36" s="230">
        <v>4.2</v>
      </c>
      <c r="L36" s="230">
        <v>7.3</v>
      </c>
      <c r="M36" s="230">
        <v>4.2</v>
      </c>
      <c r="N36" s="316">
        <v>7.3</v>
      </c>
      <c r="O36" s="37"/>
      <c r="P36" s="37"/>
      <c r="Q36" s="92">
        <v>153</v>
      </c>
      <c r="R36" s="93">
        <v>176</v>
      </c>
      <c r="S36" s="93">
        <v>239</v>
      </c>
      <c r="T36" s="93">
        <v>230</v>
      </c>
      <c r="U36" s="94">
        <v>246</v>
      </c>
      <c r="V36" s="95"/>
    </row>
    <row r="37" spans="1:22" s="293" customFormat="1">
      <c r="A37" s="409"/>
      <c r="B37" s="309" t="s">
        <v>56</v>
      </c>
      <c r="C37" s="38">
        <v>7</v>
      </c>
      <c r="D37" s="37">
        <v>16</v>
      </c>
      <c r="E37" s="37">
        <v>20</v>
      </c>
      <c r="F37" s="37">
        <v>14</v>
      </c>
      <c r="G37" s="39">
        <v>32</v>
      </c>
      <c r="H37" s="37"/>
      <c r="I37" s="230"/>
      <c r="J37" s="315">
        <v>3.5</v>
      </c>
      <c r="K37" s="230">
        <v>5.6</v>
      </c>
      <c r="L37" s="230">
        <v>7.7</v>
      </c>
      <c r="M37" s="230">
        <v>7.1</v>
      </c>
      <c r="N37" s="316">
        <v>8.1</v>
      </c>
      <c r="O37" s="37"/>
      <c r="P37" s="37"/>
      <c r="Q37" s="38">
        <v>212</v>
      </c>
      <c r="R37" s="37">
        <v>221</v>
      </c>
      <c r="S37" s="37">
        <v>223</v>
      </c>
      <c r="T37" s="37">
        <v>181</v>
      </c>
      <c r="U37" s="39">
        <v>261</v>
      </c>
      <c r="V37" s="95"/>
    </row>
    <row r="38" spans="1:22" s="293" customFormat="1">
      <c r="A38" s="409"/>
      <c r="B38" s="309" t="s">
        <v>57</v>
      </c>
      <c r="C38" s="38">
        <v>12</v>
      </c>
      <c r="D38" s="37">
        <v>24</v>
      </c>
      <c r="E38" s="37">
        <v>19</v>
      </c>
      <c r="F38" s="37">
        <v>21</v>
      </c>
      <c r="G38" s="39">
        <v>29</v>
      </c>
      <c r="H38" s="37"/>
      <c r="I38" s="230"/>
      <c r="J38" s="315">
        <v>8.6999999999999993</v>
      </c>
      <c r="K38" s="230">
        <v>7.7</v>
      </c>
      <c r="L38" s="230">
        <v>8.3000000000000007</v>
      </c>
      <c r="M38" s="230">
        <v>7.8</v>
      </c>
      <c r="N38" s="316">
        <v>6.9</v>
      </c>
      <c r="O38" s="37"/>
      <c r="P38" s="37"/>
      <c r="Q38" s="38">
        <v>201</v>
      </c>
      <c r="R38" s="37">
        <v>274</v>
      </c>
      <c r="S38" s="37">
        <v>228</v>
      </c>
      <c r="T38" s="37">
        <v>320</v>
      </c>
      <c r="U38" s="39">
        <v>313</v>
      </c>
      <c r="V38" s="95"/>
    </row>
    <row r="39" spans="1:22" s="95" customFormat="1">
      <c r="A39" s="409"/>
      <c r="B39" s="309" t="s">
        <v>58</v>
      </c>
      <c r="C39" s="38">
        <v>2</v>
      </c>
      <c r="D39" s="37">
        <v>23</v>
      </c>
      <c r="E39" s="37">
        <v>28</v>
      </c>
      <c r="F39" s="37">
        <v>40</v>
      </c>
      <c r="G39" s="39">
        <v>37</v>
      </c>
      <c r="H39" s="37"/>
      <c r="I39" s="230"/>
      <c r="J39" s="315">
        <v>9.1999999999999993</v>
      </c>
      <c r="K39" s="230">
        <v>6.1</v>
      </c>
      <c r="L39" s="230">
        <v>8.4</v>
      </c>
      <c r="M39" s="230">
        <v>6.4</v>
      </c>
      <c r="N39" s="316">
        <v>8.3000000000000007</v>
      </c>
      <c r="O39" s="37"/>
      <c r="P39" s="37"/>
      <c r="Q39" s="38">
        <v>61</v>
      </c>
      <c r="R39" s="37">
        <v>138</v>
      </c>
      <c r="S39" s="37">
        <v>218</v>
      </c>
      <c r="T39" s="37">
        <v>331</v>
      </c>
      <c r="U39" s="39">
        <v>234</v>
      </c>
    </row>
    <row r="40" spans="1:22" s="95" customFormat="1">
      <c r="A40" s="409"/>
      <c r="B40" s="309" t="s">
        <v>59</v>
      </c>
      <c r="C40" s="38">
        <v>18</v>
      </c>
      <c r="D40" s="37">
        <v>4</v>
      </c>
      <c r="E40" s="37">
        <v>31</v>
      </c>
      <c r="F40" s="37">
        <v>37</v>
      </c>
      <c r="G40" s="39">
        <v>20</v>
      </c>
      <c r="H40" s="37"/>
      <c r="I40" s="230"/>
      <c r="J40" s="315">
        <v>6.5</v>
      </c>
      <c r="K40" s="230">
        <v>7.3</v>
      </c>
      <c r="L40" s="230">
        <v>9.1</v>
      </c>
      <c r="M40" s="230">
        <v>6.7</v>
      </c>
      <c r="N40" s="316">
        <v>7.2</v>
      </c>
      <c r="O40" s="37"/>
      <c r="P40" s="37"/>
      <c r="Q40" s="38">
        <v>238</v>
      </c>
      <c r="R40" s="37">
        <v>31</v>
      </c>
      <c r="S40" s="37">
        <v>338</v>
      </c>
      <c r="T40" s="37">
        <v>194</v>
      </c>
      <c r="U40" s="39">
        <v>238</v>
      </c>
    </row>
    <row r="41" spans="1:22" s="95" customFormat="1">
      <c r="A41" s="409"/>
      <c r="B41" s="309" t="s">
        <v>60</v>
      </c>
      <c r="C41" s="38">
        <v>14</v>
      </c>
      <c r="D41" s="37">
        <v>20</v>
      </c>
      <c r="E41" s="37">
        <v>22</v>
      </c>
      <c r="F41" s="37">
        <v>56</v>
      </c>
      <c r="G41" s="39">
        <v>52</v>
      </c>
      <c r="H41" s="37"/>
      <c r="I41" s="230"/>
      <c r="J41" s="315">
        <v>6.4</v>
      </c>
      <c r="K41" s="230">
        <v>8</v>
      </c>
      <c r="L41" s="230">
        <v>8.1999999999999993</v>
      </c>
      <c r="M41" s="230">
        <v>8.1</v>
      </c>
      <c r="N41" s="316">
        <v>6.4</v>
      </c>
      <c r="O41" s="37"/>
      <c r="P41" s="37"/>
      <c r="Q41" s="38">
        <v>193</v>
      </c>
      <c r="R41" s="37">
        <v>375</v>
      </c>
      <c r="S41" s="37">
        <v>216</v>
      </c>
      <c r="T41" s="37">
        <v>236</v>
      </c>
      <c r="U41" s="39">
        <v>205</v>
      </c>
    </row>
    <row r="42" spans="1:22" s="95" customFormat="1">
      <c r="A42" s="409"/>
      <c r="B42" s="309" t="s">
        <v>61</v>
      </c>
      <c r="C42" s="38">
        <v>22</v>
      </c>
      <c r="D42" s="37">
        <v>31</v>
      </c>
      <c r="E42" s="37">
        <v>26</v>
      </c>
      <c r="F42" s="37">
        <v>27</v>
      </c>
      <c r="G42" s="39">
        <v>40</v>
      </c>
      <c r="H42" s="37"/>
      <c r="I42" s="230"/>
      <c r="J42" s="315">
        <v>4</v>
      </c>
      <c r="K42" s="230">
        <v>3.2</v>
      </c>
      <c r="L42" s="230">
        <v>4.7</v>
      </c>
      <c r="M42" s="230">
        <v>5.8</v>
      </c>
      <c r="N42" s="316">
        <v>6.5</v>
      </c>
      <c r="O42" s="37"/>
      <c r="P42" s="37"/>
      <c r="Q42" s="38">
        <v>66</v>
      </c>
      <c r="R42" s="37">
        <v>326</v>
      </c>
      <c r="S42" s="37">
        <v>217</v>
      </c>
      <c r="T42" s="37">
        <v>316</v>
      </c>
      <c r="U42" s="39">
        <v>364</v>
      </c>
    </row>
    <row r="43" spans="1:22" s="95" customFormat="1">
      <c r="A43" s="409"/>
      <c r="B43" s="309" t="s">
        <v>62</v>
      </c>
      <c r="C43" s="38">
        <v>17</v>
      </c>
      <c r="D43" s="37">
        <v>11</v>
      </c>
      <c r="E43" s="37">
        <v>16</v>
      </c>
      <c r="F43" s="37">
        <v>19</v>
      </c>
      <c r="G43" s="39">
        <v>23</v>
      </c>
      <c r="H43" s="37"/>
      <c r="I43" s="230"/>
      <c r="J43" s="315">
        <v>8.8000000000000007</v>
      </c>
      <c r="K43" s="230">
        <v>5.7</v>
      </c>
      <c r="L43" s="230">
        <v>8.1999999999999993</v>
      </c>
      <c r="M43" s="230">
        <v>6.7</v>
      </c>
      <c r="N43" s="316">
        <v>7.4</v>
      </c>
      <c r="O43" s="37"/>
      <c r="P43" s="37"/>
      <c r="Q43" s="38">
        <v>167</v>
      </c>
      <c r="R43" s="37">
        <v>150</v>
      </c>
      <c r="S43" s="37">
        <v>204</v>
      </c>
      <c r="T43" s="37">
        <v>283</v>
      </c>
      <c r="U43" s="39">
        <v>378</v>
      </c>
    </row>
    <row r="44" spans="1:22" s="95" customFormat="1">
      <c r="A44" s="409"/>
      <c r="B44" s="309" t="s">
        <v>63</v>
      </c>
      <c r="C44" s="38">
        <v>0</v>
      </c>
      <c r="D44" s="37">
        <v>16</v>
      </c>
      <c r="E44" s="37">
        <v>30</v>
      </c>
      <c r="F44" s="37">
        <v>27</v>
      </c>
      <c r="G44" s="39">
        <v>39</v>
      </c>
      <c r="H44" s="37"/>
      <c r="I44" s="230"/>
      <c r="J44" s="315">
        <v>6.5</v>
      </c>
      <c r="K44" s="230">
        <v>2.2000000000000002</v>
      </c>
      <c r="L44" s="230">
        <v>11.7</v>
      </c>
      <c r="M44" s="230">
        <v>7.8</v>
      </c>
      <c r="N44" s="316">
        <v>6.6</v>
      </c>
      <c r="O44" s="37"/>
      <c r="P44" s="37"/>
      <c r="Q44" s="38">
        <v>289</v>
      </c>
      <c r="R44" s="37">
        <v>367</v>
      </c>
      <c r="S44" s="37">
        <v>405</v>
      </c>
      <c r="T44" s="37">
        <v>189</v>
      </c>
      <c r="U44" s="39">
        <v>133</v>
      </c>
    </row>
    <row r="45" spans="1:22" s="95" customFormat="1">
      <c r="A45" s="409"/>
      <c r="B45" s="309" t="s">
        <v>64</v>
      </c>
      <c r="C45" s="38">
        <v>11</v>
      </c>
      <c r="D45" s="37">
        <v>27</v>
      </c>
      <c r="E45" s="37">
        <v>7</v>
      </c>
      <c r="F45" s="37">
        <v>45</v>
      </c>
      <c r="G45" s="39">
        <v>20</v>
      </c>
      <c r="H45" s="37"/>
      <c r="I45" s="230"/>
      <c r="J45" s="315">
        <v>6.5</v>
      </c>
      <c r="K45" s="230">
        <v>8.1999999999999993</v>
      </c>
      <c r="L45" s="230">
        <v>6.9</v>
      </c>
      <c r="M45" s="230">
        <v>5.4</v>
      </c>
      <c r="N45" s="316">
        <v>8.1</v>
      </c>
      <c r="O45" s="37"/>
      <c r="P45" s="37"/>
      <c r="Q45" s="38">
        <v>297</v>
      </c>
      <c r="R45" s="37">
        <v>253</v>
      </c>
      <c r="S45" s="37">
        <v>199</v>
      </c>
      <c r="T45" s="37">
        <v>405</v>
      </c>
      <c r="U45" s="39">
        <v>302</v>
      </c>
    </row>
    <row r="46" spans="1:22" s="95" customFormat="1">
      <c r="A46" s="409"/>
      <c r="B46" s="309" t="s">
        <v>65</v>
      </c>
      <c r="C46" s="38">
        <v>6</v>
      </c>
      <c r="D46" s="37">
        <v>25</v>
      </c>
      <c r="E46" s="37">
        <v>6</v>
      </c>
      <c r="F46" s="37">
        <v>15</v>
      </c>
      <c r="G46" s="39">
        <v>15</v>
      </c>
      <c r="H46" s="37"/>
      <c r="I46" s="230"/>
      <c r="J46" s="315">
        <v>7.9</v>
      </c>
      <c r="K46" s="230">
        <v>6.8</v>
      </c>
      <c r="L46" s="230">
        <v>8.6</v>
      </c>
      <c r="M46" s="230">
        <v>6.3</v>
      </c>
      <c r="N46" s="316">
        <v>9</v>
      </c>
      <c r="O46" s="37"/>
      <c r="P46" s="37"/>
      <c r="Q46" s="38">
        <v>385</v>
      </c>
      <c r="R46" s="37">
        <v>288</v>
      </c>
      <c r="S46" s="37">
        <v>215</v>
      </c>
      <c r="T46" s="37">
        <v>229</v>
      </c>
      <c r="U46" s="39">
        <v>260</v>
      </c>
    </row>
    <row r="47" spans="1:22" s="95" customFormat="1">
      <c r="A47" s="409"/>
      <c r="B47" s="309" t="s">
        <v>66</v>
      </c>
      <c r="C47" s="38">
        <v>1</v>
      </c>
      <c r="D47" s="37">
        <v>15</v>
      </c>
      <c r="E47" s="37">
        <v>24</v>
      </c>
      <c r="F47" s="37">
        <v>24</v>
      </c>
      <c r="G47" s="39">
        <v>27</v>
      </c>
      <c r="H47" s="37"/>
      <c r="I47" s="230"/>
      <c r="J47" s="315">
        <v>6.3</v>
      </c>
      <c r="K47" s="230">
        <v>4.7</v>
      </c>
      <c r="L47" s="230">
        <v>8.6999999999999993</v>
      </c>
      <c r="M47" s="230">
        <v>7.9</v>
      </c>
      <c r="N47" s="316">
        <v>5.9</v>
      </c>
      <c r="O47" s="37"/>
      <c r="P47" s="37"/>
      <c r="Q47" s="38">
        <v>462</v>
      </c>
      <c r="R47" s="37">
        <v>273</v>
      </c>
      <c r="S47" s="37">
        <v>237</v>
      </c>
      <c r="T47" s="37">
        <v>230</v>
      </c>
      <c r="U47" s="39">
        <v>341</v>
      </c>
    </row>
    <row r="48" spans="1:22" s="95" customFormat="1">
      <c r="A48" s="409"/>
      <c r="B48" s="309" t="s">
        <v>67</v>
      </c>
      <c r="C48" s="38">
        <v>5</v>
      </c>
      <c r="D48" s="37">
        <v>11</v>
      </c>
      <c r="E48" s="37">
        <v>5</v>
      </c>
      <c r="F48" s="37">
        <v>41</v>
      </c>
      <c r="G48" s="39">
        <v>51</v>
      </c>
      <c r="H48" s="37"/>
      <c r="I48" s="230"/>
      <c r="J48" s="315">
        <v>7.4</v>
      </c>
      <c r="K48" s="230">
        <v>4.8</v>
      </c>
      <c r="L48" s="230">
        <v>5.2</v>
      </c>
      <c r="M48" s="230">
        <v>7.2</v>
      </c>
      <c r="N48" s="316">
        <v>7.5</v>
      </c>
      <c r="O48" s="37"/>
      <c r="P48" s="37"/>
      <c r="Q48" s="38">
        <v>266</v>
      </c>
      <c r="R48" s="37">
        <v>242</v>
      </c>
      <c r="S48" s="37">
        <v>237</v>
      </c>
      <c r="T48" s="37">
        <v>253</v>
      </c>
      <c r="U48" s="39">
        <v>328</v>
      </c>
    </row>
    <row r="49" spans="1:21" s="95" customFormat="1">
      <c r="A49" s="410"/>
      <c r="B49" s="310" t="s">
        <v>68</v>
      </c>
      <c r="C49" s="74">
        <v>9</v>
      </c>
      <c r="D49" s="72">
        <v>16</v>
      </c>
      <c r="E49" s="72">
        <v>14</v>
      </c>
      <c r="F49" s="72">
        <v>31</v>
      </c>
      <c r="G49" s="73">
        <v>29</v>
      </c>
      <c r="H49" s="37"/>
      <c r="I49" s="230"/>
      <c r="J49" s="317">
        <v>7.2</v>
      </c>
      <c r="K49" s="311">
        <v>6.9</v>
      </c>
      <c r="L49" s="311">
        <v>7.6</v>
      </c>
      <c r="M49" s="311">
        <v>6.4</v>
      </c>
      <c r="N49" s="318">
        <v>10</v>
      </c>
      <c r="O49" s="37"/>
      <c r="P49" s="37"/>
      <c r="Q49" s="74">
        <v>15</v>
      </c>
      <c r="R49" s="72">
        <v>323</v>
      </c>
      <c r="S49" s="72">
        <v>237</v>
      </c>
      <c r="T49" s="72">
        <v>220</v>
      </c>
      <c r="U49" s="73">
        <v>258</v>
      </c>
    </row>
    <row r="50" spans="1:21" s="293" customFormat="1">
      <c r="B50" s="389" t="s">
        <v>174</v>
      </c>
      <c r="C50" s="390">
        <f>MEDIAN(C36:C49)</f>
        <v>8</v>
      </c>
      <c r="D50" s="390">
        <f t="shared" ref="D50:G50" si="6">MEDIAN(D36:D49)</f>
        <v>16</v>
      </c>
      <c r="E50" s="390">
        <f t="shared" si="6"/>
        <v>21</v>
      </c>
      <c r="F50" s="390">
        <f t="shared" si="6"/>
        <v>27.5</v>
      </c>
      <c r="G50" s="391">
        <f t="shared" si="6"/>
        <v>30.5</v>
      </c>
      <c r="H50" s="298"/>
      <c r="I50" s="366" t="s">
        <v>174</v>
      </c>
      <c r="J50" s="392">
        <f>MEDIAN(J36:J49)</f>
        <v>6.85</v>
      </c>
      <c r="K50" s="393">
        <f t="shared" ref="K50:N50" si="7">MEDIAN(K36:K49)</f>
        <v>5.9</v>
      </c>
      <c r="L50" s="393">
        <f t="shared" si="7"/>
        <v>8.1999999999999993</v>
      </c>
      <c r="M50" s="393">
        <f t="shared" si="7"/>
        <v>6.7</v>
      </c>
      <c r="N50" s="394">
        <f t="shared" si="7"/>
        <v>7.35</v>
      </c>
      <c r="O50" s="298"/>
      <c r="P50" s="292" t="s">
        <v>174</v>
      </c>
      <c r="Q50" s="380">
        <f>MEDIAN(Q36:Q49)</f>
        <v>206.5</v>
      </c>
      <c r="R50" s="381">
        <f t="shared" ref="R50:U50" si="8">MEDIAN(R36:R49)</f>
        <v>263</v>
      </c>
      <c r="S50" s="381">
        <f t="shared" si="8"/>
        <v>225.5</v>
      </c>
      <c r="T50" s="381">
        <f t="shared" si="8"/>
        <v>233</v>
      </c>
      <c r="U50" s="382">
        <f t="shared" si="8"/>
        <v>260.5</v>
      </c>
    </row>
    <row r="51" spans="1:21">
      <c r="B51" s="185"/>
    </row>
    <row r="52" spans="1:21">
      <c r="C52" s="414" t="s">
        <v>197</v>
      </c>
      <c r="D52" s="415"/>
      <c r="E52" s="415"/>
      <c r="F52" s="415"/>
      <c r="G52" s="416"/>
      <c r="J52" s="424" t="s">
        <v>197</v>
      </c>
      <c r="K52" s="425"/>
      <c r="L52" s="425"/>
      <c r="M52" s="425"/>
      <c r="N52" s="426"/>
      <c r="Q52" s="414" t="s">
        <v>197</v>
      </c>
      <c r="R52" s="415"/>
      <c r="S52" s="415"/>
      <c r="T52" s="415"/>
      <c r="U52" s="416"/>
    </row>
    <row r="53" spans="1:21">
      <c r="B53" s="183"/>
      <c r="C53" s="469" t="s">
        <v>175</v>
      </c>
      <c r="D53" s="470"/>
      <c r="E53" s="470"/>
      <c r="F53" s="470"/>
      <c r="G53" s="471"/>
      <c r="H53" s="32"/>
      <c r="I53" s="202"/>
      <c r="J53" s="492" t="s">
        <v>175</v>
      </c>
      <c r="K53" s="493"/>
      <c r="L53" s="493"/>
      <c r="M53" s="493"/>
      <c r="N53" s="494"/>
      <c r="O53" s="32"/>
      <c r="P53" s="32"/>
      <c r="Q53" s="469" t="s">
        <v>175</v>
      </c>
      <c r="R53" s="470"/>
      <c r="S53" s="470"/>
      <c r="T53" s="470"/>
      <c r="U53" s="471"/>
    </row>
    <row r="54" spans="1:21">
      <c r="C54" s="70">
        <f>_xlfn.RANK.AVG(C3,$C$19:$G$30:$C$3:$G$13:$C$36:$G$49,1)</f>
        <v>174.5</v>
      </c>
      <c r="D54" s="70">
        <f>_xlfn.RANK.AVG(D3,$C$19:$G$30:$C$3:$G$13:$C$36:$G$49,1)</f>
        <v>97</v>
      </c>
      <c r="E54" s="70">
        <f>_xlfn.RANK.AVG(E3,$C$19:$G$30:$C$3:$G$13:$C$36:$G$49,1)</f>
        <v>124</v>
      </c>
      <c r="F54" s="70">
        <f>_xlfn.RANK.AVG(F3,$C$19:$G$30:$C$3:$G$13:$C$36:$G$49,1)</f>
        <v>160</v>
      </c>
      <c r="G54" s="42">
        <f>_xlfn.RANK.AVG(G3,$C$19:$G$30:$C$3:$G$13:$C$36:$G$49,1)</f>
        <v>183</v>
      </c>
      <c r="J54" s="43">
        <f>_xlfn.RANK.AVG(J3,$J$19:$N$30:$J$3:$N$13:$J$36:$N$49,1)</f>
        <v>42.5</v>
      </c>
      <c r="K54" s="43">
        <f>_xlfn.RANK.AVG(K3,$J$19:$N$30:$J$3:$N$13:$J$36:$N$49,1)</f>
        <v>4</v>
      </c>
      <c r="L54" s="43">
        <f>_xlfn.RANK.AVG(L3,$J$19:$N$30:$J$3:$N$13:$J$36:$N$49,1)</f>
        <v>151.5</v>
      </c>
      <c r="M54" s="43">
        <f>_xlfn.RANK.AVG(M3,$J$19:$N$30:$J$3:$N$13:$J$36:$N$49,1)</f>
        <v>45.5</v>
      </c>
      <c r="N54" s="63">
        <f>_xlfn.RANK.AVG(N3,$J$19:$N$30:$J$3:$N$13:$J$36:$N$49,1)</f>
        <v>80.5</v>
      </c>
      <c r="Q54" s="70">
        <f>_xlfn.RANK.AVG(Q3,$Q$19:$U$30:$Q$3:$U$13:$Q$36:$U$49,1)</f>
        <v>146.5</v>
      </c>
      <c r="R54" s="70">
        <f>_xlfn.RANK.AVG(R3,$Q$19:$U$30:$Q$3:$U$13:$Q$36:$U$49,1)</f>
        <v>132</v>
      </c>
      <c r="S54" s="70">
        <f>_xlfn.RANK.AVG(S3,$Q$19:$U$30:$Q$3:$U$13:$Q$36:$U$49,1)</f>
        <v>16</v>
      </c>
      <c r="T54" s="70">
        <f>_xlfn.RANK.AVG(T3,$Q$19:$U$30:$Q$3:$U$13:$Q$36:$U$49,1)</f>
        <v>29</v>
      </c>
      <c r="U54" s="42">
        <f>_xlfn.RANK.AVG(U3,$Q$19:$U$30:$Q$3:$U$13:$Q$36:$U$49,1)</f>
        <v>178</v>
      </c>
    </row>
    <row r="55" spans="1:21">
      <c r="C55" s="70">
        <f>_xlfn.RANK.AVG(C4,$C$19:$G$30:$C$3:$G$13:$C$36:$G$49,1)</f>
        <v>194</v>
      </c>
      <c r="D55" s="70">
        <f>_xlfn.RANK.AVG(D4,$C$19:$G$30:$C$3:$G$13:$C$36:$G$49,1)</f>
        <v>26.5</v>
      </c>
      <c r="E55" s="70">
        <f>_xlfn.RANK.AVG(E4,$C$19:$G$30:$C$3:$G$13:$C$36:$G$49,1)</f>
        <v>17</v>
      </c>
      <c r="F55" s="70">
        <f>_xlfn.RANK.AVG(F4,$C$19:$G$30:$C$3:$G$13:$C$36:$G$49,1)</f>
        <v>71.5</v>
      </c>
      <c r="G55" s="42">
        <f>_xlfn.RANK.AVG(G4,$C$19:$G$30:$C$3:$G$13:$C$36:$G$49,1)</f>
        <v>183</v>
      </c>
      <c r="J55" s="43">
        <f>_xlfn.RANK.AVG(J4,$J$19:$N$30:$J$3:$N$13:$J$36:$N$49,1)</f>
        <v>34</v>
      </c>
      <c r="K55" s="43">
        <f>_xlfn.RANK.AVG(K4,$J$19:$N$30:$J$3:$N$13:$J$36:$N$49,1)</f>
        <v>184</v>
      </c>
      <c r="L55" s="43">
        <f>_xlfn.RANK.AVG(L4,$J$19:$N$30:$J$3:$N$13:$J$36:$N$49,1)</f>
        <v>163.5</v>
      </c>
      <c r="M55" s="43">
        <f>_xlfn.RANK.AVG(M4,$J$19:$N$30:$J$3:$N$13:$J$36:$N$49,1)</f>
        <v>52.5</v>
      </c>
      <c r="N55" s="63">
        <f>_xlfn.RANK.AVG(N4,$J$19:$N$30:$J$3:$N$13:$J$36:$N$49,1)</f>
        <v>34</v>
      </c>
      <c r="Q55" s="70">
        <f>_xlfn.RANK.AVG(Q4,$Q$19:$U$30:$Q$3:$U$13:$Q$36:$U$49,1)</f>
        <v>124.5</v>
      </c>
      <c r="R55" s="70">
        <f>_xlfn.RANK.AVG(R4,$Q$19:$U$30:$Q$3:$U$13:$Q$36:$U$49,1)</f>
        <v>160</v>
      </c>
      <c r="S55" s="70">
        <f>_xlfn.RANK.AVG(S4,$Q$19:$U$30:$Q$3:$U$13:$Q$36:$U$49,1)</f>
        <v>163</v>
      </c>
      <c r="T55" s="70">
        <f>_xlfn.RANK.AVG(T4,$Q$19:$U$30:$Q$3:$U$13:$Q$36:$U$49,1)</f>
        <v>155</v>
      </c>
      <c r="U55" s="42">
        <f>_xlfn.RANK.AVG(U4,$Q$19:$U$30:$Q$3:$U$13:$Q$36:$U$49,1)</f>
        <v>96</v>
      </c>
    </row>
    <row r="56" spans="1:21">
      <c r="C56" s="70">
        <f>_xlfn.RANK.AVG(C5,$C$19:$G$30:$C$3:$G$13:$C$36:$G$49,1)</f>
        <v>195</v>
      </c>
      <c r="D56" s="70">
        <f>_xlfn.RANK.AVG(D5,$C$19:$G$30:$C$3:$G$13:$C$36:$G$49,1)</f>
        <v>124</v>
      </c>
      <c r="E56" s="70">
        <f>_xlfn.RANK.AVG(E5,$C$19:$G$30:$C$3:$G$13:$C$36:$G$49,1)</f>
        <v>79</v>
      </c>
      <c r="F56" s="70">
        <f>_xlfn.RANK.AVG(F5,$C$19:$G$30:$C$3:$G$13:$C$36:$G$49,1)</f>
        <v>141.5</v>
      </c>
      <c r="G56" s="42">
        <f>_xlfn.RANK.AVG(G5,$C$19:$G$30:$C$3:$G$13:$C$36:$G$49,1)</f>
        <v>189.5</v>
      </c>
      <c r="J56" s="43">
        <f>_xlfn.RANK.AVG(J5,$J$19:$N$30:$J$3:$N$13:$J$36:$N$49,1)</f>
        <v>104.5</v>
      </c>
      <c r="K56" s="43">
        <f>_xlfn.RANK.AVG(K5,$J$19:$N$30:$J$3:$N$13:$J$36:$N$49,1)</f>
        <v>180.5</v>
      </c>
      <c r="L56" s="43">
        <f>_xlfn.RANK.AVG(L5,$J$19:$N$30:$J$3:$N$13:$J$36:$N$49,1)</f>
        <v>52.5</v>
      </c>
      <c r="M56" s="43">
        <f>_xlfn.RANK.AVG(M5,$J$19:$N$30:$J$3:$N$13:$J$36:$N$49,1)</f>
        <v>45.5</v>
      </c>
      <c r="N56" s="63">
        <f>_xlfn.RANK.AVG(N5,$J$19:$N$30:$J$3:$N$13:$J$36:$N$49,1)</f>
        <v>21</v>
      </c>
      <c r="Q56" s="70">
        <f>_xlfn.RANK.AVG(Q5,$Q$19:$U$30:$Q$3:$U$13:$Q$36:$U$49,1)</f>
        <v>192</v>
      </c>
      <c r="R56" s="70">
        <f>_xlfn.RANK.AVG(R5,$Q$19:$U$30:$Q$3:$U$13:$Q$36:$U$49,1)</f>
        <v>111</v>
      </c>
      <c r="S56" s="70">
        <f>_xlfn.RANK.AVG(S5,$Q$19:$U$30:$Q$3:$U$13:$Q$36:$U$49,1)</f>
        <v>6</v>
      </c>
      <c r="T56" s="70">
        <f>_xlfn.RANK.AVG(T5,$Q$19:$U$30:$Q$3:$U$13:$Q$36:$U$49,1)</f>
        <v>65</v>
      </c>
      <c r="U56" s="42">
        <f>_xlfn.RANK.AVG(U5,$Q$19:$U$30:$Q$3:$U$13:$Q$36:$U$49,1)</f>
        <v>186</v>
      </c>
    </row>
    <row r="57" spans="1:21">
      <c r="C57" s="70">
        <f>_xlfn.RANK.AVG(C6,$C$19:$G$30:$C$3:$G$13:$C$36:$G$49,1)</f>
        <v>166</v>
      </c>
      <c r="D57" s="70">
        <f>_xlfn.RANK.AVG(D6,$C$19:$G$30:$C$3:$G$13:$C$36:$G$49,1)</f>
        <v>127.5</v>
      </c>
      <c r="E57" s="70">
        <f>_xlfn.RANK.AVG(E6,$C$19:$G$30:$C$3:$G$13:$C$36:$G$49,1)</f>
        <v>57</v>
      </c>
      <c r="F57" s="70">
        <f>_xlfn.RANK.AVG(F6,$C$19:$G$30:$C$3:$G$13:$C$36:$G$49,1)</f>
        <v>151</v>
      </c>
      <c r="G57" s="42">
        <f>_xlfn.RANK.AVG(G6,$C$19:$G$30:$C$3:$G$13:$C$36:$G$49,1)</f>
        <v>191</v>
      </c>
      <c r="J57" s="43">
        <f>_xlfn.RANK.AVG(J6,$J$19:$N$30:$J$3:$N$13:$J$36:$N$49,1)</f>
        <v>2</v>
      </c>
      <c r="K57" s="43">
        <f>_xlfn.RANK.AVG(K6,$J$19:$N$30:$J$3:$N$13:$J$36:$N$49,1)</f>
        <v>133.5</v>
      </c>
      <c r="L57" s="43">
        <f>_xlfn.RANK.AVG(L6,$J$19:$N$30:$J$3:$N$13:$J$36:$N$49,1)</f>
        <v>151.5</v>
      </c>
      <c r="M57" s="43">
        <f>_xlfn.RANK.AVG(M6,$J$19:$N$30:$J$3:$N$13:$J$36:$N$49,1)</f>
        <v>38</v>
      </c>
      <c r="N57" s="63">
        <f>_xlfn.RANK.AVG(N6,$J$19:$N$30:$J$3:$N$13:$J$36:$N$49,1)</f>
        <v>63</v>
      </c>
      <c r="Q57" s="70">
        <f>_xlfn.RANK.AVG(Q6,$Q$19:$U$30:$Q$3:$U$13:$Q$36:$U$49,1)</f>
        <v>165</v>
      </c>
      <c r="R57" s="70">
        <f>_xlfn.RANK.AVG(R6,$Q$19:$U$30:$Q$3:$U$13:$Q$36:$U$49,1)</f>
        <v>131</v>
      </c>
      <c r="S57" s="70">
        <f>_xlfn.RANK.AVG(S6,$Q$19:$U$30:$Q$3:$U$13:$Q$36:$U$49,1)</f>
        <v>56.5</v>
      </c>
      <c r="T57" s="70">
        <f>_xlfn.RANK.AVG(T6,$Q$19:$U$30:$Q$3:$U$13:$Q$36:$U$49,1)</f>
        <v>23.5</v>
      </c>
      <c r="U57" s="42">
        <f>_xlfn.RANK.AVG(U6,$Q$19:$U$30:$Q$3:$U$13:$Q$36:$U$49,1)</f>
        <v>169.5</v>
      </c>
    </row>
    <row r="58" spans="1:21">
      <c r="C58" s="70">
        <f>_xlfn.RANK.AVG(C7,$C$19:$G$30:$C$3:$G$13:$C$36:$G$49,1)</f>
        <v>172</v>
      </c>
      <c r="D58" s="70">
        <f>_xlfn.RANK.AVG(D7,$C$19:$G$30:$C$3:$G$13:$C$36:$G$49,1)</f>
        <v>33</v>
      </c>
      <c r="E58" s="70">
        <f>_xlfn.RANK.AVG(E7,$C$19:$G$30:$C$3:$G$13:$C$36:$G$49,1)</f>
        <v>112</v>
      </c>
      <c r="F58" s="70">
        <f>_xlfn.RANK.AVG(F7,$C$19:$G$30:$C$3:$G$13:$C$36:$G$49,1)</f>
        <v>141.5</v>
      </c>
      <c r="G58" s="42">
        <f>_xlfn.RANK.AVG(G7,$C$19:$G$30:$C$3:$G$13:$C$36:$G$49,1)</f>
        <v>155.5</v>
      </c>
      <c r="J58" s="43">
        <f>_xlfn.RANK.AVG(J7,$J$19:$N$30:$J$3:$N$13:$J$36:$N$49,1)</f>
        <v>3</v>
      </c>
      <c r="K58" s="43">
        <f>_xlfn.RANK.AVG(K7,$J$19:$N$30:$J$3:$N$13:$J$36:$N$49,1)</f>
        <v>63</v>
      </c>
      <c r="L58" s="43">
        <f>_xlfn.RANK.AVG(L7,$J$19:$N$30:$J$3:$N$13:$J$36:$N$49,1)</f>
        <v>151.5</v>
      </c>
      <c r="M58" s="43">
        <f>_xlfn.RANK.AVG(M7,$J$19:$N$30:$J$3:$N$13:$J$36:$N$49,1)</f>
        <v>49</v>
      </c>
      <c r="N58" s="63">
        <f>_xlfn.RANK.AVG(N7,$J$19:$N$30:$J$3:$N$13:$J$36:$N$49,1)</f>
        <v>73.5</v>
      </c>
      <c r="Q58" s="70">
        <f>_xlfn.RANK.AVG(Q7,$Q$19:$U$30:$Q$3:$U$13:$Q$36:$U$49,1)</f>
        <v>179</v>
      </c>
      <c r="R58" s="70">
        <f>_xlfn.RANK.AVG(R7,$Q$19:$U$30:$Q$3:$U$13:$Q$36:$U$49,1)</f>
        <v>79.5</v>
      </c>
      <c r="S58" s="70">
        <f>_xlfn.RANK.AVG(S7,$Q$19:$U$30:$Q$3:$U$13:$Q$36:$U$49,1)</f>
        <v>154</v>
      </c>
      <c r="T58" s="70">
        <f>_xlfn.RANK.AVG(T7,$Q$19:$U$30:$Q$3:$U$13:$Q$36:$U$49,1)</f>
        <v>72.5</v>
      </c>
      <c r="U58" s="42">
        <f>_xlfn.RANK.AVG(U7,$Q$19:$U$30:$Q$3:$U$13:$Q$36:$U$49,1)</f>
        <v>194</v>
      </c>
    </row>
    <row r="59" spans="1:21">
      <c r="C59" s="70">
        <f>_xlfn.RANK.AVG(C8,$C$19:$G$30:$C$3:$G$13:$C$36:$G$49,1)</f>
        <v>174.5</v>
      </c>
      <c r="D59" s="70">
        <f>_xlfn.RANK.AVG(D8,$C$19:$G$30:$C$3:$G$13:$C$36:$G$49,1)</f>
        <v>57</v>
      </c>
      <c r="E59" s="70">
        <f>_xlfn.RANK.AVG(E8,$C$19:$G$30:$C$3:$G$13:$C$36:$G$49,1)</f>
        <v>79</v>
      </c>
      <c r="F59" s="70">
        <f>_xlfn.RANK.AVG(F8,$C$19:$G$30:$C$3:$G$13:$C$36:$G$49,1)</f>
        <v>97</v>
      </c>
      <c r="G59" s="42">
        <f>_xlfn.RANK.AVG(G8,$C$19:$G$30:$C$3:$G$13:$C$36:$G$49,1)</f>
        <v>180.5</v>
      </c>
      <c r="J59" s="43">
        <f>_xlfn.RANK.AVG(J8,$J$19:$N$30:$J$3:$N$13:$J$36:$N$49,1)</f>
        <v>6.5</v>
      </c>
      <c r="K59" s="43">
        <f>_xlfn.RANK.AVG(K8,$J$19:$N$30:$J$3:$N$13:$J$36:$N$49,1)</f>
        <v>80.5</v>
      </c>
      <c r="L59" s="43">
        <f>_xlfn.RANK.AVG(L8,$J$19:$N$30:$J$3:$N$13:$J$36:$N$49,1)</f>
        <v>133.5</v>
      </c>
      <c r="M59" s="43">
        <f>_xlfn.RANK.AVG(M8,$J$19:$N$30:$J$3:$N$13:$J$36:$N$49,1)</f>
        <v>118</v>
      </c>
      <c r="N59" s="63">
        <f>_xlfn.RANK.AVG(N8,$J$19:$N$30:$J$3:$N$13:$J$36:$N$49,1)</f>
        <v>118</v>
      </c>
      <c r="Q59" s="70">
        <f>_xlfn.RANK.AVG(Q8,$Q$19:$U$30:$Q$3:$U$13:$Q$36:$U$49,1)</f>
        <v>182</v>
      </c>
      <c r="R59" s="70">
        <f>_xlfn.RANK.AVG(R8,$Q$19:$U$30:$Q$3:$U$13:$Q$36:$U$49,1)</f>
        <v>68.5</v>
      </c>
      <c r="S59" s="70">
        <f>_xlfn.RANK.AVG(S8,$Q$19:$U$30:$Q$3:$U$13:$Q$36:$U$49,1)</f>
        <v>70.5</v>
      </c>
      <c r="T59" s="70">
        <f>_xlfn.RANK.AVG(T8,$Q$19:$U$30:$Q$3:$U$13:$Q$36:$U$49,1)</f>
        <v>126</v>
      </c>
      <c r="U59" s="42">
        <f>_xlfn.RANK.AVG(U8,$Q$19:$U$30:$Q$3:$U$13:$Q$36:$U$49,1)</f>
        <v>120.5</v>
      </c>
    </row>
    <row r="60" spans="1:21">
      <c r="C60" s="70">
        <f>_xlfn.RANK.AVG(C9,$C$19:$G$30:$C$3:$G$13:$C$36:$G$49,1)</f>
        <v>174.5</v>
      </c>
      <c r="D60" s="70">
        <f>_xlfn.RANK.AVG(D9,$C$19:$G$30:$C$3:$G$13:$C$36:$G$49,1)</f>
        <v>97</v>
      </c>
      <c r="E60" s="70">
        <f>_xlfn.RANK.AVG(E9,$C$19:$G$30:$C$3:$G$13:$C$36:$G$49,1)</f>
        <v>141.5</v>
      </c>
      <c r="F60" s="70">
        <f>_xlfn.RANK.AVG(F9,$C$19:$G$30:$C$3:$G$13:$C$36:$G$49,1)</f>
        <v>121</v>
      </c>
      <c r="G60" s="42">
        <f>_xlfn.RANK.AVG(G9,$C$19:$G$30:$C$3:$G$13:$C$36:$G$49,1)</f>
        <v>192</v>
      </c>
      <c r="J60" s="43">
        <f>_xlfn.RANK.AVG(J9,$J$19:$N$30:$J$3:$N$13:$J$36:$N$49,1)</f>
        <v>5</v>
      </c>
      <c r="K60" s="43">
        <f>_xlfn.RANK.AVG(K9,$J$19:$N$30:$J$3:$N$13:$J$36:$N$49,1)</f>
        <v>19</v>
      </c>
      <c r="L60" s="43">
        <f>_xlfn.RANK.AVG(L9,$J$19:$N$30:$J$3:$N$13:$J$36:$N$49,1)</f>
        <v>80.5</v>
      </c>
      <c r="M60" s="43">
        <f>_xlfn.RANK.AVG(M9,$J$19:$N$30:$J$3:$N$13:$J$36:$N$49,1)</f>
        <v>101.5</v>
      </c>
      <c r="N60" s="63">
        <f>_xlfn.RANK.AVG(N9,$J$19:$N$30:$J$3:$N$13:$J$36:$N$49,1)</f>
        <v>139.5</v>
      </c>
      <c r="Q60" s="70">
        <f>_xlfn.RANK.AVG(Q9,$Q$19:$U$30:$Q$3:$U$13:$Q$36:$U$49,1)</f>
        <v>50</v>
      </c>
      <c r="R60" s="70">
        <f>_xlfn.RANK.AVG(R9,$Q$19:$U$30:$Q$3:$U$13:$Q$36:$U$49,1)</f>
        <v>48</v>
      </c>
      <c r="S60" s="70">
        <f>_xlfn.RANK.AVG(S9,$Q$19:$U$30:$Q$3:$U$13:$Q$36:$U$49,1)</f>
        <v>164</v>
      </c>
      <c r="T60" s="70">
        <f>_xlfn.RANK.AVG(T9,$Q$19:$U$30:$Q$3:$U$13:$Q$36:$U$49,1)</f>
        <v>34.5</v>
      </c>
      <c r="U60" s="42">
        <f>_xlfn.RANK.AVG(U9,$Q$19:$U$30:$Q$3:$U$13:$Q$36:$U$49,1)</f>
        <v>159</v>
      </c>
    </row>
    <row r="61" spans="1:21">
      <c r="C61" s="70">
        <f>_xlfn.RANK.AVG(C10,$C$19:$G$30:$C$3:$G$13:$C$36:$G$49,1)</f>
        <v>178.5</v>
      </c>
      <c r="D61" s="70">
        <f>_xlfn.RANK.AVG(D10,$C$19:$G$30:$C$3:$G$13:$C$36:$G$49,1)</f>
        <v>124</v>
      </c>
      <c r="E61" s="70">
        <f>_xlfn.RANK.AVG(E10,$C$19:$G$30:$C$3:$G$13:$C$36:$G$49,1)</f>
        <v>89.5</v>
      </c>
      <c r="F61" s="70">
        <f>_xlfn.RANK.AVG(F10,$C$19:$G$30:$C$3:$G$13:$C$36:$G$49,1)</f>
        <v>131</v>
      </c>
      <c r="G61" s="42">
        <f>_xlfn.RANK.AVG(G10,$C$19:$G$30:$C$3:$G$13:$C$36:$G$49,1)</f>
        <v>186.5</v>
      </c>
      <c r="J61" s="43">
        <f>_xlfn.RANK.AVG(J10,$J$19:$N$30:$J$3:$N$13:$J$36:$N$49,1)</f>
        <v>40.5</v>
      </c>
      <c r="K61" s="43">
        <f>_xlfn.RANK.AVG(K10,$J$19:$N$30:$J$3:$N$13:$J$36:$N$49,1)</f>
        <v>93.5</v>
      </c>
      <c r="L61" s="43">
        <f>_xlfn.RANK.AVG(L10,$J$19:$N$30:$J$3:$N$13:$J$36:$N$49,1)</f>
        <v>151.5</v>
      </c>
      <c r="M61" s="43">
        <f>_xlfn.RANK.AVG(M10,$J$19:$N$30:$J$3:$N$13:$J$36:$N$49,1)</f>
        <v>59.5</v>
      </c>
      <c r="N61" s="63">
        <f>_xlfn.RANK.AVG(N10,$J$19:$N$30:$J$3:$N$13:$J$36:$N$49,1)</f>
        <v>25.5</v>
      </c>
      <c r="Q61" s="70">
        <f>_xlfn.RANK.AVG(Q10,$Q$19:$U$30:$Q$3:$U$13:$Q$36:$U$49,1)</f>
        <v>175</v>
      </c>
      <c r="R61" s="70">
        <f>_xlfn.RANK.AVG(R10,$Q$19:$U$30:$Q$3:$U$13:$Q$36:$U$49,1)</f>
        <v>26</v>
      </c>
      <c r="S61" s="70">
        <f>_xlfn.RANK.AVG(S10,$Q$19:$U$30:$Q$3:$U$13:$Q$36:$U$49,1)</f>
        <v>100.5</v>
      </c>
      <c r="T61" s="70">
        <f>_xlfn.RANK.AVG(T10,$Q$19:$U$30:$Q$3:$U$13:$Q$36:$U$49,1)</f>
        <v>175</v>
      </c>
      <c r="U61" s="42">
        <f>_xlfn.RANK.AVG(U10,$Q$19:$U$30:$Q$3:$U$13:$Q$36:$U$49,1)</f>
        <v>157</v>
      </c>
    </row>
    <row r="62" spans="1:21">
      <c r="C62" s="70">
        <f>_xlfn.RANK.AVG(C11,$C$19:$G$30:$C$3:$G$13:$C$36:$G$49,1)</f>
        <v>166</v>
      </c>
      <c r="D62" s="70">
        <f>_xlfn.RANK.AVG(D11,$C$19:$G$30:$C$3:$G$13:$C$36:$G$49,1)</f>
        <v>141.5</v>
      </c>
      <c r="E62" s="70">
        <f>_xlfn.RANK.AVG(E11,$C$19:$G$30:$C$3:$G$13:$C$36:$G$49,1)</f>
        <v>45</v>
      </c>
      <c r="F62" s="70">
        <f>_xlfn.RANK.AVG(F11,$C$19:$G$30:$C$3:$G$13:$C$36:$G$49,1)</f>
        <v>97</v>
      </c>
      <c r="G62" s="42">
        <f>_xlfn.RANK.AVG(G11,$C$19:$G$30:$C$3:$G$13:$C$36:$G$49,1)</f>
        <v>193</v>
      </c>
      <c r="J62" s="43">
        <f>_xlfn.RANK.AVG(J11,$J$19:$N$30:$J$3:$N$13:$J$36:$N$49,1)</f>
        <v>1</v>
      </c>
      <c r="K62" s="43">
        <f>_xlfn.RANK.AVG(K11,$J$19:$N$30:$J$3:$N$13:$J$36:$N$49,1)</f>
        <v>172.5</v>
      </c>
      <c r="L62" s="43">
        <f>_xlfn.RANK.AVG(L11,$J$19:$N$30:$J$3:$N$13:$J$36:$N$49,1)</f>
        <v>172.5</v>
      </c>
      <c r="M62" s="43">
        <f>_xlfn.RANK.AVG(M11,$J$19:$N$30:$J$3:$N$13:$J$36:$N$49,1)</f>
        <v>40.5</v>
      </c>
      <c r="N62" s="63">
        <f>_xlfn.RANK.AVG(N11,$J$19:$N$30:$J$3:$N$13:$J$36:$N$49,1)</f>
        <v>25.5</v>
      </c>
      <c r="Q62" s="70">
        <f>_xlfn.RANK.AVG(Q11,$Q$19:$U$30:$Q$3:$U$13:$Q$36:$U$49,1)</f>
        <v>195</v>
      </c>
      <c r="R62" s="70">
        <f>_xlfn.RANK.AVG(R11,$Q$19:$U$30:$Q$3:$U$13:$Q$36:$U$49,1)</f>
        <v>189</v>
      </c>
      <c r="S62" s="70">
        <f>_xlfn.RANK.AVG(S11,$Q$19:$U$30:$Q$3:$U$13:$Q$36:$U$49,1)</f>
        <v>81.5</v>
      </c>
      <c r="T62" s="70">
        <f>_xlfn.RANK.AVG(T11,$Q$19:$U$30:$Q$3:$U$13:$Q$36:$U$49,1)</f>
        <v>171.5</v>
      </c>
      <c r="U62" s="42">
        <f>_xlfn.RANK.AVG(U11,$Q$19:$U$30:$Q$3:$U$13:$Q$36:$U$49,1)</f>
        <v>141</v>
      </c>
    </row>
    <row r="63" spans="1:21">
      <c r="C63" s="70">
        <f>_xlfn.RANK.AVG(C12,$C$19:$G$30:$C$3:$G$13:$C$36:$G$49,1)</f>
        <v>185</v>
      </c>
      <c r="D63" s="70">
        <f>_xlfn.RANK.AVG(D12,$C$19:$G$30:$C$3:$G$13:$C$36:$G$49,1)</f>
        <v>42</v>
      </c>
      <c r="E63" s="70">
        <f>_xlfn.RANK.AVG(E12,$C$19:$G$30:$C$3:$G$13:$C$36:$G$49,1)</f>
        <v>65</v>
      </c>
      <c r="F63" s="70">
        <f>_xlfn.RANK.AVG(F12,$C$19:$G$30:$C$3:$G$13:$C$36:$G$49,1)</f>
        <v>153.5</v>
      </c>
      <c r="G63" s="42">
        <f>_xlfn.RANK.AVG(G12,$C$19:$G$30:$C$3:$G$13:$C$36:$G$49,1)</f>
        <v>147</v>
      </c>
      <c r="J63" s="43">
        <f>_xlfn.RANK.AVG(J12,$J$19:$N$30:$J$3:$N$13:$J$36:$N$49,1)</f>
        <v>25.5</v>
      </c>
      <c r="K63" s="43">
        <f>_xlfn.RANK.AVG(K12,$J$19:$N$30:$J$3:$N$13:$J$36:$N$49,1)</f>
        <v>125</v>
      </c>
      <c r="L63" s="43">
        <f>_xlfn.RANK.AVG(L12,$J$19:$N$30:$J$3:$N$13:$J$36:$N$49,1)</f>
        <v>15.5</v>
      </c>
      <c r="M63" s="43">
        <f>_xlfn.RANK.AVG(M12,$J$19:$N$30:$J$3:$N$13:$J$36:$N$49,1)</f>
        <v>125</v>
      </c>
      <c r="N63" s="63">
        <f>_xlfn.RANK.AVG(N12,$J$19:$N$30:$J$3:$N$13:$J$36:$N$49,1)</f>
        <v>189</v>
      </c>
      <c r="Q63" s="70">
        <f>_xlfn.RANK.AVG(Q12,$Q$19:$U$30:$Q$3:$U$13:$Q$36:$U$49,1)</f>
        <v>177</v>
      </c>
      <c r="R63" s="70">
        <f>_xlfn.RANK.AVG(R12,$Q$19:$U$30:$Q$3:$U$13:$Q$36:$U$49,1)</f>
        <v>44</v>
      </c>
      <c r="S63" s="70">
        <f>_xlfn.RANK.AVG(S12,$Q$19:$U$30:$Q$3:$U$13:$Q$36:$U$49,1)</f>
        <v>76</v>
      </c>
      <c r="T63" s="70">
        <f>_xlfn.RANK.AVG(T12,$Q$19:$U$30:$Q$3:$U$13:$Q$36:$U$49,1)</f>
        <v>114.5</v>
      </c>
      <c r="U63" s="42">
        <f>_xlfn.RANK.AVG(U12,$Q$19:$U$30:$Q$3:$U$13:$Q$36:$U$49,1)</f>
        <v>140</v>
      </c>
    </row>
    <row r="64" spans="1:21">
      <c r="C64" s="70">
        <f>_xlfn.RANK.AVG(C13,$C$19:$G$30:$C$3:$G$13:$C$36:$G$49,1)</f>
        <v>189.5</v>
      </c>
      <c r="D64" s="70">
        <f>_xlfn.RANK.AVG(D13,$C$19:$G$30:$C$3:$G$13:$C$36:$G$49,1)</f>
        <v>105.5</v>
      </c>
      <c r="E64" s="70">
        <f>_xlfn.RANK.AVG(E13,$C$19:$G$30:$C$3:$G$13:$C$36:$G$49,1)</f>
        <v>147</v>
      </c>
      <c r="F64" s="70">
        <f>_xlfn.RANK.AVG(F13,$C$19:$G$30:$C$3:$G$13:$C$36:$G$49,1)</f>
        <v>131</v>
      </c>
      <c r="G64" s="42">
        <f>_xlfn.RANK.AVG(G13,$C$19:$G$30:$C$3:$G$13:$C$36:$G$49,1)</f>
        <v>188</v>
      </c>
      <c r="J64" s="43">
        <f>_xlfn.RANK.AVG(J13,$J$19:$N$30:$J$3:$N$13:$J$36:$N$49,1)</f>
        <v>8.5</v>
      </c>
      <c r="K64" s="43">
        <f>_xlfn.RANK.AVG(K13,$J$19:$N$30:$J$3:$N$13:$J$36:$N$49,1)</f>
        <v>25.5</v>
      </c>
      <c r="L64" s="43">
        <f>_xlfn.RANK.AVG(L13,$J$19:$N$30:$J$3:$N$13:$J$36:$N$49,1)</f>
        <v>184</v>
      </c>
      <c r="M64" s="43">
        <f>_xlfn.RANK.AVG(M13,$J$19:$N$30:$J$3:$N$13:$J$36:$N$49,1)</f>
        <v>118</v>
      </c>
      <c r="N64" s="63">
        <f>_xlfn.RANK.AVG(N13,$J$19:$N$30:$J$3:$N$13:$J$36:$N$49,1)</f>
        <v>101.5</v>
      </c>
      <c r="Q64" s="70">
        <f>_xlfn.RANK.AVG(Q13,$Q$19:$U$30:$Q$3:$U$13:$Q$36:$U$49,1)</f>
        <v>133</v>
      </c>
      <c r="R64" s="70">
        <f>_xlfn.RANK.AVG(R13,$Q$19:$U$30:$Q$3:$U$13:$Q$36:$U$49,1)</f>
        <v>13</v>
      </c>
      <c r="S64" s="70">
        <f>_xlfn.RANK.AVG(S13,$Q$19:$U$30:$Q$3:$U$13:$Q$36:$U$49,1)</f>
        <v>185</v>
      </c>
      <c r="T64" s="70">
        <f>_xlfn.RANK.AVG(T13,$Q$19:$U$30:$Q$3:$U$13:$Q$36:$U$49,1)</f>
        <v>148</v>
      </c>
      <c r="U64" s="42">
        <f>_xlfn.RANK.AVG(U13,$Q$19:$U$30:$Q$3:$U$13:$Q$36:$U$49,1)</f>
        <v>118</v>
      </c>
    </row>
    <row r="65" spans="3:21">
      <c r="C65" s="469" t="s">
        <v>176</v>
      </c>
      <c r="D65" s="470"/>
      <c r="E65" s="470"/>
      <c r="F65" s="470"/>
      <c r="G65" s="471"/>
      <c r="J65" s="492" t="s">
        <v>176</v>
      </c>
      <c r="K65" s="493"/>
      <c r="L65" s="493"/>
      <c r="M65" s="493"/>
      <c r="N65" s="494"/>
      <c r="Q65" s="469" t="s">
        <v>176</v>
      </c>
      <c r="R65" s="470"/>
      <c r="S65" s="470"/>
      <c r="T65" s="470"/>
      <c r="U65" s="471"/>
    </row>
    <row r="66" spans="3:21">
      <c r="C66" s="70">
        <f>_xlfn.RANK.AVG(C19,$C$19:$G$30:$C$3:$G$13:$C$36:$G$49,1)</f>
        <v>17</v>
      </c>
      <c r="D66" s="70">
        <f>_xlfn.RANK.AVG(D19,$C$19:$G$30:$C$3:$G$13:$C$36:$G$49,1)</f>
        <v>57</v>
      </c>
      <c r="E66" s="70">
        <f>_xlfn.RANK.AVG(E19,$C$19:$G$30:$C$3:$G$13:$C$36:$G$49,1)</f>
        <v>134.5</v>
      </c>
      <c r="F66" s="70">
        <f>_xlfn.RANK.AVG(F19,$C$19:$G$30:$C$3:$G$13:$C$36:$G$49,1)</f>
        <v>97</v>
      </c>
      <c r="G66" s="42">
        <f>_xlfn.RANK.AVG(G19,$C$19:$G$30:$C$3:$G$13:$C$36:$G$49,1)</f>
        <v>178.5</v>
      </c>
      <c r="J66" s="43">
        <f>_xlfn.RANK.AVG(J19,$J$19:$N$30:$J$3:$N$13:$J$36:$N$49,1)</f>
        <v>12.5</v>
      </c>
      <c r="K66" s="43">
        <f>_xlfn.RANK.AVG(K19,$J$19:$N$30:$J$3:$N$13:$J$36:$N$49,1)</f>
        <v>34</v>
      </c>
      <c r="L66" s="43">
        <f>_xlfn.RANK.AVG(L19,$J$19:$N$30:$J$3:$N$13:$J$36:$N$49,1)</f>
        <v>65.5</v>
      </c>
      <c r="M66" s="43">
        <f>_xlfn.RANK.AVG(M19,$J$19:$N$30:$J$3:$N$13:$J$36:$N$49,1)</f>
        <v>133.5</v>
      </c>
      <c r="N66" s="63">
        <f>_xlfn.RANK.AVG(N19,$J$19:$N$30:$J$3:$N$13:$J$36:$N$49,1)</f>
        <v>65.5</v>
      </c>
      <c r="Q66" s="70">
        <f>_xlfn.RANK.AVG(Q19,$Q$19:$U$30:$Q$3:$U$13:$Q$36:$U$49,1)</f>
        <v>94</v>
      </c>
      <c r="R66" s="70">
        <f>_xlfn.RANK.AVG(R19,$Q$19:$U$30:$Q$3:$U$13:$Q$36:$U$49,1)</f>
        <v>78</v>
      </c>
      <c r="S66" s="70">
        <f>_xlfn.RANK.AVG(S19,$Q$19:$U$30:$Q$3:$U$13:$Q$36:$U$49,1)</f>
        <v>25</v>
      </c>
      <c r="T66" s="70">
        <f>_xlfn.RANK.AVG(T19,$Q$19:$U$30:$Q$3:$U$13:$Q$36:$U$49,1)</f>
        <v>153</v>
      </c>
      <c r="U66" s="42">
        <f>_xlfn.RANK.AVG(U19,$Q$19:$U$30:$Q$3:$U$13:$Q$36:$U$49,1)</f>
        <v>138</v>
      </c>
    </row>
    <row r="67" spans="3:21">
      <c r="C67" s="70">
        <f>_xlfn.RANK.AVG(C20,$C$19:$G$30:$C$3:$G$13:$C$36:$G$49,1)</f>
        <v>50.5</v>
      </c>
      <c r="D67" s="70">
        <f>_xlfn.RANK.AVG(D20,$C$19:$G$30:$C$3:$G$13:$C$36:$G$49,1)</f>
        <v>79</v>
      </c>
      <c r="E67" s="70">
        <f>_xlfn.RANK.AVG(E20,$C$19:$G$30:$C$3:$G$13:$C$36:$G$49,1)</f>
        <v>17</v>
      </c>
      <c r="F67" s="70">
        <f>_xlfn.RANK.AVG(F20,$C$19:$G$30:$C$3:$G$13:$C$36:$G$49,1)</f>
        <v>50.5</v>
      </c>
      <c r="G67" s="42">
        <f>_xlfn.RANK.AVG(G20,$C$19:$G$30:$C$3:$G$13:$C$36:$G$49,1)</f>
        <v>166</v>
      </c>
      <c r="J67" s="43">
        <f>_xlfn.RANK.AVG(J20,$J$19:$N$30:$J$3:$N$13:$J$36:$N$49,1)</f>
        <v>30.5</v>
      </c>
      <c r="K67" s="43">
        <f>_xlfn.RANK.AVG(K20,$J$19:$N$30:$J$3:$N$13:$J$36:$N$49,1)</f>
        <v>15.5</v>
      </c>
      <c r="L67" s="43">
        <f>_xlfn.RANK.AVG(L20,$J$19:$N$30:$J$3:$N$13:$J$36:$N$49,1)</f>
        <v>56</v>
      </c>
      <c r="M67" s="43">
        <f>_xlfn.RANK.AVG(M20,$J$19:$N$30:$J$3:$N$13:$J$36:$N$49,1)</f>
        <v>86</v>
      </c>
      <c r="N67" s="63">
        <f>_xlfn.RANK.AVG(N20,$J$19:$N$30:$J$3:$N$13:$J$36:$N$49,1)</f>
        <v>122.5</v>
      </c>
      <c r="Q67" s="70">
        <f>_xlfn.RANK.AVG(Q20,$Q$19:$U$30:$Q$3:$U$13:$Q$36:$U$49,1)</f>
        <v>20</v>
      </c>
      <c r="R67" s="70">
        <f>_xlfn.RANK.AVG(R20,$Q$19:$U$30:$Q$3:$U$13:$Q$36:$U$49,1)</f>
        <v>152</v>
      </c>
      <c r="S67" s="70">
        <f>_xlfn.RANK.AVG(S20,$Q$19:$U$30:$Q$3:$U$13:$Q$36:$U$49,1)</f>
        <v>188</v>
      </c>
      <c r="T67" s="70">
        <f>_xlfn.RANK.AVG(T20,$Q$19:$U$30:$Q$3:$U$13:$Q$36:$U$49,1)</f>
        <v>36.5</v>
      </c>
      <c r="U67" s="42">
        <f>_xlfn.RANK.AVG(U20,$Q$19:$U$30:$Q$3:$U$13:$Q$36:$U$49,1)</f>
        <v>134.5</v>
      </c>
    </row>
    <row r="68" spans="3:21">
      <c r="C68" s="70">
        <f>_xlfn.RANK.AVG(C21,$C$19:$G$30:$C$3:$G$13:$C$36:$G$49,1)</f>
        <v>14</v>
      </c>
      <c r="D68" s="70">
        <f>_xlfn.RANK.AVG(D21,$C$19:$G$30:$C$3:$G$13:$C$36:$G$49,1)</f>
        <v>9.5</v>
      </c>
      <c r="E68" s="70">
        <f>_xlfn.RANK.AVG(E21,$C$19:$G$30:$C$3:$G$13:$C$36:$G$49,1)</f>
        <v>124</v>
      </c>
      <c r="F68" s="70">
        <f>_xlfn.RANK.AVG(F21,$C$19:$G$30:$C$3:$G$13:$C$36:$G$49,1)</f>
        <v>71.5</v>
      </c>
      <c r="G68" s="42">
        <f>_xlfn.RANK.AVG(G21,$C$19:$G$30:$C$3:$G$13:$C$36:$G$49,1)</f>
        <v>180.5</v>
      </c>
      <c r="J68" s="43">
        <f>_xlfn.RANK.AVG(J21,$J$19:$N$30:$J$3:$N$13:$J$36:$N$49,1)</f>
        <v>151.5</v>
      </c>
      <c r="K68" s="43">
        <f>_xlfn.RANK.AVG(K21,$J$19:$N$30:$J$3:$N$13:$J$36:$N$49,1)</f>
        <v>180.5</v>
      </c>
      <c r="L68" s="43">
        <f>_xlfn.RANK.AVG(L21,$J$19:$N$30:$J$3:$N$13:$J$36:$N$49,1)</f>
        <v>194</v>
      </c>
      <c r="M68" s="43">
        <f>_xlfn.RANK.AVG(M21,$J$19:$N$30:$J$3:$N$13:$J$36:$N$49,1)</f>
        <v>193</v>
      </c>
      <c r="N68" s="63">
        <f>_xlfn.RANK.AVG(N21,$J$19:$N$30:$J$3:$N$13:$J$36:$N$49,1)</f>
        <v>187</v>
      </c>
      <c r="Q68" s="70">
        <f>_xlfn.RANK.AVG(Q21,$Q$19:$U$30:$Q$3:$U$13:$Q$36:$U$49,1)</f>
        <v>123</v>
      </c>
      <c r="R68" s="70">
        <f>_xlfn.RANK.AVG(R21,$Q$19:$U$30:$Q$3:$U$13:$Q$36:$U$49,1)</f>
        <v>169.5</v>
      </c>
      <c r="S68" s="70">
        <f>_xlfn.RANK.AVG(S21,$Q$19:$U$30:$Q$3:$U$13:$Q$36:$U$49,1)</f>
        <v>138</v>
      </c>
      <c r="T68" s="70">
        <f>_xlfn.RANK.AVG(T21,$Q$19:$U$30:$Q$3:$U$13:$Q$36:$U$49,1)</f>
        <v>105.5</v>
      </c>
      <c r="U68" s="42">
        <f>_xlfn.RANK.AVG(U21,$Q$19:$U$30:$Q$3:$U$13:$Q$36:$U$49,1)</f>
        <v>183</v>
      </c>
    </row>
    <row r="69" spans="3:21">
      <c r="C69" s="70">
        <f>_xlfn.RANK.AVG(C22,$C$19:$G$30:$C$3:$G$13:$C$36:$G$49,1)</f>
        <v>153.5</v>
      </c>
      <c r="D69" s="70">
        <f>_xlfn.RANK.AVG(D22,$C$19:$G$30:$C$3:$G$13:$C$36:$G$49,1)</f>
        <v>71.5</v>
      </c>
      <c r="E69" s="70">
        <f>_xlfn.RANK.AVG(E22,$C$19:$G$30:$C$3:$G$13:$C$36:$G$49,1)</f>
        <v>57</v>
      </c>
      <c r="F69" s="70">
        <f>_xlfn.RANK.AVG(F22,$C$19:$G$30:$C$3:$G$13:$C$36:$G$49,1)</f>
        <v>105.5</v>
      </c>
      <c r="G69" s="42">
        <f>_xlfn.RANK.AVG(G22,$C$19:$G$30:$C$3:$G$13:$C$36:$G$49,1)</f>
        <v>161.5</v>
      </c>
      <c r="J69" s="43">
        <f>_xlfn.RANK.AVG(J22,$J$19:$N$30:$J$3:$N$13:$J$36:$N$49,1)</f>
        <v>151.5</v>
      </c>
      <c r="K69" s="43">
        <f>_xlfn.RANK.AVG(K22,$J$19:$N$30:$J$3:$N$13:$J$36:$N$49,1)</f>
        <v>22.5</v>
      </c>
      <c r="L69" s="43">
        <f>_xlfn.RANK.AVG(L22,$J$19:$N$30:$J$3:$N$13:$J$36:$N$49,1)</f>
        <v>80.5</v>
      </c>
      <c r="M69" s="43">
        <f>_xlfn.RANK.AVG(M22,$J$19:$N$30:$J$3:$N$13:$J$36:$N$49,1)</f>
        <v>184</v>
      </c>
      <c r="N69" s="63">
        <f>_xlfn.RANK.AVG(N22,$J$19:$N$30:$J$3:$N$13:$J$36:$N$49,1)</f>
        <v>112</v>
      </c>
      <c r="Q69" s="70">
        <f>_xlfn.RANK.AVG(Q22,$Q$19:$U$30:$Q$3:$U$13:$Q$36:$U$49,1)</f>
        <v>143</v>
      </c>
      <c r="R69" s="70">
        <f>_xlfn.RANK.AVG(R22,$Q$19:$U$30:$Q$3:$U$13:$Q$36:$U$49,1)</f>
        <v>184</v>
      </c>
      <c r="S69" s="70">
        <f>_xlfn.RANK.AVG(S22,$Q$19:$U$30:$Q$3:$U$13:$Q$36:$U$49,1)</f>
        <v>32</v>
      </c>
      <c r="T69" s="70">
        <f>_xlfn.RANK.AVG(T22,$Q$19:$U$30:$Q$3:$U$13:$Q$36:$U$49,1)</f>
        <v>108.5</v>
      </c>
      <c r="U69" s="42">
        <f>_xlfn.RANK.AVG(U22,$Q$19:$U$30:$Q$3:$U$13:$Q$36:$U$49,1)</f>
        <v>193</v>
      </c>
    </row>
    <row r="70" spans="3:21">
      <c r="C70" s="70">
        <f>_xlfn.RANK.AVG(C23,$C$19:$G$30:$C$3:$G$13:$C$36:$G$49,1)</f>
        <v>17</v>
      </c>
      <c r="D70" s="70">
        <f>_xlfn.RANK.AVG(D23,$C$19:$G$30:$C$3:$G$13:$C$36:$G$49,1)</f>
        <v>149</v>
      </c>
      <c r="E70" s="70">
        <f>_xlfn.RANK.AVG(E23,$C$19:$G$30:$C$3:$G$13:$C$36:$G$49,1)</f>
        <v>105.5</v>
      </c>
      <c r="F70" s="70">
        <f>_xlfn.RANK.AVG(F23,$C$19:$G$30:$C$3:$G$13:$C$36:$G$49,1)</f>
        <v>89.5</v>
      </c>
      <c r="G70" s="42">
        <f>_xlfn.RANK.AVG(G23,$C$19:$G$30:$C$3:$G$13:$C$36:$G$49,1)</f>
        <v>134.5</v>
      </c>
      <c r="J70" s="43">
        <f>_xlfn.RANK.AVG(J23,$J$19:$N$30:$J$3:$N$13:$J$36:$N$49,1)</f>
        <v>128.5</v>
      </c>
      <c r="K70" s="43">
        <f>_xlfn.RANK.AVG(K23,$J$19:$N$30:$J$3:$N$13:$J$36:$N$49,1)</f>
        <v>192</v>
      </c>
      <c r="L70" s="43">
        <f>_xlfn.RANK.AVG(L23,$J$19:$N$30:$J$3:$N$13:$J$36:$N$49,1)</f>
        <v>177.5</v>
      </c>
      <c r="M70" s="43">
        <f>_xlfn.RANK.AVG(M23,$J$19:$N$30:$J$3:$N$13:$J$36:$N$49,1)</f>
        <v>175.5</v>
      </c>
      <c r="N70" s="63">
        <f>_xlfn.RANK.AVG(N23,$J$19:$N$30:$J$3:$N$13:$J$36:$N$49,1)</f>
        <v>34</v>
      </c>
      <c r="Q70" s="70">
        <f>_xlfn.RANK.AVG(Q23,$Q$19:$U$30:$Q$3:$U$13:$Q$36:$U$49,1)</f>
        <v>84.5</v>
      </c>
      <c r="R70" s="70">
        <f>_xlfn.RANK.AVG(R23,$Q$19:$U$30:$Q$3:$U$13:$Q$36:$U$49,1)</f>
        <v>7</v>
      </c>
      <c r="S70" s="70">
        <f>_xlfn.RANK.AVG(S23,$Q$19:$U$30:$Q$3:$U$13:$Q$36:$U$49,1)</f>
        <v>116</v>
      </c>
      <c r="T70" s="70">
        <f>_xlfn.RANK.AVG(T23,$Q$19:$U$30:$Q$3:$U$13:$Q$36:$U$49,1)</f>
        <v>187</v>
      </c>
      <c r="U70" s="42">
        <f>_xlfn.RANK.AVG(U23,$Q$19:$U$30:$Q$3:$U$13:$Q$36:$U$49,1)</f>
        <v>56.5</v>
      </c>
    </row>
    <row r="71" spans="3:21">
      <c r="C71" s="70">
        <f>_xlfn.RANK.AVG(C24,$C$19:$G$30:$C$3:$G$13:$C$36:$G$49,1)</f>
        <v>105.5</v>
      </c>
      <c r="D71" s="70">
        <f>_xlfn.RANK.AVG(D24,$C$19:$G$30:$C$3:$G$13:$C$36:$G$49,1)</f>
        <v>127.5</v>
      </c>
      <c r="E71" s="70">
        <f>_xlfn.RANK.AVG(E24,$C$19:$G$30:$C$3:$G$13:$C$36:$G$49,1)</f>
        <v>84</v>
      </c>
      <c r="F71" s="70">
        <f>_xlfn.RANK.AVG(F24,$C$19:$G$30:$C$3:$G$13:$C$36:$G$49,1)</f>
        <v>97</v>
      </c>
      <c r="G71" s="42">
        <f>_xlfn.RANK.AVG(G24,$C$19:$G$30:$C$3:$G$13:$C$36:$G$49,1)</f>
        <v>183</v>
      </c>
      <c r="J71" s="43">
        <f>_xlfn.RANK.AVG(J24,$J$19:$N$30:$J$3:$N$13:$J$36:$N$49,1)</f>
        <v>38</v>
      </c>
      <c r="K71" s="43">
        <f>_xlfn.RANK.AVG(K24,$J$19:$N$30:$J$3:$N$13:$J$36:$N$49,1)</f>
        <v>59.5</v>
      </c>
      <c r="L71" s="43">
        <f>_xlfn.RANK.AVG(L24,$J$19:$N$30:$J$3:$N$13:$J$36:$N$49,1)</f>
        <v>86</v>
      </c>
      <c r="M71" s="43">
        <f>_xlfn.RANK.AVG(M24,$J$19:$N$30:$J$3:$N$13:$J$36:$N$49,1)</f>
        <v>128.5</v>
      </c>
      <c r="N71" s="63">
        <f>_xlfn.RANK.AVG(N24,$J$19:$N$30:$J$3:$N$13:$J$36:$N$49,1)</f>
        <v>56</v>
      </c>
      <c r="Q71" s="70">
        <f>_xlfn.RANK.AVG(Q24,$Q$19:$U$30:$Q$3:$U$13:$Q$36:$U$49,1)</f>
        <v>157</v>
      </c>
      <c r="R71" s="70">
        <f>_xlfn.RANK.AVG(R24,$Q$19:$U$30:$Q$3:$U$13:$Q$36:$U$49,1)</f>
        <v>100.5</v>
      </c>
      <c r="S71" s="70">
        <f>_xlfn.RANK.AVG(S24,$Q$19:$U$30:$Q$3:$U$13:$Q$36:$U$49,1)</f>
        <v>103</v>
      </c>
      <c r="T71" s="70">
        <f>_xlfn.RANK.AVG(T24,$Q$19:$U$30:$Q$3:$U$13:$Q$36:$U$49,1)</f>
        <v>14.5</v>
      </c>
      <c r="U71" s="42">
        <f>_xlfn.RANK.AVG(U24,$Q$19:$U$30:$Q$3:$U$13:$Q$36:$U$49,1)</f>
        <v>38</v>
      </c>
    </row>
    <row r="72" spans="3:21">
      <c r="C72" s="70">
        <f>_xlfn.RANK.AVG(C25,$C$19:$G$30:$C$3:$G$13:$C$36:$G$49,1)</f>
        <v>71.5</v>
      </c>
      <c r="D72" s="70">
        <f>_xlfn.RANK.AVG(D25,$C$19:$G$30:$C$3:$G$13:$C$36:$G$49,1)</f>
        <v>157</v>
      </c>
      <c r="E72" s="70">
        <f>_xlfn.RANK.AVG(E25,$C$19:$G$30:$C$3:$G$13:$C$36:$G$49,1)</f>
        <v>141.5</v>
      </c>
      <c r="F72" s="70">
        <f>_xlfn.RANK.AVG(F25,$C$19:$G$30:$C$3:$G$13:$C$36:$G$49,1)</f>
        <v>169.5</v>
      </c>
      <c r="G72" s="42">
        <f>_xlfn.RANK.AVG(G25,$C$19:$G$30:$C$3:$G$13:$C$36:$G$49,1)</f>
        <v>161.5</v>
      </c>
      <c r="J72" s="43">
        <f>_xlfn.RANK.AVG(J25,$J$19:$N$30:$J$3:$N$13:$J$36:$N$49,1)</f>
        <v>59.5</v>
      </c>
      <c r="K72" s="43">
        <f>_xlfn.RANK.AVG(K25,$J$19:$N$30:$J$3:$N$13:$J$36:$N$49,1)</f>
        <v>133.5</v>
      </c>
      <c r="L72" s="43">
        <f>_xlfn.RANK.AVG(L25,$J$19:$N$30:$J$3:$N$13:$J$36:$N$49,1)</f>
        <v>34</v>
      </c>
      <c r="M72" s="43">
        <f>_xlfn.RANK.AVG(M25,$J$19:$N$30:$J$3:$N$13:$J$36:$N$49,1)</f>
        <v>159</v>
      </c>
      <c r="N72" s="63">
        <f>_xlfn.RANK.AVG(N25,$J$19:$N$30:$J$3:$N$13:$J$36:$N$49,1)</f>
        <v>104.5</v>
      </c>
      <c r="Q72" s="70">
        <f>_xlfn.RANK.AVG(Q25,$Q$19:$U$30:$Q$3:$U$13:$Q$36:$U$49,1)</f>
        <v>88.5</v>
      </c>
      <c r="R72" s="70">
        <f>_xlfn.RANK.AVG(R25,$Q$19:$U$30:$Q$3:$U$13:$Q$36:$U$49,1)</f>
        <v>105.5</v>
      </c>
      <c r="S72" s="70">
        <f>_xlfn.RANK.AVG(S25,$Q$19:$U$30:$Q$3:$U$13:$Q$36:$U$49,1)</f>
        <v>72.5</v>
      </c>
      <c r="T72" s="70">
        <f>_xlfn.RANK.AVG(T25,$Q$19:$U$30:$Q$3:$U$13:$Q$36:$U$49,1)</f>
        <v>17</v>
      </c>
      <c r="U72" s="42">
        <f>_xlfn.RANK.AVG(U25,$Q$19:$U$30:$Q$3:$U$13:$Q$36:$U$49,1)</f>
        <v>127.5</v>
      </c>
    </row>
    <row r="73" spans="3:21">
      <c r="C73" s="70">
        <f>_xlfn.RANK.AVG(C26,$C$19:$G$30:$C$3:$G$13:$C$36:$G$49,1)</f>
        <v>112</v>
      </c>
      <c r="D73" s="70">
        <f>_xlfn.RANK.AVG(D26,$C$19:$G$30:$C$3:$G$13:$C$36:$G$49,1)</f>
        <v>9.5</v>
      </c>
      <c r="E73" s="70">
        <f>_xlfn.RANK.AVG(E26,$C$19:$G$30:$C$3:$G$13:$C$36:$G$49,1)</f>
        <v>23</v>
      </c>
      <c r="F73" s="70">
        <f>_xlfn.RANK.AVG(F26,$C$19:$G$30:$C$3:$G$13:$C$36:$G$49,1)</f>
        <v>141.5</v>
      </c>
      <c r="G73" s="42">
        <f>_xlfn.RANK.AVG(G26,$C$19:$G$30:$C$3:$G$13:$C$36:$G$49,1)</f>
        <v>151</v>
      </c>
      <c r="J73" s="43">
        <f>_xlfn.RANK.AVG(J26,$J$19:$N$30:$J$3:$N$13:$J$36:$N$49,1)</f>
        <v>98</v>
      </c>
      <c r="K73" s="43">
        <f>_xlfn.RANK.AVG(K26,$J$19:$N$30:$J$3:$N$13:$J$36:$N$49,1)</f>
        <v>93.5</v>
      </c>
      <c r="L73" s="43">
        <f>_xlfn.RANK.AVG(L26,$J$19:$N$30:$J$3:$N$13:$J$36:$N$49,1)</f>
        <v>12.5</v>
      </c>
      <c r="M73" s="43">
        <f>_xlfn.RANK.AVG(M26,$J$19:$N$30:$J$3:$N$13:$J$36:$N$49,1)</f>
        <v>165.5</v>
      </c>
      <c r="N73" s="63">
        <f>_xlfn.RANK.AVG(N26,$J$19:$N$30:$J$3:$N$13:$J$36:$N$49,1)</f>
        <v>172.5</v>
      </c>
      <c r="Q73" s="70">
        <f>_xlfn.RANK.AVG(Q26,$Q$19:$U$30:$Q$3:$U$13:$Q$36:$U$49,1)</f>
        <v>91.5</v>
      </c>
      <c r="R73" s="70">
        <f>_xlfn.RANK.AVG(R26,$Q$19:$U$30:$Q$3:$U$13:$Q$36:$U$49,1)</f>
        <v>36.5</v>
      </c>
      <c r="S73" s="70">
        <f>_xlfn.RANK.AVG(S26,$Q$19:$U$30:$Q$3:$U$13:$Q$36:$U$49,1)</f>
        <v>52.5</v>
      </c>
      <c r="T73" s="70">
        <f>_xlfn.RANK.AVG(T26,$Q$19:$U$30:$Q$3:$U$13:$Q$36:$U$49,1)</f>
        <v>166</v>
      </c>
      <c r="U73" s="42">
        <f>_xlfn.RANK.AVG(U26,$Q$19:$U$30:$Q$3:$U$13:$Q$36:$U$49,1)</f>
        <v>149.5</v>
      </c>
    </row>
    <row r="74" spans="3:21">
      <c r="C74" s="70">
        <f>_xlfn.RANK.AVG(C27,$C$19:$G$30:$C$3:$G$13:$C$36:$G$49,1)</f>
        <v>119.5</v>
      </c>
      <c r="D74" s="70">
        <f>_xlfn.RANK.AVG(D27,$C$19:$G$30:$C$3:$G$13:$C$36:$G$49,1)</f>
        <v>61.5</v>
      </c>
      <c r="E74" s="70">
        <f>_xlfn.RANK.AVG(E27,$C$19:$G$30:$C$3:$G$13:$C$36:$G$49,1)</f>
        <v>20</v>
      </c>
      <c r="F74" s="70">
        <f>_xlfn.RANK.AVG(F27,$C$19:$G$30:$C$3:$G$13:$C$36:$G$49,1)</f>
        <v>136.5</v>
      </c>
      <c r="G74" s="42">
        <f>_xlfn.RANK.AVG(G27,$C$19:$G$30:$C$3:$G$13:$C$36:$G$49,1)</f>
        <v>151</v>
      </c>
      <c r="J74" s="43">
        <f>_xlfn.RANK.AVG(J27,$J$19:$N$30:$J$3:$N$13:$J$36:$N$49,1)</f>
        <v>22.5</v>
      </c>
      <c r="K74" s="43">
        <f>_xlfn.RANK.AVG(K27,$J$19:$N$30:$J$3:$N$13:$J$36:$N$49,1)</f>
        <v>186</v>
      </c>
      <c r="L74" s="43">
        <f>_xlfn.RANK.AVG(L27,$J$19:$N$30:$J$3:$N$13:$J$36:$N$49,1)</f>
        <v>69</v>
      </c>
      <c r="M74" s="43">
        <f>_xlfn.RANK.AVG(M27,$J$19:$N$30:$J$3:$N$13:$J$36:$N$49,1)</f>
        <v>143</v>
      </c>
      <c r="N74" s="63">
        <f>_xlfn.RANK.AVG(N27,$J$19:$N$30:$J$3:$N$13:$J$36:$N$49,1)</f>
        <v>10</v>
      </c>
      <c r="Q74" s="70">
        <f>_xlfn.RANK.AVG(Q27,$Q$19:$U$30:$Q$3:$U$13:$Q$36:$U$49,1)</f>
        <v>118</v>
      </c>
      <c r="R74" s="70">
        <f>_xlfn.RANK.AVG(R27,$Q$19:$U$30:$Q$3:$U$13:$Q$36:$U$49,1)</f>
        <v>18</v>
      </c>
      <c r="S74" s="70">
        <f>_xlfn.RANK.AVG(S27,$Q$19:$U$30:$Q$3:$U$13:$Q$36:$U$49,1)</f>
        <v>11</v>
      </c>
      <c r="T74" s="70">
        <f>_xlfn.RANK.AVG(T27,$Q$19:$U$30:$Q$3:$U$13:$Q$36:$U$49,1)</f>
        <v>44</v>
      </c>
      <c r="U74" s="42">
        <f>_xlfn.RANK.AVG(U27,$Q$19:$U$30:$Q$3:$U$13:$Q$36:$U$49,1)</f>
        <v>98.5</v>
      </c>
    </row>
    <row r="75" spans="3:21">
      <c r="C75" s="70">
        <f>_xlfn.RANK.AVG(C28,$C$19:$G$30:$C$3:$G$13:$C$36:$G$49,1)</f>
        <v>112</v>
      </c>
      <c r="D75" s="70">
        <f>_xlfn.RANK.AVG(D28,$C$19:$G$30:$C$3:$G$13:$C$36:$G$49,1)</f>
        <v>71.5</v>
      </c>
      <c r="E75" s="70">
        <f>_xlfn.RANK.AVG(E28,$C$19:$G$30:$C$3:$G$13:$C$36:$G$49,1)</f>
        <v>42</v>
      </c>
      <c r="F75" s="70">
        <f>_xlfn.RANK.AVG(F28,$C$19:$G$30:$C$3:$G$13:$C$36:$G$49,1)</f>
        <v>112</v>
      </c>
      <c r="G75" s="42">
        <f>_xlfn.RANK.AVG(G28,$C$19:$G$30:$C$3:$G$13:$C$36:$G$49,1)</f>
        <v>158.5</v>
      </c>
      <c r="J75" s="43">
        <f>_xlfn.RANK.AVG(J28,$J$19:$N$30:$J$3:$N$13:$J$36:$N$49,1)</f>
        <v>151.5</v>
      </c>
      <c r="K75" s="43">
        <f>_xlfn.RANK.AVG(K28,$J$19:$N$30:$J$3:$N$13:$J$36:$N$49,1)</f>
        <v>45.5</v>
      </c>
      <c r="L75" s="43">
        <f>_xlfn.RANK.AVG(L28,$J$19:$N$30:$J$3:$N$13:$J$36:$N$49,1)</f>
        <v>49</v>
      </c>
      <c r="M75" s="43">
        <f>_xlfn.RANK.AVG(M28,$J$19:$N$30:$J$3:$N$13:$J$36:$N$49,1)</f>
        <v>98</v>
      </c>
      <c r="N75" s="63">
        <f>_xlfn.RANK.AVG(N28,$J$19:$N$30:$J$3:$N$13:$J$36:$N$49,1)</f>
        <v>189</v>
      </c>
      <c r="Q75" s="70">
        <f>_xlfn.RANK.AVG(Q28,$Q$19:$U$30:$Q$3:$U$13:$Q$36:$U$49,1)</f>
        <v>120.5</v>
      </c>
      <c r="R75" s="70">
        <f>_xlfn.RANK.AVG(R28,$Q$19:$U$30:$Q$3:$U$13:$Q$36:$U$49,1)</f>
        <v>68.5</v>
      </c>
      <c r="S75" s="70">
        <f>_xlfn.RANK.AVG(S28,$Q$19:$U$30:$Q$3:$U$13:$Q$36:$U$49,1)</f>
        <v>103</v>
      </c>
      <c r="T75" s="70">
        <f>_xlfn.RANK.AVG(T28,$Q$19:$U$30:$Q$3:$U$13:$Q$36:$U$49,1)</f>
        <v>103</v>
      </c>
      <c r="U75" s="42">
        <f>_xlfn.RANK.AVG(U28,$Q$19:$U$30:$Q$3:$U$13:$Q$36:$U$49,1)</f>
        <v>173</v>
      </c>
    </row>
    <row r="76" spans="3:21">
      <c r="C76" s="70">
        <f>_xlfn.RANK.AVG(C29,$C$19:$G$30:$C$3:$G$13:$C$36:$G$49,1)</f>
        <v>50.5</v>
      </c>
      <c r="D76" s="70">
        <f>_xlfn.RANK.AVG(D29,$C$19:$G$30:$C$3:$G$13:$C$36:$G$49,1)</f>
        <v>112</v>
      </c>
      <c r="E76" s="70">
        <f>_xlfn.RANK.AVG(E29,$C$19:$G$30:$C$3:$G$13:$C$36:$G$49,1)</f>
        <v>23</v>
      </c>
      <c r="F76" s="70">
        <f>_xlfn.RANK.AVG(F29,$C$19:$G$30:$C$3:$G$13:$C$36:$G$49,1)</f>
        <v>158.5</v>
      </c>
      <c r="G76" s="42">
        <f>_xlfn.RANK.AVG(G29,$C$19:$G$30:$C$3:$G$13:$C$36:$G$49,1)</f>
        <v>166</v>
      </c>
      <c r="J76" s="43">
        <f>_xlfn.RANK.AVG(J29,$J$19:$N$30:$J$3:$N$13:$J$36:$N$49,1)</f>
        <v>118</v>
      </c>
      <c r="K76" s="43">
        <f>_xlfn.RANK.AVG(K29,$J$19:$N$30:$J$3:$N$13:$J$36:$N$49,1)</f>
        <v>151.5</v>
      </c>
      <c r="L76" s="43">
        <f>_xlfn.RANK.AVG(L29,$J$19:$N$30:$J$3:$N$13:$J$36:$N$49,1)</f>
        <v>59.5</v>
      </c>
      <c r="M76" s="43">
        <f>_xlfn.RANK.AVG(M29,$J$19:$N$30:$J$3:$N$13:$J$36:$N$49,1)</f>
        <v>180.5</v>
      </c>
      <c r="N76" s="63">
        <f>_xlfn.RANK.AVG(N29,$J$19:$N$30:$J$3:$N$13:$J$36:$N$49,1)</f>
        <v>168</v>
      </c>
      <c r="Q76" s="70">
        <f>_xlfn.RANK.AVG(Q29,$Q$19:$U$30:$Q$3:$U$13:$Q$36:$U$49,1)</f>
        <v>22</v>
      </c>
      <c r="R76" s="70">
        <f>_xlfn.RANK.AVG(R29,$Q$19:$U$30:$Q$3:$U$13:$Q$36:$U$49,1)</f>
        <v>88.5</v>
      </c>
      <c r="S76" s="70">
        <f>_xlfn.RANK.AVG(S29,$Q$19:$U$30:$Q$3:$U$13:$Q$36:$U$49,1)</f>
        <v>110</v>
      </c>
      <c r="T76" s="70">
        <f>_xlfn.RANK.AVG(T29,$Q$19:$U$30:$Q$3:$U$13:$Q$36:$U$49,1)</f>
        <v>129</v>
      </c>
      <c r="U76" s="42">
        <f>_xlfn.RANK.AVG(U29,$Q$19:$U$30:$Q$3:$U$13:$Q$36:$U$49,1)</f>
        <v>58.5</v>
      </c>
    </row>
    <row r="77" spans="3:21">
      <c r="C77" s="70">
        <f>_xlfn.RANK.AVG(C30,$C$19:$G$30:$C$3:$G$13:$C$36:$G$49,1)</f>
        <v>50.5</v>
      </c>
      <c r="D77" s="70">
        <f>_xlfn.RANK.AVG(D30,$C$19:$G$30:$C$3:$G$13:$C$36:$G$49,1)</f>
        <v>112</v>
      </c>
      <c r="E77" s="70">
        <f>_xlfn.RANK.AVG(E30,$C$19:$G$30:$C$3:$G$13:$C$36:$G$49,1)</f>
        <v>84</v>
      </c>
      <c r="F77" s="70">
        <f>_xlfn.RANK.AVG(F30,$C$19:$G$30:$C$3:$G$13:$C$36:$G$49,1)</f>
        <v>84</v>
      </c>
      <c r="G77" s="42">
        <f>_xlfn.RANK.AVG(G30,$C$19:$G$30:$C$3:$G$13:$C$36:$G$49,1)</f>
        <v>166</v>
      </c>
      <c r="J77" s="43">
        <f>_xlfn.RANK.AVG(J30,$J$19:$N$30:$J$3:$N$13:$J$36:$N$49,1)</f>
        <v>112</v>
      </c>
      <c r="K77" s="43">
        <f>_xlfn.RANK.AVG(K30,$J$19:$N$30:$J$3:$N$13:$J$36:$N$49,1)</f>
        <v>89</v>
      </c>
      <c r="L77" s="43">
        <f>_xlfn.RANK.AVG(L30,$J$19:$N$30:$J$3:$N$13:$J$36:$N$49,1)</f>
        <v>180.5</v>
      </c>
      <c r="M77" s="43">
        <f>_xlfn.RANK.AVG(M30,$J$19:$N$30:$J$3:$N$13:$J$36:$N$49,1)</f>
        <v>163.5</v>
      </c>
      <c r="N77" s="63">
        <f>_xlfn.RANK.AVG(N30,$J$19:$N$30:$J$3:$N$13:$J$36:$N$49,1)</f>
        <v>143</v>
      </c>
      <c r="Q77" s="70">
        <f>_xlfn.RANK.AVG(Q30,$Q$19:$U$30:$Q$3:$U$13:$Q$36:$U$49,1)</f>
        <v>90</v>
      </c>
      <c r="R77" s="70">
        <f>_xlfn.RANK.AVG(R30,$Q$19:$U$30:$Q$3:$U$13:$Q$36:$U$49,1)</f>
        <v>146.5</v>
      </c>
      <c r="S77" s="70">
        <f>_xlfn.RANK.AVG(S30,$Q$19:$U$30:$Q$3:$U$13:$Q$36:$U$49,1)</f>
        <v>5</v>
      </c>
      <c r="T77" s="70">
        <f>_xlfn.RANK.AVG(T30,$Q$19:$U$30:$Q$3:$U$13:$Q$36:$U$49,1)</f>
        <v>124.5</v>
      </c>
      <c r="U77" s="42">
        <f>_xlfn.RANK.AVG(U30,$Q$19:$U$30:$Q$3:$U$13:$Q$36:$U$49,1)</f>
        <v>190</v>
      </c>
    </row>
    <row r="78" spans="3:21">
      <c r="C78" s="469" t="s">
        <v>205</v>
      </c>
      <c r="D78" s="470"/>
      <c r="E78" s="470"/>
      <c r="F78" s="470"/>
      <c r="G78" s="471"/>
      <c r="J78" s="492" t="s">
        <v>205</v>
      </c>
      <c r="K78" s="493"/>
      <c r="L78" s="493"/>
      <c r="M78" s="493"/>
      <c r="N78" s="494"/>
      <c r="Q78" s="469" t="s">
        <v>205</v>
      </c>
      <c r="R78" s="470"/>
      <c r="S78" s="470"/>
      <c r="T78" s="470"/>
      <c r="U78" s="471"/>
    </row>
    <row r="79" spans="3:21">
      <c r="C79" s="70">
        <f>_xlfn.RANK.AVG(C36,$C$19:$G$30:$C$3:$G$13:$C$36:$G$49,1)</f>
        <v>1.5</v>
      </c>
      <c r="D79" s="70">
        <f>_xlfn.RANK.AVG(D36,$C$19:$G$30:$C$3:$G$13:$C$36:$G$49,1)</f>
        <v>33</v>
      </c>
      <c r="E79" s="70">
        <f>_xlfn.RANK.AVG(E36,$C$19:$G$30:$C$3:$G$13:$C$36:$G$49,1)</f>
        <v>84</v>
      </c>
      <c r="F79" s="70">
        <f>_xlfn.RANK.AVG(F36,$C$19:$G$30:$C$3:$G$13:$C$36:$G$49,1)</f>
        <v>97</v>
      </c>
      <c r="G79" s="42">
        <f>_xlfn.RANK.AVG(G36,$C$19:$G$30:$C$3:$G$13:$C$36:$G$49,1)</f>
        <v>124</v>
      </c>
      <c r="J79" s="43">
        <f>_xlfn.RANK.AVG(J36,$J$19:$N$30:$J$3:$N$13:$J$36:$N$49,1)</f>
        <v>191</v>
      </c>
      <c r="K79" s="43">
        <f>_xlfn.RANK.AVG(K36,$J$19:$N$30:$J$3:$N$13:$J$36:$N$49,1)</f>
        <v>19</v>
      </c>
      <c r="L79" s="43">
        <f>_xlfn.RANK.AVG(L36,$J$19:$N$30:$J$3:$N$13:$J$36:$N$49,1)</f>
        <v>112</v>
      </c>
      <c r="M79" s="43">
        <f>_xlfn.RANK.AVG(M36,$J$19:$N$30:$J$3:$N$13:$J$36:$N$49,1)</f>
        <v>19</v>
      </c>
      <c r="N79" s="63">
        <f>_xlfn.RANK.AVG(N36,$J$19:$N$30:$J$3:$N$13:$J$36:$N$49,1)</f>
        <v>112</v>
      </c>
      <c r="Q79" s="70">
        <f>_xlfn.RANK.AVG(Q36,$Q$19:$U$30:$Q$3:$U$13:$Q$36:$U$49,1)</f>
        <v>12</v>
      </c>
      <c r="R79" s="70">
        <f>_xlfn.RANK.AVG(R36,$Q$19:$U$30:$Q$3:$U$13:$Q$36:$U$49,1)</f>
        <v>19</v>
      </c>
      <c r="S79" s="70">
        <f>_xlfn.RANK.AVG(S36,$Q$19:$U$30:$Q$3:$U$13:$Q$36:$U$49,1)</f>
        <v>67</v>
      </c>
      <c r="T79" s="70">
        <f>_xlfn.RANK.AVG(T36,$Q$19:$U$30:$Q$3:$U$13:$Q$36:$U$49,1)</f>
        <v>54.5</v>
      </c>
      <c r="U79" s="42">
        <f>_xlfn.RANK.AVG(U36,$Q$19:$U$30:$Q$3:$U$13:$Q$36:$U$49,1)</f>
        <v>74</v>
      </c>
    </row>
    <row r="80" spans="3:21">
      <c r="C80" s="70">
        <f>_xlfn.RANK.AVG(C37,$C$19:$G$30:$C$3:$G$13:$C$36:$G$49,1)</f>
        <v>12.5</v>
      </c>
      <c r="D80" s="70">
        <f>_xlfn.RANK.AVG(D37,$C$19:$G$30:$C$3:$G$13:$C$36:$G$49,1)</f>
        <v>37.5</v>
      </c>
      <c r="E80" s="70">
        <f>_xlfn.RANK.AVG(E37,$C$19:$G$30:$C$3:$G$13:$C$36:$G$49,1)</f>
        <v>50.5</v>
      </c>
      <c r="F80" s="70">
        <f>_xlfn.RANK.AVG(F37,$C$19:$G$30:$C$3:$G$13:$C$36:$G$49,1)</f>
        <v>29</v>
      </c>
      <c r="G80" s="42">
        <f>_xlfn.RANK.AVG(G37,$C$19:$G$30:$C$3:$G$13:$C$36:$G$49,1)</f>
        <v>119.5</v>
      </c>
      <c r="J80" s="43">
        <f>_xlfn.RANK.AVG(J37,$J$19:$N$30:$J$3:$N$13:$J$36:$N$49,1)</f>
        <v>14</v>
      </c>
      <c r="K80" s="43">
        <f>_xlfn.RANK.AVG(K37,$J$19:$N$30:$J$3:$N$13:$J$36:$N$49,1)</f>
        <v>45.5</v>
      </c>
      <c r="L80" s="43">
        <f>_xlfn.RANK.AVG(L37,$J$19:$N$30:$J$3:$N$13:$J$36:$N$49,1)</f>
        <v>128.5</v>
      </c>
      <c r="M80" s="43">
        <f>_xlfn.RANK.AVG(M37,$J$19:$N$30:$J$3:$N$13:$J$36:$N$49,1)</f>
        <v>104.5</v>
      </c>
      <c r="N80" s="63">
        <f>_xlfn.RANK.AVG(N37,$J$19:$N$30:$J$3:$N$13:$J$36:$N$49,1)</f>
        <v>143</v>
      </c>
      <c r="Q80" s="70">
        <f>_xlfn.RANK.AVG(Q37,$Q$19:$U$30:$Q$3:$U$13:$Q$36:$U$49,1)</f>
        <v>39</v>
      </c>
      <c r="R80" s="70">
        <f>_xlfn.RANK.AVG(R37,$Q$19:$U$30:$Q$3:$U$13:$Q$36:$U$49,1)</f>
        <v>47</v>
      </c>
      <c r="S80" s="70">
        <f>_xlfn.RANK.AVG(S37,$Q$19:$U$30:$Q$3:$U$13:$Q$36:$U$49,1)</f>
        <v>49</v>
      </c>
      <c r="T80" s="70">
        <f>_xlfn.RANK.AVG(T37,$Q$19:$U$30:$Q$3:$U$13:$Q$36:$U$49,1)</f>
        <v>21</v>
      </c>
      <c r="U80" s="42">
        <f>_xlfn.RANK.AVG(U37,$Q$19:$U$30:$Q$3:$U$13:$Q$36:$U$49,1)</f>
        <v>86.5</v>
      </c>
    </row>
    <row r="81" spans="2:21">
      <c r="C81" s="70">
        <f>_xlfn.RANK.AVG(C38,$C$19:$G$30:$C$3:$G$13:$C$36:$G$49,1)</f>
        <v>26.5</v>
      </c>
      <c r="D81" s="70">
        <f>_xlfn.RANK.AVG(D38,$C$19:$G$30:$C$3:$G$13:$C$36:$G$49,1)</f>
        <v>71.5</v>
      </c>
      <c r="E81" s="70">
        <f>_xlfn.RANK.AVG(E38,$C$19:$G$30:$C$3:$G$13:$C$36:$G$49,1)</f>
        <v>45</v>
      </c>
      <c r="F81" s="70">
        <f>_xlfn.RANK.AVG(F38,$C$19:$G$30:$C$3:$G$13:$C$36:$G$49,1)</f>
        <v>57</v>
      </c>
      <c r="G81" s="42">
        <f>_xlfn.RANK.AVG(G38,$C$19:$G$30:$C$3:$G$13:$C$36:$G$49,1)</f>
        <v>105.5</v>
      </c>
      <c r="J81" s="43">
        <f>_xlfn.RANK.AVG(J38,$J$19:$N$30:$J$3:$N$13:$J$36:$N$49,1)</f>
        <v>168</v>
      </c>
      <c r="K81" s="43">
        <f>_xlfn.RANK.AVG(K38,$J$19:$N$30:$J$3:$N$13:$J$36:$N$49,1)</f>
        <v>128.5</v>
      </c>
      <c r="L81" s="43">
        <f>_xlfn.RANK.AVG(L38,$J$19:$N$30:$J$3:$N$13:$J$36:$N$49,1)</f>
        <v>159</v>
      </c>
      <c r="M81" s="43">
        <f>_xlfn.RANK.AVG(M38,$J$19:$N$30:$J$3:$N$13:$J$36:$N$49,1)</f>
        <v>133.5</v>
      </c>
      <c r="N81" s="63">
        <f>_xlfn.RANK.AVG(N38,$J$19:$N$30:$J$3:$N$13:$J$36:$N$49,1)</f>
        <v>98</v>
      </c>
      <c r="Q81" s="70">
        <f>_xlfn.RANK.AVG(Q38,$Q$19:$U$30:$Q$3:$U$13:$Q$36:$U$49,1)</f>
        <v>31</v>
      </c>
      <c r="R81" s="70">
        <f>_xlfn.RANK.AVG(R38,$Q$19:$U$30:$Q$3:$U$13:$Q$36:$U$49,1)</f>
        <v>98.5</v>
      </c>
      <c r="S81" s="70">
        <f>_xlfn.RANK.AVG(S38,$Q$19:$U$30:$Q$3:$U$13:$Q$36:$U$49,1)</f>
        <v>51</v>
      </c>
      <c r="T81" s="70">
        <f>_xlfn.RANK.AVG(T38,$Q$19:$U$30:$Q$3:$U$13:$Q$36:$U$49,1)</f>
        <v>134.5</v>
      </c>
      <c r="U81" s="42">
        <f>_xlfn.RANK.AVG(U38,$Q$19:$U$30:$Q$3:$U$13:$Q$36:$U$49,1)</f>
        <v>127.5</v>
      </c>
    </row>
    <row r="82" spans="2:21">
      <c r="C82" s="70">
        <f>_xlfn.RANK.AVG(C39,$C$19:$G$30:$C$3:$G$13:$C$36:$G$49,1)</f>
        <v>4</v>
      </c>
      <c r="D82" s="70">
        <f>_xlfn.RANK.AVG(D39,$C$19:$G$30:$C$3:$G$13:$C$36:$G$49,1)</f>
        <v>65</v>
      </c>
      <c r="E82" s="70">
        <f>_xlfn.RANK.AVG(E39,$C$19:$G$30:$C$3:$G$13:$C$36:$G$49,1)</f>
        <v>97</v>
      </c>
      <c r="F82" s="70">
        <f>_xlfn.RANK.AVG(F39,$C$19:$G$30:$C$3:$G$13:$C$36:$G$49,1)</f>
        <v>141.5</v>
      </c>
      <c r="G82" s="42">
        <f>_xlfn.RANK.AVG(G39,$C$19:$G$30:$C$3:$G$13:$C$36:$G$49,1)</f>
        <v>131</v>
      </c>
      <c r="J82" s="43">
        <f>_xlfn.RANK.AVG(J39,$J$19:$N$30:$J$3:$N$13:$J$36:$N$49,1)</f>
        <v>177.5</v>
      </c>
      <c r="K82" s="43">
        <f>_xlfn.RANK.AVG(K39,$J$19:$N$30:$J$3:$N$13:$J$36:$N$49,1)</f>
        <v>63</v>
      </c>
      <c r="L82" s="43">
        <f>_xlfn.RANK.AVG(L39,$J$19:$N$30:$J$3:$N$13:$J$36:$N$49,1)</f>
        <v>161.5</v>
      </c>
      <c r="M82" s="43">
        <f>_xlfn.RANK.AVG(M39,$J$19:$N$30:$J$3:$N$13:$J$36:$N$49,1)</f>
        <v>73.5</v>
      </c>
      <c r="N82" s="63">
        <f>_xlfn.RANK.AVG(N39,$J$19:$N$30:$J$3:$N$13:$J$36:$N$49,1)</f>
        <v>159</v>
      </c>
      <c r="Q82" s="70">
        <f>_xlfn.RANK.AVG(Q39,$Q$19:$U$30:$Q$3:$U$13:$Q$36:$U$49,1)</f>
        <v>3</v>
      </c>
      <c r="R82" s="70">
        <f>_xlfn.RANK.AVG(R39,$Q$19:$U$30:$Q$3:$U$13:$Q$36:$U$49,1)</f>
        <v>9</v>
      </c>
      <c r="S82" s="70">
        <f>_xlfn.RANK.AVG(S39,$Q$19:$U$30:$Q$3:$U$13:$Q$36:$U$49,1)</f>
        <v>44</v>
      </c>
      <c r="T82" s="70">
        <f>_xlfn.RANK.AVG(T39,$Q$19:$U$30:$Q$3:$U$13:$Q$36:$U$49,1)</f>
        <v>145</v>
      </c>
      <c r="U82" s="42">
        <f>_xlfn.RANK.AVG(U39,$Q$19:$U$30:$Q$3:$U$13:$Q$36:$U$49,1)</f>
        <v>58.5</v>
      </c>
    </row>
    <row r="83" spans="2:21">
      <c r="C83" s="70">
        <f>_xlfn.RANK.AVG(C40,$C$19:$G$30:$C$3:$G$13:$C$36:$G$49,1)</f>
        <v>42</v>
      </c>
      <c r="D83" s="70">
        <f>_xlfn.RANK.AVG(D40,$C$19:$G$30:$C$3:$G$13:$C$36:$G$49,1)</f>
        <v>5</v>
      </c>
      <c r="E83" s="70">
        <f>_xlfn.RANK.AVG(E40,$C$19:$G$30:$C$3:$G$13:$C$36:$G$49,1)</f>
        <v>117</v>
      </c>
      <c r="F83" s="70">
        <f>_xlfn.RANK.AVG(F40,$C$19:$G$30:$C$3:$G$13:$C$36:$G$49,1)</f>
        <v>131</v>
      </c>
      <c r="G83" s="42">
        <f>_xlfn.RANK.AVG(G40,$C$19:$G$30:$C$3:$G$13:$C$36:$G$49,1)</f>
        <v>50.5</v>
      </c>
      <c r="J83" s="43">
        <f>_xlfn.RANK.AVG(J40,$J$19:$N$30:$J$3:$N$13:$J$36:$N$49,1)</f>
        <v>80.5</v>
      </c>
      <c r="K83" s="43">
        <f>_xlfn.RANK.AVG(K40,$J$19:$N$30:$J$3:$N$13:$J$36:$N$49,1)</f>
        <v>112</v>
      </c>
      <c r="L83" s="43">
        <f>_xlfn.RANK.AVG(L40,$J$19:$N$30:$J$3:$N$13:$J$36:$N$49,1)</f>
        <v>175.5</v>
      </c>
      <c r="M83" s="43">
        <f>_xlfn.RANK.AVG(M40,$J$19:$N$30:$J$3:$N$13:$J$36:$N$49,1)</f>
        <v>89</v>
      </c>
      <c r="N83" s="63">
        <f>_xlfn.RANK.AVG(N40,$J$19:$N$30:$J$3:$N$13:$J$36:$N$49,1)</f>
        <v>108</v>
      </c>
      <c r="Q83" s="70">
        <f>_xlfn.RANK.AVG(Q40,$Q$19:$U$30:$Q$3:$U$13:$Q$36:$U$49,1)</f>
        <v>65</v>
      </c>
      <c r="R83" s="70">
        <f>_xlfn.RANK.AVG(R40,$Q$19:$U$30:$Q$3:$U$13:$Q$36:$U$49,1)</f>
        <v>2</v>
      </c>
      <c r="S83" s="70">
        <f>_xlfn.RANK.AVG(S40,$Q$19:$U$30:$Q$3:$U$13:$Q$36:$U$49,1)</f>
        <v>149.5</v>
      </c>
      <c r="T83" s="70">
        <f>_xlfn.RANK.AVG(T40,$Q$19:$U$30:$Q$3:$U$13:$Q$36:$U$49,1)</f>
        <v>28</v>
      </c>
      <c r="U83" s="42">
        <f>_xlfn.RANK.AVG(U40,$Q$19:$U$30:$Q$3:$U$13:$Q$36:$U$49,1)</f>
        <v>65</v>
      </c>
    </row>
    <row r="84" spans="2:21">
      <c r="C84" s="70">
        <f>_xlfn.RANK.AVG(C41,$C$19:$G$30:$C$3:$G$13:$C$36:$G$49,1)</f>
        <v>29</v>
      </c>
      <c r="D84" s="70">
        <f>_xlfn.RANK.AVG(D41,$C$19:$G$30:$C$3:$G$13:$C$36:$G$49,1)</f>
        <v>50.5</v>
      </c>
      <c r="E84" s="70">
        <f>_xlfn.RANK.AVG(E41,$C$19:$G$30:$C$3:$G$13:$C$36:$G$49,1)</f>
        <v>61.5</v>
      </c>
      <c r="F84" s="70">
        <f>_xlfn.RANK.AVG(F41,$C$19:$G$30:$C$3:$G$13:$C$36:$G$49,1)</f>
        <v>177</v>
      </c>
      <c r="G84" s="42">
        <f>_xlfn.RANK.AVG(G41,$C$19:$G$30:$C$3:$G$13:$C$36:$G$49,1)</f>
        <v>171</v>
      </c>
      <c r="J84" s="43">
        <f>_xlfn.RANK.AVG(J41,$J$19:$N$30:$J$3:$N$13:$J$36:$N$49,1)</f>
        <v>73.5</v>
      </c>
      <c r="K84" s="43">
        <f>_xlfn.RANK.AVG(K41,$J$19:$N$30:$J$3:$N$13:$J$36:$N$49,1)</f>
        <v>139.5</v>
      </c>
      <c r="L84" s="43">
        <f>_xlfn.RANK.AVG(L41,$J$19:$N$30:$J$3:$N$13:$J$36:$N$49,1)</f>
        <v>151.5</v>
      </c>
      <c r="M84" s="43">
        <f>_xlfn.RANK.AVG(M41,$J$19:$N$30:$J$3:$N$13:$J$36:$N$49,1)</f>
        <v>143</v>
      </c>
      <c r="N84" s="63">
        <f>_xlfn.RANK.AVG(N41,$J$19:$N$30:$J$3:$N$13:$J$36:$N$49,1)</f>
        <v>73.5</v>
      </c>
      <c r="Q84" s="70">
        <f>_xlfn.RANK.AVG(Q41,$Q$19:$U$30:$Q$3:$U$13:$Q$36:$U$49,1)</f>
        <v>27</v>
      </c>
      <c r="R84" s="70">
        <f>_xlfn.RANK.AVG(R41,$Q$19:$U$30:$Q$3:$U$13:$Q$36:$U$49,1)</f>
        <v>167</v>
      </c>
      <c r="S84" s="70">
        <f>_xlfn.RANK.AVG(S41,$Q$19:$U$30:$Q$3:$U$13:$Q$36:$U$49,1)</f>
        <v>41</v>
      </c>
      <c r="T84" s="70">
        <f>_xlfn.RANK.AVG(T41,$Q$19:$U$30:$Q$3:$U$13:$Q$36:$U$49,1)</f>
        <v>60</v>
      </c>
      <c r="U84" s="42">
        <f>_xlfn.RANK.AVG(U41,$Q$19:$U$30:$Q$3:$U$13:$Q$36:$U$49,1)</f>
        <v>34.5</v>
      </c>
    </row>
    <row r="85" spans="2:21">
      <c r="C85" s="70">
        <f>_xlfn.RANK.AVG(C42,$C$19:$G$30:$C$3:$G$13:$C$36:$G$49,1)</f>
        <v>61.5</v>
      </c>
      <c r="D85" s="70">
        <f>_xlfn.RANK.AVG(D42,$C$19:$G$30:$C$3:$G$13:$C$36:$G$49,1)</f>
        <v>117</v>
      </c>
      <c r="E85" s="70">
        <f>_xlfn.RANK.AVG(E42,$C$19:$G$30:$C$3:$G$13:$C$36:$G$49,1)</f>
        <v>84</v>
      </c>
      <c r="F85" s="70">
        <f>_xlfn.RANK.AVG(F42,$C$19:$G$30:$C$3:$G$13:$C$36:$G$49,1)</f>
        <v>89.5</v>
      </c>
      <c r="G85" s="42">
        <f>_xlfn.RANK.AVG(G42,$C$19:$G$30:$C$3:$G$13:$C$36:$G$49,1)</f>
        <v>141.5</v>
      </c>
      <c r="J85" s="43">
        <f>_xlfn.RANK.AVG(J42,$J$19:$N$30:$J$3:$N$13:$J$36:$N$49,1)</f>
        <v>17</v>
      </c>
      <c r="K85" s="43">
        <f>_xlfn.RANK.AVG(K42,$J$19:$N$30:$J$3:$N$13:$J$36:$N$49,1)</f>
        <v>11</v>
      </c>
      <c r="L85" s="43">
        <f>_xlfn.RANK.AVG(L42,$J$19:$N$30:$J$3:$N$13:$J$36:$N$49,1)</f>
        <v>28.5</v>
      </c>
      <c r="M85" s="43">
        <f>_xlfn.RANK.AVG(M42,$J$19:$N$30:$J$3:$N$13:$J$36:$N$49,1)</f>
        <v>52.5</v>
      </c>
      <c r="N85" s="63">
        <f>_xlfn.RANK.AVG(N42,$J$19:$N$30:$J$3:$N$13:$J$36:$N$49,1)</f>
        <v>80.5</v>
      </c>
      <c r="Q85" s="70">
        <f>_xlfn.RANK.AVG(Q42,$Q$19:$U$30:$Q$3:$U$13:$Q$36:$U$49,1)</f>
        <v>4</v>
      </c>
      <c r="R85" s="70">
        <f>_xlfn.RANK.AVG(R42,$Q$19:$U$30:$Q$3:$U$13:$Q$36:$U$49,1)</f>
        <v>142</v>
      </c>
      <c r="S85" s="70">
        <f>_xlfn.RANK.AVG(S42,$Q$19:$U$30:$Q$3:$U$13:$Q$36:$U$49,1)</f>
        <v>42</v>
      </c>
      <c r="T85" s="70">
        <f>_xlfn.RANK.AVG(T42,$Q$19:$U$30:$Q$3:$U$13:$Q$36:$U$49,1)</f>
        <v>130</v>
      </c>
      <c r="U85" s="42">
        <f>_xlfn.RANK.AVG(U42,$Q$19:$U$30:$Q$3:$U$13:$Q$36:$U$49,1)</f>
        <v>161</v>
      </c>
    </row>
    <row r="86" spans="2:21">
      <c r="C86" s="70">
        <f>_xlfn.RANK.AVG(C43,$C$19:$G$30:$C$3:$G$13:$C$36:$G$49,1)</f>
        <v>40</v>
      </c>
      <c r="D86" s="70">
        <f>_xlfn.RANK.AVG(D43,$C$19:$G$30:$C$3:$G$13:$C$36:$G$49,1)</f>
        <v>23</v>
      </c>
      <c r="E86" s="70">
        <f>_xlfn.RANK.AVG(E43,$C$19:$G$30:$C$3:$G$13:$C$36:$G$49,1)</f>
        <v>37.5</v>
      </c>
      <c r="F86" s="70">
        <f>_xlfn.RANK.AVG(F43,$C$19:$G$30:$C$3:$G$13:$C$36:$G$49,1)</f>
        <v>45</v>
      </c>
      <c r="G86" s="42">
        <f>_xlfn.RANK.AVG(G43,$C$19:$G$30:$C$3:$G$13:$C$36:$G$49,1)</f>
        <v>65</v>
      </c>
      <c r="J86" s="43">
        <f>_xlfn.RANK.AVG(J43,$J$19:$N$30:$J$3:$N$13:$J$36:$N$49,1)</f>
        <v>170</v>
      </c>
      <c r="K86" s="43">
        <f>_xlfn.RANK.AVG(K43,$J$19:$N$30:$J$3:$N$13:$J$36:$N$49,1)</f>
        <v>49</v>
      </c>
      <c r="L86" s="43">
        <f>_xlfn.RANK.AVG(L43,$J$19:$N$30:$J$3:$N$13:$J$36:$N$49,1)</f>
        <v>151.5</v>
      </c>
      <c r="M86" s="43">
        <f>_xlfn.RANK.AVG(M43,$J$19:$N$30:$J$3:$N$13:$J$36:$N$49,1)</f>
        <v>89</v>
      </c>
      <c r="N86" s="63">
        <f>_xlfn.RANK.AVG(N43,$J$19:$N$30:$J$3:$N$13:$J$36:$N$49,1)</f>
        <v>118</v>
      </c>
      <c r="Q86" s="70">
        <f>_xlfn.RANK.AVG(Q43,$Q$19:$U$30:$Q$3:$U$13:$Q$36:$U$49,1)</f>
        <v>14.5</v>
      </c>
      <c r="R86" s="70">
        <f>_xlfn.RANK.AVG(R43,$Q$19:$U$30:$Q$3:$U$13:$Q$36:$U$49,1)</f>
        <v>10</v>
      </c>
      <c r="S86" s="70">
        <f>_xlfn.RANK.AVG(S43,$Q$19:$U$30:$Q$3:$U$13:$Q$36:$U$49,1)</f>
        <v>33</v>
      </c>
      <c r="T86" s="70">
        <f>_xlfn.RANK.AVG(T43,$Q$19:$U$30:$Q$3:$U$13:$Q$36:$U$49,1)</f>
        <v>108.5</v>
      </c>
      <c r="U86" s="42">
        <f>_xlfn.RANK.AVG(U43,$Q$19:$U$30:$Q$3:$U$13:$Q$36:$U$49,1)</f>
        <v>168</v>
      </c>
    </row>
    <row r="87" spans="2:21">
      <c r="C87" s="70">
        <f>_xlfn.RANK.AVG(C44,$C$19:$G$30:$C$3:$G$13:$C$36:$G$49,1)</f>
        <v>1.5</v>
      </c>
      <c r="D87" s="70">
        <f>_xlfn.RANK.AVG(D44,$C$19:$G$30:$C$3:$G$13:$C$36:$G$49,1)</f>
        <v>37.5</v>
      </c>
      <c r="E87" s="70">
        <f>_xlfn.RANK.AVG(E44,$C$19:$G$30:$C$3:$G$13:$C$36:$G$49,1)</f>
        <v>112</v>
      </c>
      <c r="F87" s="70">
        <f>_xlfn.RANK.AVG(F44,$C$19:$G$30:$C$3:$G$13:$C$36:$G$49,1)</f>
        <v>89.5</v>
      </c>
      <c r="G87" s="42">
        <f>_xlfn.RANK.AVG(G44,$C$19:$G$30:$C$3:$G$13:$C$36:$G$49,1)</f>
        <v>136.5</v>
      </c>
      <c r="J87" s="43">
        <f>_xlfn.RANK.AVG(J44,$J$19:$N$30:$J$3:$N$13:$J$36:$N$49,1)</f>
        <v>80.5</v>
      </c>
      <c r="K87" s="43">
        <f>_xlfn.RANK.AVG(K44,$J$19:$N$30:$J$3:$N$13:$J$36:$N$49,1)</f>
        <v>6.5</v>
      </c>
      <c r="L87" s="43">
        <f>_xlfn.RANK.AVG(L44,$J$19:$N$30:$J$3:$N$13:$J$36:$N$49,1)</f>
        <v>195</v>
      </c>
      <c r="M87" s="43">
        <f>_xlfn.RANK.AVG(M44,$J$19:$N$30:$J$3:$N$13:$J$36:$N$49,1)</f>
        <v>133.5</v>
      </c>
      <c r="N87" s="63">
        <f>_xlfn.RANK.AVG(N44,$J$19:$N$30:$J$3:$N$13:$J$36:$N$49,1)</f>
        <v>86</v>
      </c>
      <c r="Q87" s="70">
        <f>_xlfn.RANK.AVG(Q44,$Q$19:$U$30:$Q$3:$U$13:$Q$36:$U$49,1)</f>
        <v>113</v>
      </c>
      <c r="R87" s="70">
        <f>_xlfn.RANK.AVG(R44,$Q$19:$U$30:$Q$3:$U$13:$Q$36:$U$49,1)</f>
        <v>162</v>
      </c>
      <c r="S87" s="70">
        <f>_xlfn.RANK.AVG(S44,$Q$19:$U$30:$Q$3:$U$13:$Q$36:$U$49,1)</f>
        <v>180.5</v>
      </c>
      <c r="T87" s="70">
        <f>_xlfn.RANK.AVG(T44,$Q$19:$U$30:$Q$3:$U$13:$Q$36:$U$49,1)</f>
        <v>23.5</v>
      </c>
      <c r="U87" s="42">
        <f>_xlfn.RANK.AVG(U44,$Q$19:$U$30:$Q$3:$U$13:$Q$36:$U$49,1)</f>
        <v>8</v>
      </c>
    </row>
    <row r="88" spans="2:21">
      <c r="C88" s="70">
        <f>_xlfn.RANK.AVG(C45,$C$19:$G$30:$C$3:$G$13:$C$36:$G$49,1)</f>
        <v>23</v>
      </c>
      <c r="D88" s="70">
        <f>_xlfn.RANK.AVG(D45,$C$19:$G$30:$C$3:$G$13:$C$36:$G$49,1)</f>
        <v>89.5</v>
      </c>
      <c r="E88" s="70">
        <f>_xlfn.RANK.AVG(E45,$C$19:$G$30:$C$3:$G$13:$C$36:$G$49,1)</f>
        <v>12.5</v>
      </c>
      <c r="F88" s="70">
        <f>_xlfn.RANK.AVG(F45,$C$19:$G$30:$C$3:$G$13:$C$36:$G$49,1)</f>
        <v>155.5</v>
      </c>
      <c r="G88" s="42">
        <f>_xlfn.RANK.AVG(G45,$C$19:$G$30:$C$3:$G$13:$C$36:$G$49,1)</f>
        <v>50.5</v>
      </c>
      <c r="J88" s="43">
        <f>_xlfn.RANK.AVG(J45,$J$19:$N$30:$J$3:$N$13:$J$36:$N$49,1)</f>
        <v>80.5</v>
      </c>
      <c r="K88" s="43">
        <f>_xlfn.RANK.AVG(K45,$J$19:$N$30:$J$3:$N$13:$J$36:$N$49,1)</f>
        <v>151.5</v>
      </c>
      <c r="L88" s="43">
        <f>_xlfn.RANK.AVG(L45,$J$19:$N$30:$J$3:$N$13:$J$36:$N$49,1)</f>
        <v>98</v>
      </c>
      <c r="M88" s="43">
        <f>_xlfn.RANK.AVG(M45,$J$19:$N$30:$J$3:$N$13:$J$36:$N$49,1)</f>
        <v>42.5</v>
      </c>
      <c r="N88" s="63">
        <f>_xlfn.RANK.AVG(N45,$J$19:$N$30:$J$3:$N$13:$J$36:$N$49,1)</f>
        <v>143</v>
      </c>
      <c r="Q88" s="70">
        <f>_xlfn.RANK.AVG(Q45,$Q$19:$U$30:$Q$3:$U$13:$Q$36:$U$49,1)</f>
        <v>118</v>
      </c>
      <c r="R88" s="70">
        <f>_xlfn.RANK.AVG(R45,$Q$19:$U$30:$Q$3:$U$13:$Q$36:$U$49,1)</f>
        <v>76</v>
      </c>
      <c r="S88" s="70">
        <f>_xlfn.RANK.AVG(S45,$Q$19:$U$30:$Q$3:$U$13:$Q$36:$U$49,1)</f>
        <v>30</v>
      </c>
      <c r="T88" s="70">
        <f>_xlfn.RANK.AVG(T45,$Q$19:$U$30:$Q$3:$U$13:$Q$36:$U$49,1)</f>
        <v>180.5</v>
      </c>
      <c r="U88" s="42">
        <f>_xlfn.RANK.AVG(U45,$Q$19:$U$30:$Q$3:$U$13:$Q$36:$U$49,1)</f>
        <v>122</v>
      </c>
    </row>
    <row r="89" spans="2:21">
      <c r="C89" s="60">
        <f>_xlfn.RANK.AVG(C46,$C$19:$G$30:$C$3:$G$13:$C$36:$G$49,1)</f>
        <v>9.5</v>
      </c>
      <c r="D89" s="60">
        <f>_xlfn.RANK.AVG(D46,$C$19:$G$30:$C$3:$G$13:$C$36:$G$49,1)</f>
        <v>79</v>
      </c>
      <c r="E89" s="60">
        <f>_xlfn.RANK.AVG(E46,$C$19:$G$30:$C$3:$G$13:$C$36:$G$49,1)</f>
        <v>9.5</v>
      </c>
      <c r="F89" s="60">
        <f>_xlfn.RANK.AVG(F46,$C$19:$G$30:$C$3:$G$13:$C$36:$G$49,1)</f>
        <v>33</v>
      </c>
      <c r="G89" s="337">
        <f>_xlfn.RANK.AVG(G46,$C$19:$G$30:$C$3:$G$13:$C$36:$G$49,1)</f>
        <v>33</v>
      </c>
      <c r="J89" s="43">
        <f>_xlfn.RANK.AVG(J46,$J$19:$N$30:$J$3:$N$13:$J$36:$N$49,1)</f>
        <v>137.5</v>
      </c>
      <c r="K89" s="43">
        <f>_xlfn.RANK.AVG(K46,$J$19:$N$30:$J$3:$N$13:$J$36:$N$49,1)</f>
        <v>93.5</v>
      </c>
      <c r="L89" s="43">
        <f>_xlfn.RANK.AVG(L46,$J$19:$N$30:$J$3:$N$13:$J$36:$N$49,1)</f>
        <v>165.5</v>
      </c>
      <c r="M89" s="43">
        <f>_xlfn.RANK.AVG(M46,$J$19:$N$30:$J$3:$N$13:$J$36:$N$49,1)</f>
        <v>69</v>
      </c>
      <c r="N89" s="63">
        <f>_xlfn.RANK.AVG(N46,$J$19:$N$30:$J$3:$N$13:$J$36:$N$49,1)</f>
        <v>172.5</v>
      </c>
      <c r="Q89" s="70">
        <f>_xlfn.RANK.AVG(Q46,$Q$19:$U$30:$Q$3:$U$13:$Q$36:$U$49,1)</f>
        <v>171.5</v>
      </c>
      <c r="R89" s="70">
        <f>_xlfn.RANK.AVG(R46,$Q$19:$U$30:$Q$3:$U$13:$Q$36:$U$49,1)</f>
        <v>112</v>
      </c>
      <c r="S89" s="70">
        <f>_xlfn.RANK.AVG(S46,$Q$19:$U$30:$Q$3:$U$13:$Q$36:$U$49,1)</f>
        <v>40</v>
      </c>
      <c r="T89" s="70">
        <f>_xlfn.RANK.AVG(T46,$Q$19:$U$30:$Q$3:$U$13:$Q$36:$U$49,1)</f>
        <v>52.5</v>
      </c>
      <c r="U89" s="42">
        <f>_xlfn.RANK.AVG(U46,$Q$19:$U$30:$Q$3:$U$13:$Q$36:$U$49,1)</f>
        <v>84.5</v>
      </c>
    </row>
    <row r="90" spans="2:21">
      <c r="C90" s="70">
        <f>_xlfn.RANK.AVG(C47,$C$19:$G$30:$C$3:$G$13:$C$36:$G$49,1)</f>
        <v>3</v>
      </c>
      <c r="D90" s="70">
        <f>_xlfn.RANK.AVG(D47,$C$19:$G$30:$C$3:$G$13:$C$36:$G$49,1)</f>
        <v>33</v>
      </c>
      <c r="E90" s="70">
        <f>_xlfn.RANK.AVG(E47,$C$19:$G$30:$C$3:$G$13:$C$36:$G$49,1)</f>
        <v>71.5</v>
      </c>
      <c r="F90" s="70">
        <f>_xlfn.RANK.AVG(F47,$C$19:$G$30:$C$3:$G$13:$C$36:$G$49,1)</f>
        <v>71.5</v>
      </c>
      <c r="G90" s="42">
        <f>_xlfn.RANK.AVG(G47,$C$19:$G$30:$C$3:$G$13:$C$36:$G$49,1)</f>
        <v>89.5</v>
      </c>
      <c r="J90" s="43">
        <f>_xlfn.RANK.AVG(J47,$J$19:$N$30:$J$3:$N$13:$J$36:$N$49,1)</f>
        <v>69</v>
      </c>
      <c r="K90" s="43">
        <f>_xlfn.RANK.AVG(K47,$J$19:$N$30:$J$3:$N$13:$J$36:$N$49,1)</f>
        <v>28.5</v>
      </c>
      <c r="L90" s="43">
        <f>_xlfn.RANK.AVG(L47,$J$19:$N$30:$J$3:$N$13:$J$36:$N$49,1)</f>
        <v>168</v>
      </c>
      <c r="M90" s="43">
        <f>_xlfn.RANK.AVG(M47,$J$19:$N$30:$J$3:$N$13:$J$36:$N$49,1)</f>
        <v>137.5</v>
      </c>
      <c r="N90" s="63">
        <f>_xlfn.RANK.AVG(N47,$J$19:$N$30:$J$3:$N$13:$J$36:$N$49,1)</f>
        <v>56</v>
      </c>
      <c r="Q90" s="70">
        <f>_xlfn.RANK.AVG(Q47,$Q$19:$U$30:$Q$3:$U$13:$Q$36:$U$49,1)</f>
        <v>191</v>
      </c>
      <c r="R90" s="70">
        <f>_xlfn.RANK.AVG(R47,$Q$19:$U$30:$Q$3:$U$13:$Q$36:$U$49,1)</f>
        <v>97</v>
      </c>
      <c r="S90" s="70">
        <f>_xlfn.RANK.AVG(S47,$Q$19:$U$30:$Q$3:$U$13:$Q$36:$U$49,1)</f>
        <v>62</v>
      </c>
      <c r="T90" s="70">
        <f>_xlfn.RANK.AVG(T47,$Q$19:$U$30:$Q$3:$U$13:$Q$36:$U$49,1)</f>
        <v>54.5</v>
      </c>
      <c r="U90" s="42">
        <f>_xlfn.RANK.AVG(U47,$Q$19:$U$30:$Q$3:$U$13:$Q$36:$U$49,1)</f>
        <v>151</v>
      </c>
    </row>
    <row r="91" spans="2:21">
      <c r="C91" s="70">
        <f>_xlfn.RANK.AVG(C48,$C$19:$G$30:$C$3:$G$13:$C$36:$G$49,1)</f>
        <v>6.5</v>
      </c>
      <c r="D91" s="70">
        <f>_xlfn.RANK.AVG(D48,$C$19:$G$30:$C$3:$G$13:$C$36:$G$49,1)</f>
        <v>23</v>
      </c>
      <c r="E91" s="70">
        <f>_xlfn.RANK.AVG(E48,$C$19:$G$30:$C$3:$G$13:$C$36:$G$49,1)</f>
        <v>6.5</v>
      </c>
      <c r="F91" s="70">
        <f>_xlfn.RANK.AVG(F48,$C$19:$G$30:$C$3:$G$13:$C$36:$G$49,1)</f>
        <v>147</v>
      </c>
      <c r="G91" s="42">
        <f>_xlfn.RANK.AVG(G48,$C$19:$G$30:$C$3:$G$13:$C$36:$G$49,1)</f>
        <v>169.5</v>
      </c>
      <c r="J91" s="43">
        <f>_xlfn.RANK.AVG(J48,$J$19:$N$30:$J$3:$N$13:$J$36:$N$49,1)</f>
        <v>118</v>
      </c>
      <c r="K91" s="43">
        <f>_xlfn.RANK.AVG(K48,$J$19:$N$30:$J$3:$N$13:$J$36:$N$49,1)</f>
        <v>30.5</v>
      </c>
      <c r="L91" s="43">
        <f>_xlfn.RANK.AVG(L48,$J$19:$N$30:$J$3:$N$13:$J$36:$N$49,1)</f>
        <v>38</v>
      </c>
      <c r="M91" s="43">
        <f>_xlfn.RANK.AVG(M48,$J$19:$N$30:$J$3:$N$13:$J$36:$N$49,1)</f>
        <v>108</v>
      </c>
      <c r="N91" s="63">
        <f>_xlfn.RANK.AVG(N48,$J$19:$N$30:$J$3:$N$13:$J$36:$N$49,1)</f>
        <v>122.5</v>
      </c>
      <c r="Q91" s="70">
        <f>_xlfn.RANK.AVG(Q48,$Q$19:$U$30:$Q$3:$U$13:$Q$36:$U$49,1)</f>
        <v>91.5</v>
      </c>
      <c r="R91" s="70">
        <f>_xlfn.RANK.AVG(R48,$Q$19:$U$30:$Q$3:$U$13:$Q$36:$U$49,1)</f>
        <v>70.5</v>
      </c>
      <c r="S91" s="70">
        <f>_xlfn.RANK.AVG(S48,$Q$19:$U$30:$Q$3:$U$13:$Q$36:$U$49,1)</f>
        <v>62</v>
      </c>
      <c r="T91" s="70">
        <f>_xlfn.RANK.AVG(T48,$Q$19:$U$30:$Q$3:$U$13:$Q$36:$U$49,1)</f>
        <v>76</v>
      </c>
      <c r="U91" s="42">
        <f>_xlfn.RANK.AVG(U48,$Q$19:$U$30:$Q$3:$U$13:$Q$36:$U$49,1)</f>
        <v>144</v>
      </c>
    </row>
    <row r="92" spans="2:21">
      <c r="C92" s="60">
        <f>_xlfn.RANK.AVG(C49,$C$19:$G$30:$C$3:$G$13:$C$36:$G$49,1)</f>
        <v>17</v>
      </c>
      <c r="D92" s="60">
        <f>_xlfn.RANK.AVG(D49,$C$19:$G$30:$C$3:$G$13:$C$36:$G$49,1)</f>
        <v>37.5</v>
      </c>
      <c r="E92" s="60">
        <f>_xlfn.RANK.AVG(E49,$C$19:$G$30:$C$3:$G$13:$C$36:$G$49,1)</f>
        <v>29</v>
      </c>
      <c r="F92" s="60">
        <f>_xlfn.RANK.AVG(F49,$C$19:$G$30:$C$3:$G$13:$C$36:$G$49,1)</f>
        <v>117</v>
      </c>
      <c r="G92" s="337">
        <f>_xlfn.RANK.AVG(G49,$C$19:$G$30:$C$3:$G$13:$C$36:$G$49,1)</f>
        <v>105.5</v>
      </c>
      <c r="J92" s="58">
        <f>_xlfn.RANK.AVG(J49,$J$19:$N$30:$J$3:$N$13:$J$36:$N$49,1)</f>
        <v>108</v>
      </c>
      <c r="K92" s="58">
        <f>_xlfn.RANK.AVG(K49,$J$19:$N$30:$J$3:$N$13:$J$36:$N$49,1)</f>
        <v>98</v>
      </c>
      <c r="L92" s="58">
        <f>_xlfn.RANK.AVG(L49,$J$19:$N$30:$J$3:$N$13:$J$36:$N$49,1)</f>
        <v>125</v>
      </c>
      <c r="M92" s="58">
        <f>_xlfn.RANK.AVG(M49,$J$19:$N$30:$J$3:$N$13:$J$36:$N$49,1)</f>
        <v>73.5</v>
      </c>
      <c r="N92" s="61">
        <f>_xlfn.RANK.AVG(N49,$J$19:$N$30:$J$3:$N$13:$J$36:$N$49,1)</f>
        <v>189</v>
      </c>
      <c r="Q92" s="60">
        <f>_xlfn.RANK.AVG(Q49,$Q$19:$U$30:$Q$3:$U$13:$Q$36:$U$49,1)</f>
        <v>1</v>
      </c>
      <c r="R92" s="60">
        <f>_xlfn.RANK.AVG(R49,$Q$19:$U$30:$Q$3:$U$13:$Q$36:$U$49,1)</f>
        <v>138</v>
      </c>
      <c r="S92" s="60">
        <f>_xlfn.RANK.AVG(S49,$Q$19:$U$30:$Q$3:$U$13:$Q$36:$U$49,1)</f>
        <v>62</v>
      </c>
      <c r="T92" s="60">
        <f>_xlfn.RANK.AVG(T49,$Q$19:$U$30:$Q$3:$U$13:$Q$36:$U$49,1)</f>
        <v>46</v>
      </c>
      <c r="U92" s="337">
        <f>_xlfn.RANK.AVG(U49,$Q$19:$U$30:$Q$3:$U$13:$Q$36:$U$49,1)</f>
        <v>83</v>
      </c>
    </row>
    <row r="94" spans="2:21">
      <c r="C94" s="200" t="s">
        <v>175</v>
      </c>
      <c r="D94" s="336" t="s">
        <v>176</v>
      </c>
      <c r="E94" s="201" t="s">
        <v>205</v>
      </c>
      <c r="J94" s="333" t="s">
        <v>175</v>
      </c>
      <c r="K94" s="334" t="s">
        <v>176</v>
      </c>
      <c r="L94" s="335" t="s">
        <v>205</v>
      </c>
      <c r="Q94" s="200" t="s">
        <v>175</v>
      </c>
      <c r="R94" s="336" t="s">
        <v>176</v>
      </c>
      <c r="S94" s="201" t="s">
        <v>205</v>
      </c>
    </row>
    <row r="95" spans="2:21">
      <c r="B95" s="195" t="s">
        <v>199</v>
      </c>
      <c r="C95" s="203">
        <f>SUM(C54:G64)</f>
        <v>7285.5</v>
      </c>
      <c r="D95" s="203">
        <f>SUM(C66:G77)</f>
        <v>6017</v>
      </c>
      <c r="E95" s="203">
        <f>SUM(C79:G92)</f>
        <v>4670</v>
      </c>
      <c r="F95" s="198"/>
      <c r="G95" s="198"/>
      <c r="I95" s="355" t="s">
        <v>199</v>
      </c>
      <c r="J95" s="340">
        <f>SUM(J54:N64)</f>
        <v>4426</v>
      </c>
      <c r="K95" s="340">
        <f>SUM(J66:N77)</f>
        <v>6515</v>
      </c>
      <c r="L95" s="340">
        <f>SUM(J79:N92)</f>
        <v>7247.5</v>
      </c>
      <c r="M95" s="359"/>
      <c r="N95" s="359"/>
      <c r="P95" s="346" t="s">
        <v>199</v>
      </c>
      <c r="Q95" s="203">
        <f>SUM(Q54:U64)</f>
        <v>6567.5</v>
      </c>
      <c r="R95" s="203">
        <f>SUM(Q66:U77)</f>
        <v>5991</v>
      </c>
      <c r="S95" s="203">
        <f>SUM(Q79:U92)</f>
        <v>5426.5</v>
      </c>
      <c r="T95" s="198"/>
      <c r="U95" s="198"/>
    </row>
    <row r="96" spans="2:21">
      <c r="B96" s="348" t="s">
        <v>200</v>
      </c>
      <c r="C96" s="203">
        <f>COUNT(C54:G64)</f>
        <v>55</v>
      </c>
      <c r="D96" s="203">
        <f>COUNT(C66:G77)</f>
        <v>60</v>
      </c>
      <c r="E96" s="203">
        <f>COUNT(C79:G92)</f>
        <v>70</v>
      </c>
      <c r="F96" s="198"/>
      <c r="G96" s="198"/>
      <c r="I96" s="356" t="s">
        <v>200</v>
      </c>
      <c r="J96" s="340">
        <f>COUNT(J54:N64)</f>
        <v>55</v>
      </c>
      <c r="K96" s="340">
        <f>COUNT(J66:N77)</f>
        <v>60</v>
      </c>
      <c r="L96" s="340">
        <f>COUNT(J79:N92)</f>
        <v>70</v>
      </c>
      <c r="M96" s="359"/>
      <c r="N96" s="359"/>
      <c r="P96" s="347" t="s">
        <v>200</v>
      </c>
      <c r="Q96" s="203">
        <f>COUNT(Q54:U64)</f>
        <v>55</v>
      </c>
      <c r="R96" s="203">
        <f>COUNT(Q66:U77)</f>
        <v>60</v>
      </c>
      <c r="S96" s="203">
        <f>COUNT(Q79:U92)</f>
        <v>70</v>
      </c>
      <c r="T96" s="198"/>
      <c r="U96" s="198"/>
    </row>
    <row r="97" spans="2:21">
      <c r="B97" s="195" t="s">
        <v>201</v>
      </c>
      <c r="C97" s="338">
        <f>C95^2/C96</f>
        <v>965063.82272727275</v>
      </c>
      <c r="D97" s="338">
        <f t="shared" ref="D97:E97" si="9">D95^2/D96</f>
        <v>603404.81666666665</v>
      </c>
      <c r="E97" s="338">
        <f t="shared" si="9"/>
        <v>311555.71428571426</v>
      </c>
      <c r="F97" s="300"/>
      <c r="G97" s="300"/>
      <c r="I97" s="355" t="s">
        <v>201</v>
      </c>
      <c r="J97" s="339">
        <f>J95^2/J96</f>
        <v>356172.29090909089</v>
      </c>
      <c r="K97" s="339">
        <f t="shared" ref="K97:L97" si="10">K95^2/K96</f>
        <v>707420.41666666663</v>
      </c>
      <c r="L97" s="339">
        <f t="shared" si="10"/>
        <v>750375.08928571432</v>
      </c>
      <c r="M97" s="332"/>
      <c r="N97" s="332"/>
      <c r="P97" s="346" t="s">
        <v>201</v>
      </c>
      <c r="Q97" s="338">
        <f>Q95^2/Q96</f>
        <v>784219.20454545459</v>
      </c>
      <c r="R97" s="338">
        <f t="shared" ref="R97:S97" si="11">R95^2/R96</f>
        <v>598201.35</v>
      </c>
      <c r="S97" s="338">
        <f t="shared" si="11"/>
        <v>420670.03214285715</v>
      </c>
      <c r="T97" s="300"/>
      <c r="U97" s="300"/>
    </row>
    <row r="98" spans="2:21">
      <c r="B98" s="193" t="s">
        <v>108</v>
      </c>
      <c r="C98" s="414">
        <f>SUM(C96:E96)</f>
        <v>185</v>
      </c>
      <c r="D98" s="415"/>
      <c r="E98" s="416"/>
      <c r="F98" s="103"/>
      <c r="G98" s="103"/>
      <c r="I98" s="370" t="s">
        <v>108</v>
      </c>
      <c r="J98" s="424">
        <f>SUM(J96:L96)</f>
        <v>185</v>
      </c>
      <c r="K98" s="425"/>
      <c r="L98" s="426"/>
      <c r="M98" s="361"/>
      <c r="N98" s="361"/>
      <c r="P98" s="345" t="s">
        <v>108</v>
      </c>
      <c r="Q98" s="414">
        <f>SUM(Q96:S96)</f>
        <v>185</v>
      </c>
      <c r="R98" s="415"/>
      <c r="S98" s="416"/>
      <c r="T98" s="103"/>
      <c r="U98" s="103"/>
    </row>
    <row r="99" spans="2:21">
      <c r="B99" s="195" t="s">
        <v>202</v>
      </c>
      <c r="C99" s="480">
        <f>12/(C98*(C98+1))*SUM(C97:E97)-3*(C98+1)</f>
        <v>97.631858301535772</v>
      </c>
      <c r="D99" s="481"/>
      <c r="E99" s="482"/>
      <c r="F99" s="302"/>
      <c r="G99" s="302"/>
      <c r="I99" s="355" t="s">
        <v>202</v>
      </c>
      <c r="J99" s="486">
        <f>12/(J98*(J98+1))*SUM(J97:L97)-3*(J98+1)</f>
        <v>74.595569960408739</v>
      </c>
      <c r="K99" s="487"/>
      <c r="L99" s="488"/>
      <c r="M99" s="362"/>
      <c r="N99" s="362"/>
      <c r="P99" s="189" t="s">
        <v>202</v>
      </c>
      <c r="Q99" s="480">
        <f>12/(Q98*(Q98+1))*SUM(Q97:S97)-3*(Q98+1)</f>
        <v>70.802297014232522</v>
      </c>
      <c r="R99" s="481"/>
      <c r="S99" s="482"/>
      <c r="T99" s="365"/>
      <c r="U99" s="365"/>
    </row>
    <row r="100" spans="2:21">
      <c r="B100" s="195" t="s">
        <v>203</v>
      </c>
      <c r="C100" s="458">
        <v>2</v>
      </c>
      <c r="D100" s="459"/>
      <c r="E100" s="460"/>
      <c r="F100" s="197"/>
      <c r="G100" s="197"/>
      <c r="I100" s="355" t="s">
        <v>203</v>
      </c>
      <c r="J100" s="461">
        <v>2</v>
      </c>
      <c r="K100" s="462"/>
      <c r="L100" s="463"/>
      <c r="M100" s="363"/>
      <c r="N100" s="363"/>
      <c r="P100" s="346" t="s">
        <v>203</v>
      </c>
      <c r="Q100" s="458">
        <v>2</v>
      </c>
      <c r="R100" s="459"/>
      <c r="S100" s="460"/>
      <c r="T100" s="197"/>
      <c r="U100" s="197"/>
    </row>
    <row r="101" spans="2:21">
      <c r="B101" s="195" t="s">
        <v>204</v>
      </c>
      <c r="C101" s="483">
        <f>CHIDIST(C99,C100)</f>
        <v>6.3024780359592674E-22</v>
      </c>
      <c r="D101" s="484"/>
      <c r="E101" s="485"/>
      <c r="F101" s="360"/>
      <c r="G101" s="360"/>
      <c r="I101" s="355" t="s">
        <v>204</v>
      </c>
      <c r="J101" s="489">
        <f>CHIDIST(J99,J100)</f>
        <v>6.3354547864701321E-17</v>
      </c>
      <c r="K101" s="490"/>
      <c r="L101" s="491"/>
      <c r="M101" s="364"/>
      <c r="N101" s="364"/>
      <c r="P101" s="346" t="s">
        <v>204</v>
      </c>
      <c r="Q101" s="483">
        <f>CHIDIST(Q99,Q100)</f>
        <v>4.2215948398534485E-16</v>
      </c>
      <c r="R101" s="484"/>
      <c r="S101" s="485"/>
      <c r="T101" s="360"/>
      <c r="U101" s="360"/>
    </row>
    <row r="102" spans="2:21">
      <c r="B102" s="195" t="s">
        <v>107</v>
      </c>
      <c r="C102" s="458">
        <v>0.05</v>
      </c>
      <c r="D102" s="459"/>
      <c r="E102" s="460"/>
      <c r="F102" s="197"/>
      <c r="G102" s="197"/>
      <c r="I102" s="355" t="s">
        <v>107</v>
      </c>
      <c r="J102" s="461">
        <v>0.05</v>
      </c>
      <c r="K102" s="462"/>
      <c r="L102" s="463"/>
      <c r="M102" s="363"/>
      <c r="N102" s="363"/>
      <c r="P102" s="346" t="s">
        <v>107</v>
      </c>
      <c r="Q102" s="458">
        <v>0.05</v>
      </c>
      <c r="R102" s="459"/>
      <c r="S102" s="460"/>
      <c r="T102" s="197"/>
      <c r="U102" s="197"/>
    </row>
    <row r="103" spans="2:21">
      <c r="B103" s="195" t="s">
        <v>177</v>
      </c>
      <c r="C103" s="458" t="str">
        <f>IF(C101&lt;C102, "Yes", "No")</f>
        <v>Yes</v>
      </c>
      <c r="D103" s="459"/>
      <c r="E103" s="460"/>
      <c r="F103" s="197"/>
      <c r="G103" s="197"/>
      <c r="I103" s="355" t="s">
        <v>177</v>
      </c>
      <c r="J103" s="461" t="str">
        <f>IF(J101&lt;J102, "Yes", "No")</f>
        <v>Yes</v>
      </c>
      <c r="K103" s="462"/>
      <c r="L103" s="463"/>
      <c r="M103" s="363"/>
      <c r="N103" s="363"/>
      <c r="P103" s="346" t="s">
        <v>177</v>
      </c>
      <c r="Q103" s="458" t="str">
        <f>IF(Q101&lt;Q102, "Yes", "No")</f>
        <v>Yes</v>
      </c>
      <c r="R103" s="459"/>
      <c r="S103" s="460"/>
      <c r="T103" s="197"/>
      <c r="U103" s="197"/>
    </row>
    <row r="105" spans="2:21">
      <c r="B105" s="203" t="s">
        <v>107</v>
      </c>
      <c r="C105" s="203">
        <v>0.05</v>
      </c>
      <c r="I105" s="340" t="s">
        <v>107</v>
      </c>
      <c r="J105" s="340">
        <v>0.05</v>
      </c>
    </row>
    <row r="106" spans="2:21">
      <c r="B106" s="203" t="s">
        <v>206</v>
      </c>
      <c r="C106" s="203">
        <f>C105/3</f>
        <v>1.6666666666666666E-2</v>
      </c>
      <c r="I106" s="340" t="s">
        <v>206</v>
      </c>
      <c r="J106" s="340">
        <f>J105/3</f>
        <v>1.6666666666666666E-2</v>
      </c>
    </row>
    <row r="108" spans="2:21">
      <c r="C108" s="414" t="s">
        <v>197</v>
      </c>
      <c r="D108" s="415"/>
      <c r="E108" s="415"/>
      <c r="F108" s="415"/>
      <c r="G108" s="416"/>
      <c r="I108" s="424" t="s">
        <v>197</v>
      </c>
      <c r="J108" s="425"/>
      <c r="K108" s="425"/>
      <c r="L108" s="425"/>
      <c r="M108" s="426"/>
      <c r="Q108" s="424" t="s">
        <v>197</v>
      </c>
      <c r="R108" s="425"/>
      <c r="S108" s="425"/>
      <c r="T108" s="425"/>
      <c r="U108" s="426"/>
    </row>
    <row r="109" spans="2:21">
      <c r="C109" s="469" t="s">
        <v>175</v>
      </c>
      <c r="D109" s="470"/>
      <c r="E109" s="470"/>
      <c r="F109" s="470"/>
      <c r="G109" s="471"/>
      <c r="I109" s="469" t="s">
        <v>175</v>
      </c>
      <c r="J109" s="470"/>
      <c r="K109" s="470"/>
      <c r="L109" s="470"/>
      <c r="M109" s="471"/>
      <c r="Q109" s="469" t="s">
        <v>175</v>
      </c>
      <c r="R109" s="470"/>
      <c r="S109" s="470"/>
      <c r="T109" s="470"/>
      <c r="U109" s="471"/>
    </row>
    <row r="110" spans="2:21">
      <c r="C110" s="70">
        <f>_xlfn.RANK.AVG(C3,$C$19:$G$30:$C$3:$G$13,1)</f>
        <v>100.5</v>
      </c>
      <c r="D110" s="70">
        <f>_xlfn.RANK.AVG(D3,$C$19:$G$30:$C$3:$G$13,1)</f>
        <v>43</v>
      </c>
      <c r="E110" s="70">
        <f>_xlfn.RANK.AVG(E3,$C$19:$G$30:$C$3:$G$13,1)</f>
        <v>60.5</v>
      </c>
      <c r="F110" s="70">
        <f>_xlfn.RANK.AVG(F3,$C$19:$G$30:$C$3:$G$13,1)</f>
        <v>89</v>
      </c>
      <c r="G110" s="42">
        <f>_xlfn.RANK.AVG(G3,$C$19:$G$30:$C$3:$G$13,1)</f>
        <v>108</v>
      </c>
      <c r="I110" s="43">
        <f>_xlfn.RANK.AVG(J3,$J$19:$N$30:$J$3:$N$13,1)</f>
        <v>32</v>
      </c>
      <c r="J110" s="43">
        <f>_xlfn.RANK.AVG(K3,$J$19:$N$30:$J$3:$N$13,1)</f>
        <v>4</v>
      </c>
      <c r="K110" s="43">
        <f>_xlfn.RANK.AVG(L3,$J$19:$N$30:$J$3:$N$13,1)</f>
        <v>92</v>
      </c>
      <c r="L110" s="43">
        <f>_xlfn.RANK.AVG(M3,$J$19:$N$30:$J$3:$N$13,1)</f>
        <v>34</v>
      </c>
      <c r="M110" s="63">
        <f>_xlfn.RANK.AVG(N3,$J$19:$N$30:$J$3:$N$13,1)</f>
        <v>55.5</v>
      </c>
      <c r="Q110" s="43">
        <f>_xlfn.RANK.AVG(Q3,$Q$19:$U$30:$Q$3:$U$13,1)</f>
        <v>81.5</v>
      </c>
      <c r="R110" s="43">
        <f>_xlfn.RANK.AVG(R3,$Q$19:$U$30:$Q$3:$U$13,1)</f>
        <v>73</v>
      </c>
      <c r="S110" s="43">
        <f>_xlfn.RANK.AVG(S3,$Q$19:$U$30:$Q$3:$U$13,1)</f>
        <v>7</v>
      </c>
      <c r="T110" s="43">
        <f>_xlfn.RANK.AVG(T3,$Q$19:$U$30:$Q$3:$U$13,1)</f>
        <v>15</v>
      </c>
      <c r="U110" s="63">
        <f>_xlfn.RANK.AVG(U3,$Q$19:$U$30:$Q$3:$U$13,1)</f>
        <v>106</v>
      </c>
    </row>
    <row r="111" spans="2:21">
      <c r="C111" s="70">
        <f>_xlfn.RANK.AVG(C4,$C$19:$G$30:$C$3:$G$13,1)</f>
        <v>119</v>
      </c>
      <c r="D111" s="70">
        <f>_xlfn.RANK.AVG(D4,$C$19:$G$30:$C$3:$G$13,1)</f>
        <v>11</v>
      </c>
      <c r="E111" s="70">
        <f>_xlfn.RANK.AVG(E4,$C$19:$G$30:$C$3:$G$13,1)</f>
        <v>5.5</v>
      </c>
      <c r="F111" s="70">
        <f>_xlfn.RANK.AVG(F4,$C$19:$G$30:$C$3:$G$13,1)</f>
        <v>28</v>
      </c>
      <c r="G111" s="42">
        <f>_xlfn.RANK.AVG(G4,$C$19:$G$30:$C$3:$G$13,1)</f>
        <v>108</v>
      </c>
      <c r="I111" s="43">
        <f>_xlfn.RANK.AVG(J4,$J$19:$N$30:$J$3:$N$13,1)</f>
        <v>25</v>
      </c>
      <c r="J111" s="43">
        <f>_xlfn.RANK.AVG(K4,$J$19:$N$30:$J$3:$N$13,1)</f>
        <v>112</v>
      </c>
      <c r="K111" s="43">
        <f>_xlfn.RANK.AVG(L4,$J$19:$N$30:$J$3:$N$13,1)</f>
        <v>98.5</v>
      </c>
      <c r="L111" s="43">
        <f>_xlfn.RANK.AVG(M4,$J$19:$N$30:$J$3:$N$13,1)</f>
        <v>39</v>
      </c>
      <c r="M111" s="63">
        <f>_xlfn.RANK.AVG(N4,$J$19:$N$30:$J$3:$N$13,1)</f>
        <v>25</v>
      </c>
      <c r="Q111" s="43">
        <f>_xlfn.RANK.AVG(Q4,$Q$19:$U$30:$Q$3:$U$13,1)</f>
        <v>67.5</v>
      </c>
      <c r="R111" s="43">
        <f>_xlfn.RANK.AVG(R4,$Q$19:$U$30:$Q$3:$U$13,1)</f>
        <v>93</v>
      </c>
      <c r="S111" s="43">
        <f>_xlfn.RANK.AVG(S4,$Q$19:$U$30:$Q$3:$U$13,1)</f>
        <v>94</v>
      </c>
      <c r="T111" s="43">
        <f>_xlfn.RANK.AVG(T4,$Q$19:$U$30:$Q$3:$U$13,1)</f>
        <v>88</v>
      </c>
      <c r="U111" s="63">
        <f>_xlfn.RANK.AVG(U4,$Q$19:$U$30:$Q$3:$U$13,1)</f>
        <v>47</v>
      </c>
    </row>
    <row r="112" spans="2:21">
      <c r="C112" s="70">
        <f>_xlfn.RANK.AVG(C5,$C$19:$G$30:$C$3:$G$13,1)</f>
        <v>120</v>
      </c>
      <c r="D112" s="70">
        <f>_xlfn.RANK.AVG(D5,$C$19:$G$30:$C$3:$G$13,1)</f>
        <v>60.5</v>
      </c>
      <c r="E112" s="70">
        <f>_xlfn.RANK.AVG(E5,$C$19:$G$30:$C$3:$G$13,1)</f>
        <v>32.5</v>
      </c>
      <c r="F112" s="70">
        <f>_xlfn.RANK.AVG(F5,$C$19:$G$30:$C$3:$G$13,1)</f>
        <v>73.5</v>
      </c>
      <c r="G112" s="42">
        <f>_xlfn.RANK.AVG(G5,$C$19:$G$30:$C$3:$G$13,1)</f>
        <v>114.5</v>
      </c>
      <c r="I112" s="43">
        <f>_xlfn.RANK.AVG(J5,$J$19:$N$30:$J$3:$N$13,1)</f>
        <v>68.5</v>
      </c>
      <c r="J112" s="43">
        <f>_xlfn.RANK.AVG(K5,$J$19:$N$30:$J$3:$N$13,1)</f>
        <v>108.5</v>
      </c>
      <c r="K112" s="43">
        <f>_xlfn.RANK.AVG(L5,$J$19:$N$30:$J$3:$N$13,1)</f>
        <v>39</v>
      </c>
      <c r="L112" s="43">
        <f>_xlfn.RANK.AVG(M5,$J$19:$N$30:$J$3:$N$13,1)</f>
        <v>34</v>
      </c>
      <c r="M112" s="63">
        <f>_xlfn.RANK.AVG(N5,$J$19:$N$30:$J$3:$N$13,1)</f>
        <v>15</v>
      </c>
      <c r="Q112" s="43">
        <f>_xlfn.RANK.AVG(Q5,$Q$19:$U$30:$Q$3:$U$13,1)</f>
        <v>117</v>
      </c>
      <c r="R112" s="43">
        <f>_xlfn.RANK.AVG(R5,$Q$19:$U$30:$Q$3:$U$13,1)</f>
        <v>58</v>
      </c>
      <c r="S112" s="43">
        <f>_xlfn.RANK.AVG(S5,$Q$19:$U$30:$Q$3:$U$13,1)</f>
        <v>2</v>
      </c>
      <c r="T112" s="43">
        <f>_xlfn.RANK.AVG(T5,$Q$19:$U$30:$Q$3:$U$13,1)</f>
        <v>29</v>
      </c>
      <c r="U112" s="63">
        <f>_xlfn.RANK.AVG(U5,$Q$19:$U$30:$Q$3:$U$13,1)</f>
        <v>112</v>
      </c>
    </row>
    <row r="113" spans="3:21">
      <c r="C113" s="70">
        <f>_xlfn.RANK.AVG(C6,$C$19:$G$30:$C$3:$G$13,1)</f>
        <v>94</v>
      </c>
      <c r="D113" s="70">
        <f>_xlfn.RANK.AVG(D6,$C$19:$G$30:$C$3:$G$13,1)</f>
        <v>63.5</v>
      </c>
      <c r="E113" s="70">
        <f>_xlfn.RANK.AVG(E6,$C$19:$G$30:$C$3:$G$13,1)</f>
        <v>21.5</v>
      </c>
      <c r="F113" s="70">
        <f>_xlfn.RANK.AVG(F6,$C$19:$G$30:$C$3:$G$13,1)</f>
        <v>81</v>
      </c>
      <c r="G113" s="42">
        <f>_xlfn.RANK.AVG(G6,$C$19:$G$30:$C$3:$G$13,1)</f>
        <v>116</v>
      </c>
      <c r="I113" s="43">
        <f>_xlfn.RANK.AVG(J6,$J$19:$N$30:$J$3:$N$13,1)</f>
        <v>2</v>
      </c>
      <c r="J113" s="43">
        <f>_xlfn.RANK.AVG(K6,$J$19:$N$30:$J$3:$N$13,1)</f>
        <v>82.5</v>
      </c>
      <c r="K113" s="43">
        <f>_xlfn.RANK.AVG(L6,$J$19:$N$30:$J$3:$N$13,1)</f>
        <v>92</v>
      </c>
      <c r="L113" s="43">
        <f>_xlfn.RANK.AVG(M6,$J$19:$N$30:$J$3:$N$13,1)</f>
        <v>28.5</v>
      </c>
      <c r="M113" s="63">
        <f>_xlfn.RANK.AVG(N6,$J$19:$N$30:$J$3:$N$13,1)</f>
        <v>47.5</v>
      </c>
      <c r="Q113" s="43">
        <f>_xlfn.RANK.AVG(Q6,$Q$19:$U$30:$Q$3:$U$13,1)</f>
        <v>96</v>
      </c>
      <c r="R113" s="43">
        <f>_xlfn.RANK.AVG(R6,$Q$19:$U$30:$Q$3:$U$13,1)</f>
        <v>72</v>
      </c>
      <c r="S113" s="43">
        <f>_xlfn.RANK.AVG(S6,$Q$19:$U$30:$Q$3:$U$13,1)</f>
        <v>26.5</v>
      </c>
      <c r="T113" s="43">
        <f>_xlfn.RANK.AVG(T6,$Q$19:$U$30:$Q$3:$U$13,1)</f>
        <v>12</v>
      </c>
      <c r="U113" s="63">
        <f>_xlfn.RANK.AVG(U6,$Q$19:$U$30:$Q$3:$U$13,1)</f>
        <v>98.5</v>
      </c>
    </row>
    <row r="114" spans="3:21">
      <c r="C114" s="70">
        <f>_xlfn.RANK.AVG(C7,$C$19:$G$30:$C$3:$G$13,1)</f>
        <v>98</v>
      </c>
      <c r="D114" s="70">
        <f>_xlfn.RANK.AVG(D7,$C$19:$G$30:$C$3:$G$13,1)</f>
        <v>12</v>
      </c>
      <c r="E114" s="70">
        <f>_xlfn.RANK.AVG(E7,$C$19:$G$30:$C$3:$G$13,1)</f>
        <v>53.5</v>
      </c>
      <c r="F114" s="70">
        <f>_xlfn.RANK.AVG(F7,$C$19:$G$30:$C$3:$G$13,1)</f>
        <v>73.5</v>
      </c>
      <c r="G114" s="42">
        <f>_xlfn.RANK.AVG(G7,$C$19:$G$30:$C$3:$G$13,1)</f>
        <v>85</v>
      </c>
      <c r="I114" s="43">
        <f>_xlfn.RANK.AVG(J7,$J$19:$N$30:$J$3:$N$13,1)</f>
        <v>3</v>
      </c>
      <c r="J114" s="43">
        <f>_xlfn.RANK.AVG(K7,$J$19:$N$30:$J$3:$N$13,1)</f>
        <v>47.5</v>
      </c>
      <c r="K114" s="43">
        <f>_xlfn.RANK.AVG(L7,$J$19:$N$30:$J$3:$N$13,1)</f>
        <v>92</v>
      </c>
      <c r="L114" s="43">
        <f>_xlfn.RANK.AVG(M7,$J$19:$N$30:$J$3:$N$13,1)</f>
        <v>36.5</v>
      </c>
      <c r="M114" s="63">
        <f>_xlfn.RANK.AVG(N7,$J$19:$N$30:$J$3:$N$13,1)</f>
        <v>52.5</v>
      </c>
      <c r="Q114" s="43">
        <f>_xlfn.RANK.AVG(Q7,$Q$19:$U$30:$Q$3:$U$13,1)</f>
        <v>107</v>
      </c>
      <c r="R114" s="43">
        <f>_xlfn.RANK.AVG(R7,$Q$19:$U$30:$Q$3:$U$13,1)</f>
        <v>37.5</v>
      </c>
      <c r="S114" s="43">
        <f>_xlfn.RANK.AVG(S7,$Q$19:$U$30:$Q$3:$U$13,1)</f>
        <v>87</v>
      </c>
      <c r="T114" s="43">
        <f>_xlfn.RANK.AVG(T7,$Q$19:$U$30:$Q$3:$U$13,1)</f>
        <v>33.5</v>
      </c>
      <c r="U114" s="63">
        <f>_xlfn.RANK.AVG(U7,$Q$19:$U$30:$Q$3:$U$13,1)</f>
        <v>119</v>
      </c>
    </row>
    <row r="115" spans="3:21">
      <c r="C115" s="70">
        <f>_xlfn.RANK.AVG(C8,$C$19:$G$30:$C$3:$G$13,1)</f>
        <v>100.5</v>
      </c>
      <c r="D115" s="70">
        <f>_xlfn.RANK.AVG(D8,$C$19:$G$30:$C$3:$G$13,1)</f>
        <v>21.5</v>
      </c>
      <c r="E115" s="70">
        <f>_xlfn.RANK.AVG(E8,$C$19:$G$30:$C$3:$G$13,1)</f>
        <v>32.5</v>
      </c>
      <c r="F115" s="70">
        <f>_xlfn.RANK.AVG(F8,$C$19:$G$30:$C$3:$G$13,1)</f>
        <v>43</v>
      </c>
      <c r="G115" s="42">
        <f>_xlfn.RANK.AVG(G8,$C$19:$G$30:$C$3:$G$13,1)</f>
        <v>105.5</v>
      </c>
      <c r="I115" s="43">
        <f>_xlfn.RANK.AVG(J8,$J$19:$N$30:$J$3:$N$13,1)</f>
        <v>6</v>
      </c>
      <c r="J115" s="43">
        <f>_xlfn.RANK.AVG(K8,$J$19:$N$30:$J$3:$N$13,1)</f>
        <v>55.5</v>
      </c>
      <c r="K115" s="43">
        <f>_xlfn.RANK.AVG(L8,$J$19:$N$30:$J$3:$N$13,1)</f>
        <v>82.5</v>
      </c>
      <c r="L115" s="43">
        <f>_xlfn.RANK.AVG(M8,$J$19:$N$30:$J$3:$N$13,1)</f>
        <v>73.5</v>
      </c>
      <c r="M115" s="63">
        <f>_xlfn.RANK.AVG(N8,$J$19:$N$30:$J$3:$N$13,1)</f>
        <v>73.5</v>
      </c>
      <c r="Q115" s="43">
        <f>_xlfn.RANK.AVG(Q8,$Q$19:$U$30:$Q$3:$U$13,1)</f>
        <v>108</v>
      </c>
      <c r="R115" s="43">
        <f>_xlfn.RANK.AVG(R8,$Q$19:$U$30:$Q$3:$U$13,1)</f>
        <v>30.5</v>
      </c>
      <c r="S115" s="43">
        <f>_xlfn.RANK.AVG(S8,$Q$19:$U$30:$Q$3:$U$13,1)</f>
        <v>32</v>
      </c>
      <c r="T115" s="43">
        <f>_xlfn.RANK.AVG(T8,$Q$19:$U$30:$Q$3:$U$13,1)</f>
        <v>69</v>
      </c>
      <c r="U115" s="63">
        <f>_xlfn.RANK.AVG(U8,$Q$19:$U$30:$Q$3:$U$13,1)</f>
        <v>64.5</v>
      </c>
    </row>
    <row r="116" spans="3:21">
      <c r="C116" s="70">
        <f>_xlfn.RANK.AVG(C9,$C$19:$G$30:$C$3:$G$13,1)</f>
        <v>100.5</v>
      </c>
      <c r="D116" s="70">
        <f>_xlfn.RANK.AVG(D9,$C$19:$G$30:$C$3:$G$13,1)</f>
        <v>43</v>
      </c>
      <c r="E116" s="70">
        <f>_xlfn.RANK.AVG(E9,$C$19:$G$30:$C$3:$G$13,1)</f>
        <v>73.5</v>
      </c>
      <c r="F116" s="70">
        <f>_xlfn.RANK.AVG(F9,$C$19:$G$30:$C$3:$G$13,1)</f>
        <v>58</v>
      </c>
      <c r="G116" s="42">
        <f>_xlfn.RANK.AVG(G9,$C$19:$G$30:$C$3:$G$13,1)</f>
        <v>117</v>
      </c>
      <c r="I116" s="43">
        <f>_xlfn.RANK.AVG(J9,$J$19:$N$30:$J$3:$N$13,1)</f>
        <v>5</v>
      </c>
      <c r="J116" s="43">
        <f>_xlfn.RANK.AVG(K9,$J$19:$N$30:$J$3:$N$13,1)</f>
        <v>14</v>
      </c>
      <c r="K116" s="43">
        <f>_xlfn.RANK.AVG(L9,$J$19:$N$30:$J$3:$N$13,1)</f>
        <v>55.5</v>
      </c>
      <c r="L116" s="43">
        <f>_xlfn.RANK.AVG(M9,$J$19:$N$30:$J$3:$N$13,1)</f>
        <v>66.5</v>
      </c>
      <c r="M116" s="63">
        <f>_xlfn.RANK.AVG(N9,$J$19:$N$30:$J$3:$N$13,1)</f>
        <v>85</v>
      </c>
      <c r="Q116" s="43">
        <f>_xlfn.RANK.AVG(Q9,$Q$19:$U$30:$Q$3:$U$13,1)</f>
        <v>24</v>
      </c>
      <c r="R116" s="43">
        <f>_xlfn.RANK.AVG(R9,$Q$19:$U$30:$Q$3:$U$13,1)</f>
        <v>23</v>
      </c>
      <c r="S116" s="43">
        <f>_xlfn.RANK.AVG(S9,$Q$19:$U$30:$Q$3:$U$13,1)</f>
        <v>95</v>
      </c>
      <c r="T116" s="43">
        <f>_xlfn.RANK.AVG(T9,$Q$19:$U$30:$Q$3:$U$13,1)</f>
        <v>17</v>
      </c>
      <c r="U116" s="63">
        <f>_xlfn.RANK.AVG(U9,$Q$19:$U$30:$Q$3:$U$13,1)</f>
        <v>92</v>
      </c>
    </row>
    <row r="117" spans="3:21">
      <c r="C117" s="70">
        <f>_xlfn.RANK.AVG(C10,$C$19:$G$30:$C$3:$G$13,1)</f>
        <v>103.5</v>
      </c>
      <c r="D117" s="70">
        <f>_xlfn.RANK.AVG(D10,$C$19:$G$30:$C$3:$G$13,1)</f>
        <v>60.5</v>
      </c>
      <c r="E117" s="70">
        <f>_xlfn.RANK.AVG(E10,$C$19:$G$30:$C$3:$G$13,1)</f>
        <v>38.5</v>
      </c>
      <c r="F117" s="70">
        <f>_xlfn.RANK.AVG(F10,$C$19:$G$30:$C$3:$G$13,1)</f>
        <v>66</v>
      </c>
      <c r="G117" s="42">
        <f>_xlfn.RANK.AVG(G10,$C$19:$G$30:$C$3:$G$13,1)</f>
        <v>111.5</v>
      </c>
      <c r="I117" s="43">
        <f>_xlfn.RANK.AVG(J10,$J$19:$N$30:$J$3:$N$13,1)</f>
        <v>30.5</v>
      </c>
      <c r="J117" s="43">
        <f>_xlfn.RANK.AVG(K10,$J$19:$N$30:$J$3:$N$13,1)</f>
        <v>62</v>
      </c>
      <c r="K117" s="43">
        <f>_xlfn.RANK.AVG(L10,$J$19:$N$30:$J$3:$N$13,1)</f>
        <v>92</v>
      </c>
      <c r="L117" s="43">
        <f>_xlfn.RANK.AVG(M10,$J$19:$N$30:$J$3:$N$13,1)</f>
        <v>44.5</v>
      </c>
      <c r="M117" s="63">
        <f>_xlfn.RANK.AVG(N10,$J$19:$N$30:$J$3:$N$13,1)</f>
        <v>19.5</v>
      </c>
      <c r="Q117" s="43">
        <f>_xlfn.RANK.AVG(Q10,$Q$19:$U$30:$Q$3:$U$13,1)</f>
        <v>103</v>
      </c>
      <c r="R117" s="43">
        <f>_xlfn.RANK.AVG(R10,$Q$19:$U$30:$Q$3:$U$13,1)</f>
        <v>14</v>
      </c>
      <c r="S117" s="43">
        <f>_xlfn.RANK.AVG(S10,$Q$19:$U$30:$Q$3:$U$13,1)</f>
        <v>49.5</v>
      </c>
      <c r="T117" s="43">
        <f>_xlfn.RANK.AVG(T10,$Q$19:$U$30:$Q$3:$U$13,1)</f>
        <v>103</v>
      </c>
      <c r="U117" s="63">
        <f>_xlfn.RANK.AVG(U10,$Q$19:$U$30:$Q$3:$U$13,1)</f>
        <v>90</v>
      </c>
    </row>
    <row r="118" spans="3:21">
      <c r="C118" s="70">
        <f>_xlfn.RANK.AVG(C11,$C$19:$G$30:$C$3:$G$13,1)</f>
        <v>94</v>
      </c>
      <c r="D118" s="70">
        <f>_xlfn.RANK.AVG(D11,$C$19:$G$30:$C$3:$G$13,1)</f>
        <v>73.5</v>
      </c>
      <c r="E118" s="70">
        <f>_xlfn.RANK.AVG(E11,$C$19:$G$30:$C$3:$G$13,1)</f>
        <v>15</v>
      </c>
      <c r="F118" s="70">
        <f>_xlfn.RANK.AVG(F11,$C$19:$G$30:$C$3:$G$13,1)</f>
        <v>43</v>
      </c>
      <c r="G118" s="42">
        <f>_xlfn.RANK.AVG(G11,$C$19:$G$30:$C$3:$G$13,1)</f>
        <v>118</v>
      </c>
      <c r="I118" s="43">
        <f>_xlfn.RANK.AVG(J11,$J$19:$N$30:$J$3:$N$13,1)</f>
        <v>1</v>
      </c>
      <c r="J118" s="43">
        <f>_xlfn.RANK.AVG(K11,$J$19:$N$30:$J$3:$N$13,1)</f>
        <v>103</v>
      </c>
      <c r="K118" s="43">
        <f>_xlfn.RANK.AVG(L11,$J$19:$N$30:$J$3:$N$13,1)</f>
        <v>103</v>
      </c>
      <c r="L118" s="43">
        <f>_xlfn.RANK.AVG(M11,$J$19:$N$30:$J$3:$N$13,1)</f>
        <v>30.5</v>
      </c>
      <c r="M118" s="63">
        <f>_xlfn.RANK.AVG(N11,$J$19:$N$30:$J$3:$N$13,1)</f>
        <v>19.5</v>
      </c>
      <c r="Q118" s="43">
        <f>_xlfn.RANK.AVG(Q11,$Q$19:$U$30:$Q$3:$U$13,1)</f>
        <v>120</v>
      </c>
      <c r="R118" s="43">
        <f>_xlfn.RANK.AVG(R11,$Q$19:$U$30:$Q$3:$U$13,1)</f>
        <v>115</v>
      </c>
      <c r="S118" s="43">
        <f>_xlfn.RANK.AVG(S11,$Q$19:$U$30:$Q$3:$U$13,1)</f>
        <v>39.5</v>
      </c>
      <c r="T118" s="43">
        <f>_xlfn.RANK.AVG(T11,$Q$19:$U$30:$Q$3:$U$13,1)</f>
        <v>100</v>
      </c>
      <c r="U118" s="63">
        <f>_xlfn.RANK.AVG(U11,$Q$19:$U$30:$Q$3:$U$13,1)</f>
        <v>79</v>
      </c>
    </row>
    <row r="119" spans="3:21">
      <c r="C119" s="70">
        <f>_xlfn.RANK.AVG(C12,$C$19:$G$30:$C$3:$G$13,1)</f>
        <v>110</v>
      </c>
      <c r="D119" s="70">
        <f>_xlfn.RANK.AVG(D12,$C$19:$G$30:$C$3:$G$13,1)</f>
        <v>13.5</v>
      </c>
      <c r="E119" s="70">
        <f>_xlfn.RANK.AVG(E12,$C$19:$G$30:$C$3:$G$13,1)</f>
        <v>25</v>
      </c>
      <c r="F119" s="70">
        <f>_xlfn.RANK.AVG(F12,$C$19:$G$30:$C$3:$G$13,1)</f>
        <v>83.5</v>
      </c>
      <c r="G119" s="42">
        <f>_xlfn.RANK.AVG(G12,$C$19:$G$30:$C$3:$G$13,1)</f>
        <v>77.5</v>
      </c>
      <c r="I119" s="43">
        <f>_xlfn.RANK.AVG(J12,$J$19:$N$30:$J$3:$N$13,1)</f>
        <v>19.5</v>
      </c>
      <c r="J119" s="43">
        <f>_xlfn.RANK.AVG(K12,$J$19:$N$30:$J$3:$N$13,1)</f>
        <v>77.5</v>
      </c>
      <c r="K119" s="43">
        <f>_xlfn.RANK.AVG(L12,$J$19:$N$30:$J$3:$N$13,1)</f>
        <v>12.5</v>
      </c>
      <c r="L119" s="43">
        <f>_xlfn.RANK.AVG(M12,$J$19:$N$30:$J$3:$N$13,1)</f>
        <v>77.5</v>
      </c>
      <c r="M119" s="63">
        <f>_xlfn.RANK.AVG(N12,$J$19:$N$30:$J$3:$N$13,1)</f>
        <v>116.5</v>
      </c>
      <c r="Q119" s="43">
        <f>_xlfn.RANK.AVG(Q12,$Q$19:$U$30:$Q$3:$U$13,1)</f>
        <v>105</v>
      </c>
      <c r="R119" s="43">
        <f>_xlfn.RANK.AVG(R12,$Q$19:$U$30:$Q$3:$U$13,1)</f>
        <v>21.5</v>
      </c>
      <c r="S119" s="43">
        <f>_xlfn.RANK.AVG(S12,$Q$19:$U$30:$Q$3:$U$13,1)</f>
        <v>35</v>
      </c>
      <c r="T119" s="43">
        <f>_xlfn.RANK.AVG(T12,$Q$19:$U$30:$Q$3:$U$13,1)</f>
        <v>59.5</v>
      </c>
      <c r="U119" s="63">
        <f>_xlfn.RANK.AVG(U12,$Q$19:$U$30:$Q$3:$U$13,1)</f>
        <v>78</v>
      </c>
    </row>
    <row r="120" spans="3:21">
      <c r="C120" s="60">
        <f>_xlfn.RANK.AVG(C13,$C$19:$G$30:$C$3:$G$13,1)</f>
        <v>114.5</v>
      </c>
      <c r="D120" s="60">
        <f>_xlfn.RANK.AVG(D13,$C$19:$G$30:$C$3:$G$13,1)</f>
        <v>48.5</v>
      </c>
      <c r="E120" s="60">
        <f>_xlfn.RANK.AVG(E13,$C$19:$G$30:$C$3:$G$13,1)</f>
        <v>77.5</v>
      </c>
      <c r="F120" s="60">
        <f>_xlfn.RANK.AVG(F13,$C$19:$G$30:$C$3:$G$13,1)</f>
        <v>66</v>
      </c>
      <c r="G120" s="337">
        <f>_xlfn.RANK.AVG(G13,$C$19:$G$30:$C$3:$G$13,1)</f>
        <v>113</v>
      </c>
      <c r="I120" s="43">
        <f>_xlfn.RANK.AVG(J13,$J$19:$N$30:$J$3:$N$13,1)</f>
        <v>7.5</v>
      </c>
      <c r="J120" s="43">
        <f>_xlfn.RANK.AVG(K13,$J$19:$N$30:$J$3:$N$13,1)</f>
        <v>19.5</v>
      </c>
      <c r="K120" s="43">
        <f>_xlfn.RANK.AVG(L13,$J$19:$N$30:$J$3:$N$13,1)</f>
        <v>112</v>
      </c>
      <c r="L120" s="43">
        <f>_xlfn.RANK.AVG(M13,$J$19:$N$30:$J$3:$N$13,1)</f>
        <v>73.5</v>
      </c>
      <c r="M120" s="63">
        <f>_xlfn.RANK.AVG(N13,$J$19:$N$30:$J$3:$N$13,1)</f>
        <v>66.5</v>
      </c>
      <c r="Q120" s="43">
        <f>_xlfn.RANK.AVG(Q13,$Q$19:$U$30:$Q$3:$U$13,1)</f>
        <v>74</v>
      </c>
      <c r="R120" s="43">
        <f>_xlfn.RANK.AVG(R13,$Q$19:$U$30:$Q$3:$U$13,1)</f>
        <v>5</v>
      </c>
      <c r="S120" s="43">
        <f>_xlfn.RANK.AVG(S13,$Q$19:$U$30:$Q$3:$U$13,1)</f>
        <v>111</v>
      </c>
      <c r="T120" s="43">
        <f>_xlfn.RANK.AVG(T13,$Q$19:$U$30:$Q$3:$U$13,1)</f>
        <v>83</v>
      </c>
      <c r="U120" s="63">
        <f>_xlfn.RANK.AVG(U13,$Q$19:$U$30:$Q$3:$U$13,1)</f>
        <v>62.5</v>
      </c>
    </row>
    <row r="121" spans="3:21">
      <c r="C121" s="469" t="s">
        <v>176</v>
      </c>
      <c r="D121" s="470"/>
      <c r="E121" s="470"/>
      <c r="F121" s="470"/>
      <c r="G121" s="471"/>
      <c r="I121" s="469" t="s">
        <v>176</v>
      </c>
      <c r="J121" s="470"/>
      <c r="K121" s="470"/>
      <c r="L121" s="470"/>
      <c r="M121" s="471"/>
      <c r="Q121" s="469" t="s">
        <v>176</v>
      </c>
      <c r="R121" s="470"/>
      <c r="S121" s="470"/>
      <c r="T121" s="470"/>
      <c r="U121" s="471"/>
    </row>
    <row r="122" spans="3:21">
      <c r="C122" s="70">
        <f>_xlfn.RANK.AVG(C19,$C$19:$G$30:$C$3:$G$13,1)</f>
        <v>5.5</v>
      </c>
      <c r="D122" s="70">
        <f>_xlfn.RANK.AVG(D19,$C$19:$G$30:$C$3:$G$13,1)</f>
        <v>21.5</v>
      </c>
      <c r="E122" s="70">
        <f>_xlfn.RANK.AVG(E19,$C$19:$G$30:$C$3:$G$13,1)</f>
        <v>68.5</v>
      </c>
      <c r="F122" s="70">
        <f>_xlfn.RANK.AVG(F19,$C$19:$G$30:$C$3:$G$13,1)</f>
        <v>43</v>
      </c>
      <c r="G122" s="42">
        <f>_xlfn.RANK.AVG(G19,$C$19:$G$30:$C$3:$G$13,1)</f>
        <v>103.5</v>
      </c>
      <c r="I122" s="43">
        <f>_xlfn.RANK.AVG(J19,$J$19:$N$30:$J$3:$N$13,1)</f>
        <v>10.5</v>
      </c>
      <c r="J122" s="43">
        <f>_xlfn.RANK.AVG(K19,$J$19:$N$30:$J$3:$N$13,1)</f>
        <v>25</v>
      </c>
      <c r="K122" s="43">
        <f>_xlfn.RANK.AVG(L19,$J$19:$N$30:$J$3:$N$13,1)</f>
        <v>49.5</v>
      </c>
      <c r="L122" s="43">
        <f>_xlfn.RANK.AVG(M19,$J$19:$N$30:$J$3:$N$13,1)</f>
        <v>82.5</v>
      </c>
      <c r="M122" s="63">
        <f>_xlfn.RANK.AVG(N19,$J$19:$N$30:$J$3:$N$13,1)</f>
        <v>49.5</v>
      </c>
      <c r="Q122" s="43">
        <f>_xlfn.RANK.AVG(Q19,$Q$19:$U$30:$Q$3:$U$13,1)</f>
        <v>46</v>
      </c>
      <c r="R122" s="43">
        <f>_xlfn.RANK.AVG(R19,$Q$19:$U$30:$Q$3:$U$13,1)</f>
        <v>36</v>
      </c>
      <c r="S122" s="43">
        <f>_xlfn.RANK.AVG(S19,$Q$19:$U$30:$Q$3:$U$13,1)</f>
        <v>13</v>
      </c>
      <c r="T122" s="43">
        <f>_xlfn.RANK.AVG(T19,$Q$19:$U$30:$Q$3:$U$13,1)</f>
        <v>86</v>
      </c>
      <c r="U122" s="63">
        <f>_xlfn.RANK.AVG(U19,$Q$19:$U$30:$Q$3:$U$13,1)</f>
        <v>76.5</v>
      </c>
    </row>
    <row r="123" spans="3:21">
      <c r="C123" s="70">
        <f>_xlfn.RANK.AVG(C20,$C$19:$G$30:$C$3:$G$13,1)</f>
        <v>17.5</v>
      </c>
      <c r="D123" s="70">
        <f>_xlfn.RANK.AVG(D20,$C$19:$G$30:$C$3:$G$13,1)</f>
        <v>32.5</v>
      </c>
      <c r="E123" s="70">
        <f>_xlfn.RANK.AVG(E20,$C$19:$G$30:$C$3:$G$13,1)</f>
        <v>5.5</v>
      </c>
      <c r="F123" s="70">
        <f>_xlfn.RANK.AVG(F20,$C$19:$G$30:$C$3:$G$13,1)</f>
        <v>17.5</v>
      </c>
      <c r="G123" s="42">
        <f>_xlfn.RANK.AVG(G20,$C$19:$G$30:$C$3:$G$13,1)</f>
        <v>94</v>
      </c>
      <c r="I123" s="43">
        <f>_xlfn.RANK.AVG(J20,$J$19:$N$30:$J$3:$N$13,1)</f>
        <v>22</v>
      </c>
      <c r="J123" s="43">
        <f>_xlfn.RANK.AVG(K20,$J$19:$N$30:$J$3:$N$13,1)</f>
        <v>12.5</v>
      </c>
      <c r="K123" s="43">
        <f>_xlfn.RANK.AVG(L20,$J$19:$N$30:$J$3:$N$13,1)</f>
        <v>41.5</v>
      </c>
      <c r="L123" s="43">
        <f>_xlfn.RANK.AVG(M20,$J$19:$N$30:$J$3:$N$13,1)</f>
        <v>58.5</v>
      </c>
      <c r="M123" s="63">
        <f>_xlfn.RANK.AVG(N20,$J$19:$N$30:$J$3:$N$13,1)</f>
        <v>76</v>
      </c>
      <c r="Q123" s="43">
        <f>_xlfn.RANK.AVG(Q20,$Q$19:$U$30:$Q$3:$U$13,1)</f>
        <v>10</v>
      </c>
      <c r="R123" s="43">
        <f>_xlfn.RANK.AVG(R20,$Q$19:$U$30:$Q$3:$U$13,1)</f>
        <v>85</v>
      </c>
      <c r="S123" s="43">
        <f>_xlfn.RANK.AVG(S20,$Q$19:$U$30:$Q$3:$U$13,1)</f>
        <v>114</v>
      </c>
      <c r="T123" s="43">
        <f>_xlfn.RANK.AVG(T20,$Q$19:$U$30:$Q$3:$U$13,1)</f>
        <v>18.5</v>
      </c>
      <c r="U123" s="63">
        <f>_xlfn.RANK.AVG(U20,$Q$19:$U$30:$Q$3:$U$13,1)</f>
        <v>75</v>
      </c>
    </row>
    <row r="124" spans="3:21">
      <c r="C124" s="70">
        <f>_xlfn.RANK.AVG(C21,$C$19:$G$30:$C$3:$G$13,1)</f>
        <v>3</v>
      </c>
      <c r="D124" s="70">
        <f>_xlfn.RANK.AVG(D21,$C$19:$G$30:$C$3:$G$13,1)</f>
        <v>1.5</v>
      </c>
      <c r="E124" s="70">
        <f>_xlfn.RANK.AVG(E21,$C$19:$G$30:$C$3:$G$13,1)</f>
        <v>60.5</v>
      </c>
      <c r="F124" s="70">
        <f>_xlfn.RANK.AVG(F21,$C$19:$G$30:$C$3:$G$13,1)</f>
        <v>28</v>
      </c>
      <c r="G124" s="42">
        <f>_xlfn.RANK.AVG(G21,$C$19:$G$30:$C$3:$G$13,1)</f>
        <v>105.5</v>
      </c>
      <c r="I124" s="43">
        <f>_xlfn.RANK.AVG(J21,$J$19:$N$30:$J$3:$N$13,1)</f>
        <v>92</v>
      </c>
      <c r="J124" s="43">
        <f>_xlfn.RANK.AVG(K21,$J$19:$N$30:$J$3:$N$13,1)</f>
        <v>108.5</v>
      </c>
      <c r="K124" s="43">
        <f>_xlfn.RANK.AVG(L21,$J$19:$N$30:$J$3:$N$13,1)</f>
        <v>120</v>
      </c>
      <c r="L124" s="43">
        <f>_xlfn.RANK.AVG(M21,$J$19:$N$30:$J$3:$N$13,1)</f>
        <v>119</v>
      </c>
      <c r="M124" s="63">
        <f>_xlfn.RANK.AVG(N21,$J$19:$N$30:$J$3:$N$13,1)</f>
        <v>115</v>
      </c>
      <c r="Q124" s="43">
        <f>_xlfn.RANK.AVG(Q21,$Q$19:$U$30:$Q$3:$U$13,1)</f>
        <v>66</v>
      </c>
      <c r="R124" s="43">
        <f>_xlfn.RANK.AVG(R21,$Q$19:$U$30:$Q$3:$U$13,1)</f>
        <v>98.5</v>
      </c>
      <c r="S124" s="43">
        <f>_xlfn.RANK.AVG(S21,$Q$19:$U$30:$Q$3:$U$13,1)</f>
        <v>76.5</v>
      </c>
      <c r="T124" s="43">
        <f>_xlfn.RANK.AVG(T21,$Q$19:$U$30:$Q$3:$U$13,1)</f>
        <v>54.5</v>
      </c>
      <c r="U124" s="63">
        <f>_xlfn.RANK.AVG(U21,$Q$19:$U$30:$Q$3:$U$13,1)</f>
        <v>109</v>
      </c>
    </row>
    <row r="125" spans="3:21">
      <c r="C125" s="70">
        <f>_xlfn.RANK.AVG(C22,$C$19:$G$30:$C$3:$G$13,1)</f>
        <v>83.5</v>
      </c>
      <c r="D125" s="70">
        <f>_xlfn.RANK.AVG(D22,$C$19:$G$30:$C$3:$G$13,1)</f>
        <v>28</v>
      </c>
      <c r="E125" s="70">
        <f>_xlfn.RANK.AVG(E22,$C$19:$G$30:$C$3:$G$13,1)</f>
        <v>21.5</v>
      </c>
      <c r="F125" s="70">
        <f>_xlfn.RANK.AVG(F22,$C$19:$G$30:$C$3:$G$13,1)</f>
        <v>48.5</v>
      </c>
      <c r="G125" s="42">
        <f>_xlfn.RANK.AVG(G22,$C$19:$G$30:$C$3:$G$13,1)</f>
        <v>90.5</v>
      </c>
      <c r="I125" s="43">
        <f>_xlfn.RANK.AVG(J22,$J$19:$N$30:$J$3:$N$13,1)</f>
        <v>92</v>
      </c>
      <c r="J125" s="43">
        <f>_xlfn.RANK.AVG(K22,$J$19:$N$30:$J$3:$N$13,1)</f>
        <v>16.5</v>
      </c>
      <c r="K125" s="43">
        <f>_xlfn.RANK.AVG(L22,$J$19:$N$30:$J$3:$N$13,1)</f>
        <v>55.5</v>
      </c>
      <c r="L125" s="43">
        <f>_xlfn.RANK.AVG(M22,$J$19:$N$30:$J$3:$N$13,1)</f>
        <v>112</v>
      </c>
      <c r="M125" s="63">
        <f>_xlfn.RANK.AVG(N22,$J$19:$N$30:$J$3:$N$13,1)</f>
        <v>70.5</v>
      </c>
      <c r="Q125" s="43">
        <f>_xlfn.RANK.AVG(Q22,$Q$19:$U$30:$Q$3:$U$13,1)</f>
        <v>80</v>
      </c>
      <c r="R125" s="43">
        <f>_xlfn.RANK.AVG(R22,$Q$19:$U$30:$Q$3:$U$13,1)</f>
        <v>110</v>
      </c>
      <c r="S125" s="43">
        <f>_xlfn.RANK.AVG(S22,$Q$19:$U$30:$Q$3:$U$13,1)</f>
        <v>16</v>
      </c>
      <c r="T125" s="43">
        <f>_xlfn.RANK.AVG(T22,$Q$19:$U$30:$Q$3:$U$13,1)</f>
        <v>56</v>
      </c>
      <c r="U125" s="63">
        <f>_xlfn.RANK.AVG(U22,$Q$19:$U$30:$Q$3:$U$13,1)</f>
        <v>118</v>
      </c>
    </row>
    <row r="126" spans="3:21">
      <c r="C126" s="70">
        <f>_xlfn.RANK.AVG(C23,$C$19:$G$30:$C$3:$G$13,1)</f>
        <v>5.5</v>
      </c>
      <c r="D126" s="70">
        <f>_xlfn.RANK.AVG(D23,$C$19:$G$30:$C$3:$G$13,1)</f>
        <v>79</v>
      </c>
      <c r="E126" s="70">
        <f>_xlfn.RANK.AVG(E23,$C$19:$G$30:$C$3:$G$13,1)</f>
        <v>48.5</v>
      </c>
      <c r="F126" s="70">
        <f>_xlfn.RANK.AVG(F23,$C$19:$G$30:$C$3:$G$13,1)</f>
        <v>38.5</v>
      </c>
      <c r="G126" s="42">
        <f>_xlfn.RANK.AVG(G23,$C$19:$G$30:$C$3:$G$13,1)</f>
        <v>68.5</v>
      </c>
      <c r="I126" s="43">
        <f>_xlfn.RANK.AVG(J23,$J$19:$N$30:$J$3:$N$13,1)</f>
        <v>79.5</v>
      </c>
      <c r="J126" s="43">
        <f>_xlfn.RANK.AVG(K23,$J$19:$N$30:$J$3:$N$13,1)</f>
        <v>118</v>
      </c>
      <c r="K126" s="43">
        <f>_xlfn.RANK.AVG(L23,$J$19:$N$30:$J$3:$N$13,1)</f>
        <v>106</v>
      </c>
      <c r="L126" s="43">
        <f>_xlfn.RANK.AVG(M23,$J$19:$N$30:$J$3:$N$13,1)</f>
        <v>105</v>
      </c>
      <c r="M126" s="63">
        <f>_xlfn.RANK.AVG(N23,$J$19:$N$30:$J$3:$N$13,1)</f>
        <v>25</v>
      </c>
      <c r="Q126" s="43">
        <f>_xlfn.RANK.AVG(Q23,$Q$19:$U$30:$Q$3:$U$13,1)</f>
        <v>41</v>
      </c>
      <c r="R126" s="43">
        <f>_xlfn.RANK.AVG(R23,$Q$19:$U$30:$Q$3:$U$13,1)</f>
        <v>3</v>
      </c>
      <c r="S126" s="43">
        <f>_xlfn.RANK.AVG(S23,$Q$19:$U$30:$Q$3:$U$13,1)</f>
        <v>61</v>
      </c>
      <c r="T126" s="43">
        <f>_xlfn.RANK.AVG(T23,$Q$19:$U$30:$Q$3:$U$13,1)</f>
        <v>113</v>
      </c>
      <c r="U126" s="63">
        <f>_xlfn.RANK.AVG(U23,$Q$19:$U$30:$Q$3:$U$13,1)</f>
        <v>26.5</v>
      </c>
    </row>
    <row r="127" spans="3:21">
      <c r="C127" s="70">
        <f>_xlfn.RANK.AVG(C24,$C$19:$G$30:$C$3:$G$13,1)</f>
        <v>48.5</v>
      </c>
      <c r="D127" s="70">
        <f>_xlfn.RANK.AVG(D24,$C$19:$G$30:$C$3:$G$13,1)</f>
        <v>63.5</v>
      </c>
      <c r="E127" s="70">
        <f>_xlfn.RANK.AVG(E24,$C$19:$G$30:$C$3:$G$13,1)</f>
        <v>36</v>
      </c>
      <c r="F127" s="70">
        <f>_xlfn.RANK.AVG(F24,$C$19:$G$30:$C$3:$G$13,1)</f>
        <v>43</v>
      </c>
      <c r="G127" s="42">
        <f>_xlfn.RANK.AVG(G24,$C$19:$G$30:$C$3:$G$13,1)</f>
        <v>108</v>
      </c>
      <c r="I127" s="43">
        <f>_xlfn.RANK.AVG(J24,$J$19:$N$30:$J$3:$N$13,1)</f>
        <v>28.5</v>
      </c>
      <c r="J127" s="43">
        <f>_xlfn.RANK.AVG(K24,$J$19:$N$30:$J$3:$N$13,1)</f>
        <v>44.5</v>
      </c>
      <c r="K127" s="43">
        <f>_xlfn.RANK.AVG(L24,$J$19:$N$30:$J$3:$N$13,1)</f>
        <v>58.5</v>
      </c>
      <c r="L127" s="43">
        <f>_xlfn.RANK.AVG(M24,$J$19:$N$30:$J$3:$N$13,1)</f>
        <v>79.5</v>
      </c>
      <c r="M127" s="63">
        <f>_xlfn.RANK.AVG(N24,$J$19:$N$30:$J$3:$N$13,1)</f>
        <v>41.5</v>
      </c>
      <c r="Q127" s="43">
        <f>_xlfn.RANK.AVG(Q24,$Q$19:$U$30:$Q$3:$U$13,1)</f>
        <v>90</v>
      </c>
      <c r="R127" s="43">
        <f>_xlfn.RANK.AVG(R24,$Q$19:$U$30:$Q$3:$U$13,1)</f>
        <v>49.5</v>
      </c>
      <c r="S127" s="43">
        <f>_xlfn.RANK.AVG(S24,$Q$19:$U$30:$Q$3:$U$13,1)</f>
        <v>52</v>
      </c>
      <c r="T127" s="43">
        <f>_xlfn.RANK.AVG(T24,$Q$19:$U$30:$Q$3:$U$13,1)</f>
        <v>6</v>
      </c>
      <c r="U127" s="63">
        <f>_xlfn.RANK.AVG(U24,$Q$19:$U$30:$Q$3:$U$13,1)</f>
        <v>20</v>
      </c>
    </row>
    <row r="128" spans="3:21">
      <c r="C128" s="70">
        <f>_xlfn.RANK.AVG(C25,$C$19:$G$30:$C$3:$G$13,1)</f>
        <v>28</v>
      </c>
      <c r="D128" s="70">
        <f>_xlfn.RANK.AVG(D25,$C$19:$G$30:$C$3:$G$13,1)</f>
        <v>86</v>
      </c>
      <c r="E128" s="70">
        <f>_xlfn.RANK.AVG(E25,$C$19:$G$30:$C$3:$G$13,1)</f>
        <v>73.5</v>
      </c>
      <c r="F128" s="70">
        <f>_xlfn.RANK.AVG(F25,$C$19:$G$30:$C$3:$G$13,1)</f>
        <v>97</v>
      </c>
      <c r="G128" s="42">
        <f>_xlfn.RANK.AVG(G25,$C$19:$G$30:$C$3:$G$13,1)</f>
        <v>90.5</v>
      </c>
      <c r="I128" s="43">
        <f>_xlfn.RANK.AVG(J25,$J$19:$N$30:$J$3:$N$13,1)</f>
        <v>44.5</v>
      </c>
      <c r="J128" s="43">
        <f>_xlfn.RANK.AVG(K25,$J$19:$N$30:$J$3:$N$13,1)</f>
        <v>82.5</v>
      </c>
      <c r="K128" s="43">
        <f>_xlfn.RANK.AVG(L25,$J$19:$N$30:$J$3:$N$13,1)</f>
        <v>25</v>
      </c>
      <c r="L128" s="43">
        <f>_xlfn.RANK.AVG(M25,$J$19:$N$30:$J$3:$N$13,1)</f>
        <v>97</v>
      </c>
      <c r="M128" s="63">
        <f>_xlfn.RANK.AVG(N25,$J$19:$N$30:$J$3:$N$13,1)</f>
        <v>68.5</v>
      </c>
      <c r="Q128" s="43">
        <f>_xlfn.RANK.AVG(Q25,$Q$19:$U$30:$Q$3:$U$13,1)</f>
        <v>42.5</v>
      </c>
      <c r="R128" s="43">
        <f>_xlfn.RANK.AVG(R25,$Q$19:$U$30:$Q$3:$U$13,1)</f>
        <v>54.5</v>
      </c>
      <c r="S128" s="43">
        <f>_xlfn.RANK.AVG(S25,$Q$19:$U$30:$Q$3:$U$13,1)</f>
        <v>33.5</v>
      </c>
      <c r="T128" s="43">
        <f>_xlfn.RANK.AVG(T25,$Q$19:$U$30:$Q$3:$U$13,1)</f>
        <v>8</v>
      </c>
      <c r="U128" s="63">
        <f>_xlfn.RANK.AVG(U25,$Q$19:$U$30:$Q$3:$U$13,1)</f>
        <v>70</v>
      </c>
    </row>
    <row r="129" spans="3:21">
      <c r="C129" s="70">
        <f>_xlfn.RANK.AVG(C26,$C$19:$G$30:$C$3:$G$13,1)</f>
        <v>53.5</v>
      </c>
      <c r="D129" s="70">
        <f>_xlfn.RANK.AVG(D26,$C$19:$G$30:$C$3:$G$13,1)</f>
        <v>1.5</v>
      </c>
      <c r="E129" s="70">
        <f>_xlfn.RANK.AVG(E26,$C$19:$G$30:$C$3:$G$13,1)</f>
        <v>9.5</v>
      </c>
      <c r="F129" s="70">
        <f>_xlfn.RANK.AVG(F26,$C$19:$G$30:$C$3:$G$13,1)</f>
        <v>73.5</v>
      </c>
      <c r="G129" s="42">
        <f>_xlfn.RANK.AVG(G26,$C$19:$G$30:$C$3:$G$13,1)</f>
        <v>81</v>
      </c>
      <c r="I129" s="43">
        <f>_xlfn.RANK.AVG(J26,$J$19:$N$30:$J$3:$N$13,1)</f>
        <v>64.5</v>
      </c>
      <c r="J129" s="43">
        <f>_xlfn.RANK.AVG(K26,$J$19:$N$30:$J$3:$N$13,1)</f>
        <v>62</v>
      </c>
      <c r="K129" s="43">
        <f>_xlfn.RANK.AVG(L26,$J$19:$N$30:$J$3:$N$13,1)</f>
        <v>10.5</v>
      </c>
      <c r="L129" s="43">
        <f>_xlfn.RANK.AVG(M26,$J$19:$N$30:$J$3:$N$13,1)</f>
        <v>100</v>
      </c>
      <c r="M129" s="63">
        <f>_xlfn.RANK.AVG(N26,$J$19:$N$30:$J$3:$N$13,1)</f>
        <v>103</v>
      </c>
      <c r="Q129" s="43">
        <f>_xlfn.RANK.AVG(Q26,$Q$19:$U$30:$Q$3:$U$13,1)</f>
        <v>45</v>
      </c>
      <c r="R129" s="43">
        <f>_xlfn.RANK.AVG(R26,$Q$19:$U$30:$Q$3:$U$13,1)</f>
        <v>18.5</v>
      </c>
      <c r="S129" s="43">
        <f>_xlfn.RANK.AVG(S26,$Q$19:$U$30:$Q$3:$U$13,1)</f>
        <v>25</v>
      </c>
      <c r="T129" s="43">
        <f>_xlfn.RANK.AVG(T26,$Q$19:$U$30:$Q$3:$U$13,1)</f>
        <v>97</v>
      </c>
      <c r="U129" s="63">
        <f>_xlfn.RANK.AVG(U26,$Q$19:$U$30:$Q$3:$U$13,1)</f>
        <v>84</v>
      </c>
    </row>
    <row r="130" spans="3:21">
      <c r="C130" s="70">
        <f>_xlfn.RANK.AVG(C27,$C$19:$G$30:$C$3:$G$13,1)</f>
        <v>57</v>
      </c>
      <c r="D130" s="70">
        <f>_xlfn.RANK.AVG(D27,$C$19:$G$30:$C$3:$G$13,1)</f>
        <v>24</v>
      </c>
      <c r="E130" s="70">
        <f>_xlfn.RANK.AVG(E27,$C$19:$G$30:$C$3:$G$13,1)</f>
        <v>8</v>
      </c>
      <c r="F130" s="70">
        <f>_xlfn.RANK.AVG(F27,$C$19:$G$30:$C$3:$G$13,1)</f>
        <v>70</v>
      </c>
      <c r="G130" s="42">
        <f>_xlfn.RANK.AVG(G27,$C$19:$G$30:$C$3:$G$13,1)</f>
        <v>81</v>
      </c>
      <c r="I130" s="43">
        <f>_xlfn.RANK.AVG(J27,$J$19:$N$30:$J$3:$N$13,1)</f>
        <v>16.5</v>
      </c>
      <c r="J130" s="43">
        <f>_xlfn.RANK.AVG(K27,$J$19:$N$30:$J$3:$N$13,1)</f>
        <v>114</v>
      </c>
      <c r="K130" s="43">
        <f>_xlfn.RANK.AVG(L27,$J$19:$N$30:$J$3:$N$13,1)</f>
        <v>51</v>
      </c>
      <c r="L130" s="43">
        <f>_xlfn.RANK.AVG(M27,$J$19:$N$30:$J$3:$N$13,1)</f>
        <v>86.5</v>
      </c>
      <c r="M130" s="63">
        <f>_xlfn.RANK.AVG(N27,$J$19:$N$30:$J$3:$N$13,1)</f>
        <v>9</v>
      </c>
      <c r="Q130" s="43">
        <f>_xlfn.RANK.AVG(Q27,$Q$19:$U$30:$Q$3:$U$13,1)</f>
        <v>62.5</v>
      </c>
      <c r="R130" s="43">
        <f>_xlfn.RANK.AVG(R27,$Q$19:$U$30:$Q$3:$U$13,1)</f>
        <v>9</v>
      </c>
      <c r="S130" s="43">
        <f>_xlfn.RANK.AVG(S27,$Q$19:$U$30:$Q$3:$U$13,1)</f>
        <v>4</v>
      </c>
      <c r="T130" s="43">
        <f>_xlfn.RANK.AVG(T27,$Q$19:$U$30:$Q$3:$U$13,1)</f>
        <v>21.5</v>
      </c>
      <c r="U130" s="63">
        <f>_xlfn.RANK.AVG(U27,$Q$19:$U$30:$Q$3:$U$13,1)</f>
        <v>48</v>
      </c>
    </row>
    <row r="131" spans="3:21">
      <c r="C131" s="70">
        <f>_xlfn.RANK.AVG(C28,$C$19:$G$30:$C$3:$G$13,1)</f>
        <v>53.5</v>
      </c>
      <c r="D131" s="70">
        <f>_xlfn.RANK.AVG(D28,$C$19:$G$30:$C$3:$G$13,1)</f>
        <v>28</v>
      </c>
      <c r="E131" s="70">
        <f>_xlfn.RANK.AVG(E28,$C$19:$G$30:$C$3:$G$13,1)</f>
        <v>13.5</v>
      </c>
      <c r="F131" s="70">
        <f>_xlfn.RANK.AVG(F28,$C$19:$G$30:$C$3:$G$13,1)</f>
        <v>53.5</v>
      </c>
      <c r="G131" s="42">
        <f>_xlfn.RANK.AVG(G28,$C$19:$G$30:$C$3:$G$13,1)</f>
        <v>87.5</v>
      </c>
      <c r="I131" s="43">
        <f>_xlfn.RANK.AVG(J28,$J$19:$N$30:$J$3:$N$13,1)</f>
        <v>92</v>
      </c>
      <c r="J131" s="43">
        <f>_xlfn.RANK.AVG(K28,$J$19:$N$30:$J$3:$N$13,1)</f>
        <v>34</v>
      </c>
      <c r="K131" s="43">
        <f>_xlfn.RANK.AVG(L28,$J$19:$N$30:$J$3:$N$13,1)</f>
        <v>36.5</v>
      </c>
      <c r="L131" s="43">
        <f>_xlfn.RANK.AVG(M28,$J$19:$N$30:$J$3:$N$13,1)</f>
        <v>64.5</v>
      </c>
      <c r="M131" s="63">
        <f>_xlfn.RANK.AVG(N28,$J$19:$N$30:$J$3:$N$13,1)</f>
        <v>116.5</v>
      </c>
      <c r="Q131" s="43">
        <f>_xlfn.RANK.AVG(Q28,$Q$19:$U$30:$Q$3:$U$13,1)</f>
        <v>64.5</v>
      </c>
      <c r="R131" s="43">
        <f>_xlfn.RANK.AVG(R28,$Q$19:$U$30:$Q$3:$U$13,1)</f>
        <v>30.5</v>
      </c>
      <c r="S131" s="43">
        <f>_xlfn.RANK.AVG(S28,$Q$19:$U$30:$Q$3:$U$13,1)</f>
        <v>52</v>
      </c>
      <c r="T131" s="43">
        <f>_xlfn.RANK.AVG(T28,$Q$19:$U$30:$Q$3:$U$13,1)</f>
        <v>52</v>
      </c>
      <c r="U131" s="63">
        <f>_xlfn.RANK.AVG(U28,$Q$19:$U$30:$Q$3:$U$13,1)</f>
        <v>101</v>
      </c>
    </row>
    <row r="132" spans="3:21">
      <c r="C132" s="70">
        <f>_xlfn.RANK.AVG(C29,$C$19:$G$30:$C$3:$G$13,1)</f>
        <v>17.5</v>
      </c>
      <c r="D132" s="70">
        <f>_xlfn.RANK.AVG(D29,$C$19:$G$30:$C$3:$G$13,1)</f>
        <v>53.5</v>
      </c>
      <c r="E132" s="70">
        <f>_xlfn.RANK.AVG(E29,$C$19:$G$30:$C$3:$G$13,1)</f>
        <v>9.5</v>
      </c>
      <c r="F132" s="70">
        <f>_xlfn.RANK.AVG(F29,$C$19:$G$30:$C$3:$G$13,1)</f>
        <v>87.5</v>
      </c>
      <c r="G132" s="42">
        <f>_xlfn.RANK.AVG(G29,$C$19:$G$30:$C$3:$G$13,1)</f>
        <v>94</v>
      </c>
      <c r="I132" s="43">
        <f>_xlfn.RANK.AVG(J29,$J$19:$N$30:$J$3:$N$13,1)</f>
        <v>73.5</v>
      </c>
      <c r="J132" s="43">
        <f>_xlfn.RANK.AVG(K29,$J$19:$N$30:$J$3:$N$13,1)</f>
        <v>92</v>
      </c>
      <c r="K132" s="43">
        <f>_xlfn.RANK.AVG(L29,$J$19:$N$30:$J$3:$N$13,1)</f>
        <v>44.5</v>
      </c>
      <c r="L132" s="43">
        <f>_xlfn.RANK.AVG(M29,$J$19:$N$30:$J$3:$N$13,1)</f>
        <v>108.5</v>
      </c>
      <c r="M132" s="63">
        <f>_xlfn.RANK.AVG(N29,$J$19:$N$30:$J$3:$N$13,1)</f>
        <v>101</v>
      </c>
      <c r="Q132" s="43">
        <f>_xlfn.RANK.AVG(Q29,$Q$19:$U$30:$Q$3:$U$13,1)</f>
        <v>11</v>
      </c>
      <c r="R132" s="43">
        <f>_xlfn.RANK.AVG(R29,$Q$19:$U$30:$Q$3:$U$13,1)</f>
        <v>42.5</v>
      </c>
      <c r="S132" s="43">
        <f>_xlfn.RANK.AVG(S29,$Q$19:$U$30:$Q$3:$U$13,1)</f>
        <v>57</v>
      </c>
      <c r="T132" s="43">
        <f>_xlfn.RANK.AVG(T29,$Q$19:$U$30:$Q$3:$U$13,1)</f>
        <v>71</v>
      </c>
      <c r="U132" s="63">
        <f>_xlfn.RANK.AVG(U29,$Q$19:$U$30:$Q$3:$U$13,1)</f>
        <v>28</v>
      </c>
    </row>
    <row r="133" spans="3:21">
      <c r="C133" s="60">
        <f>_xlfn.RANK.AVG(C30,$C$19:$G$30:$C$3:$G$13,1)</f>
        <v>17.5</v>
      </c>
      <c r="D133" s="60">
        <f>_xlfn.RANK.AVG(D30,$C$19:$G$30:$C$3:$G$13,1)</f>
        <v>53.5</v>
      </c>
      <c r="E133" s="60">
        <f>_xlfn.RANK.AVG(E30,$C$19:$G$30:$C$3:$G$13,1)</f>
        <v>36</v>
      </c>
      <c r="F133" s="60">
        <f>_xlfn.RANK.AVG(F30,$C$19:$G$30:$C$3:$G$13,1)</f>
        <v>36</v>
      </c>
      <c r="G133" s="337">
        <f>_xlfn.RANK.AVG(G30,$C$19:$G$30:$C$3:$G$13,1)</f>
        <v>94</v>
      </c>
      <c r="I133" s="58">
        <f>_xlfn.RANK.AVG(J30,$J$19:$N$30:$J$3:$N$13,1)</f>
        <v>70.5</v>
      </c>
      <c r="J133" s="58">
        <f>_xlfn.RANK.AVG(K30,$J$19:$N$30:$J$3:$N$13,1)</f>
        <v>60</v>
      </c>
      <c r="K133" s="58">
        <f>_xlfn.RANK.AVG(L30,$J$19:$N$30:$J$3:$N$13,1)</f>
        <v>108.5</v>
      </c>
      <c r="L133" s="58">
        <f>_xlfn.RANK.AVG(M30,$J$19:$N$30:$J$3:$N$13,1)</f>
        <v>98.5</v>
      </c>
      <c r="M133" s="61">
        <f>_xlfn.RANK.AVG(N30,$J$19:$N$30:$J$3:$N$13,1)</f>
        <v>86.5</v>
      </c>
      <c r="Q133" s="58">
        <f>_xlfn.RANK.AVG(Q30,$Q$19:$U$30:$Q$3:$U$13,1)</f>
        <v>44</v>
      </c>
      <c r="R133" s="58">
        <f>_xlfn.RANK.AVG(R30,$Q$19:$U$30:$Q$3:$U$13,1)</f>
        <v>81.5</v>
      </c>
      <c r="S133" s="58">
        <f>_xlfn.RANK.AVG(S30,$Q$19:$U$30:$Q$3:$U$13,1)</f>
        <v>1</v>
      </c>
      <c r="T133" s="58">
        <f>_xlfn.RANK.AVG(T30,$Q$19:$U$30:$Q$3:$U$13,1)</f>
        <v>67.5</v>
      </c>
      <c r="U133" s="61">
        <f>_xlfn.RANK.AVG(U30,$Q$19:$U$30:$Q$3:$U$13,1)</f>
        <v>116</v>
      </c>
    </row>
    <row r="134" spans="3:21">
      <c r="C134" s="141"/>
      <c r="D134" s="141"/>
      <c r="E134" s="141"/>
      <c r="F134" s="141"/>
      <c r="G134" s="141"/>
      <c r="I134" s="49"/>
      <c r="J134" s="49"/>
      <c r="K134" s="49"/>
      <c r="L134" s="49"/>
      <c r="M134" s="49"/>
      <c r="Q134" s="49"/>
      <c r="R134" s="49"/>
      <c r="S134" s="49"/>
      <c r="T134" s="49"/>
      <c r="U134" s="49"/>
    </row>
    <row r="135" spans="3:21">
      <c r="D135" s="187" t="s">
        <v>175</v>
      </c>
      <c r="E135" s="187" t="s">
        <v>176</v>
      </c>
      <c r="I135" s="297"/>
      <c r="J135" s="297" t="s">
        <v>175</v>
      </c>
      <c r="K135" s="297" t="s">
        <v>176</v>
      </c>
      <c r="Q135" s="297"/>
      <c r="R135" s="297" t="s">
        <v>175</v>
      </c>
      <c r="S135" s="297" t="s">
        <v>176</v>
      </c>
      <c r="T135" s="297"/>
      <c r="U135" s="297"/>
    </row>
    <row r="136" spans="3:21">
      <c r="C136" s="367" t="s">
        <v>207</v>
      </c>
      <c r="D136" s="203">
        <f>COUNT(C110:G120)</f>
        <v>55</v>
      </c>
      <c r="E136" s="203">
        <f>COUNT(C122:G133)</f>
        <v>60</v>
      </c>
      <c r="I136" s="372" t="s">
        <v>207</v>
      </c>
      <c r="J136" s="340">
        <f>COUNT(I110:M120)</f>
        <v>55</v>
      </c>
      <c r="K136" s="340">
        <f>COUNT(I122:M133)</f>
        <v>60</v>
      </c>
      <c r="Q136" s="372" t="s">
        <v>207</v>
      </c>
      <c r="R136" s="340">
        <f>COUNT(Q110:U120)</f>
        <v>55</v>
      </c>
      <c r="S136" s="340">
        <f>COUNT(Q122:U133)</f>
        <v>60</v>
      </c>
      <c r="T136" s="297"/>
      <c r="U136" s="297"/>
    </row>
    <row r="137" spans="3:21">
      <c r="C137" s="367" t="s">
        <v>208</v>
      </c>
      <c r="D137" s="203">
        <f>SUM(C110:G120)</f>
        <v>3919</v>
      </c>
      <c r="E137" s="203">
        <f>SUM(C122:G133)</f>
        <v>2987.5</v>
      </c>
      <c r="I137" s="372" t="s">
        <v>208</v>
      </c>
      <c r="J137" s="340">
        <f>SUM(I110:M120)</f>
        <v>2871</v>
      </c>
      <c r="K137" s="340">
        <f>SUM(I122:M133)</f>
        <v>4136</v>
      </c>
      <c r="Q137" s="372" t="s">
        <v>208</v>
      </c>
      <c r="R137" s="340">
        <f>SUM(Q110:U120)</f>
        <v>3681.5</v>
      </c>
      <c r="S137" s="340">
        <f>SUM(Q122:U133)</f>
        <v>3249</v>
      </c>
      <c r="T137" s="297"/>
      <c r="U137" s="297"/>
    </row>
    <row r="138" spans="3:21">
      <c r="C138" s="367" t="s">
        <v>214</v>
      </c>
      <c r="D138" s="203">
        <f>D136*E136+(D136*(D136+1)/2)-D137</f>
        <v>921</v>
      </c>
      <c r="E138" s="203">
        <f>E136*D136+(E136*(E136+1)/2)-E137</f>
        <v>2142.5</v>
      </c>
      <c r="I138" s="372" t="s">
        <v>214</v>
      </c>
      <c r="J138" s="340">
        <f>J136*K136+(J136*(J136+1)/2)-J137</f>
        <v>1969</v>
      </c>
      <c r="K138" s="340">
        <f>K136*J136+(K136*(K136+1)/2)-K137</f>
        <v>994</v>
      </c>
      <c r="Q138" s="372" t="s">
        <v>214</v>
      </c>
      <c r="R138" s="340">
        <f>R136*S136+(R136*(R136+1)/2)-R137</f>
        <v>1158.5</v>
      </c>
      <c r="S138" s="340">
        <f>S136*R136+(S136*(S136+1)/2)-S137</f>
        <v>1881</v>
      </c>
      <c r="T138" s="297"/>
      <c r="U138" s="297"/>
    </row>
    <row r="139" spans="3:21">
      <c r="C139" s="367" t="s">
        <v>215</v>
      </c>
      <c r="D139" s="497">
        <f>MIN(D138:E138)</f>
        <v>921</v>
      </c>
      <c r="E139" s="498"/>
      <c r="I139" s="372" t="s">
        <v>215</v>
      </c>
      <c r="J139" s="472">
        <f>MIN(J138:K138)</f>
        <v>994</v>
      </c>
      <c r="K139" s="473"/>
      <c r="Q139" s="372" t="s">
        <v>215</v>
      </c>
      <c r="R139" s="472">
        <f>MIN(R138:S138)</f>
        <v>1158.5</v>
      </c>
      <c r="S139" s="473"/>
      <c r="T139" s="297"/>
      <c r="U139" s="297"/>
    </row>
    <row r="140" spans="3:21">
      <c r="C140" s="185" t="s">
        <v>210</v>
      </c>
      <c r="I140" s="301" t="s">
        <v>210</v>
      </c>
      <c r="Q140" s="301" t="s">
        <v>210</v>
      </c>
      <c r="R140" s="297"/>
      <c r="S140" s="297"/>
      <c r="T140" s="297"/>
      <c r="U140" s="297"/>
    </row>
    <row r="141" spans="3:21">
      <c r="C141" s="194" t="s">
        <v>211</v>
      </c>
      <c r="D141" s="495">
        <f>D136*E136/2</f>
        <v>1650</v>
      </c>
      <c r="E141" s="495"/>
      <c r="I141" s="373" t="s">
        <v>211</v>
      </c>
      <c r="J141" s="467">
        <f>J136*K136/2</f>
        <v>1650</v>
      </c>
      <c r="K141" s="467"/>
      <c r="Q141" s="373" t="s">
        <v>211</v>
      </c>
      <c r="R141" s="467">
        <f>R136*S136/2</f>
        <v>1650</v>
      </c>
      <c r="S141" s="467"/>
      <c r="T141" s="297"/>
      <c r="U141" s="297"/>
    </row>
    <row r="142" spans="3:21">
      <c r="C142" s="194" t="s">
        <v>77</v>
      </c>
      <c r="D142" s="495">
        <f>ROUND(SQRT(D136*E136*(D136+E136+1)/12),3)</f>
        <v>178.60599999999999</v>
      </c>
      <c r="E142" s="495"/>
      <c r="I142" s="373" t="s">
        <v>77</v>
      </c>
      <c r="J142" s="467">
        <f>ROUND(SQRT(J136*K136*(J136+K136+1)/12),3)</f>
        <v>178.60599999999999</v>
      </c>
      <c r="K142" s="467"/>
      <c r="Q142" s="373" t="s">
        <v>77</v>
      </c>
      <c r="R142" s="467">
        <f>ROUND(SQRT(R136*S136*(R136+S136+1)/12),3)</f>
        <v>178.60599999999999</v>
      </c>
      <c r="S142" s="467"/>
      <c r="T142" s="297"/>
      <c r="U142" s="297"/>
    </row>
    <row r="143" spans="3:21">
      <c r="C143" s="194" t="s">
        <v>212</v>
      </c>
      <c r="D143" s="495">
        <f>ROUND((D141-D139)/D142,3)</f>
        <v>4.0819999999999999</v>
      </c>
      <c r="E143" s="495"/>
      <c r="I143" s="373" t="s">
        <v>212</v>
      </c>
      <c r="J143" s="467">
        <f>ROUND((J141-J139)/J142,3)</f>
        <v>3.673</v>
      </c>
      <c r="K143" s="467"/>
      <c r="Q143" s="373" t="s">
        <v>212</v>
      </c>
      <c r="R143" s="467">
        <f>ROUND((R141-R139)/R142,3)</f>
        <v>2.7519999999999998</v>
      </c>
      <c r="S143" s="467"/>
      <c r="T143" s="297"/>
      <c r="U143" s="297"/>
    </row>
    <row r="144" spans="3:21">
      <c r="C144" s="194" t="s">
        <v>209</v>
      </c>
      <c r="D144" s="495">
        <f>ROUND(D141+D142*NORMSINV(0.05)-0.5,3)</f>
        <v>1355.7190000000001</v>
      </c>
      <c r="E144" s="495"/>
      <c r="F144" s="371" t="s">
        <v>216</v>
      </c>
      <c r="I144" s="373" t="s">
        <v>209</v>
      </c>
      <c r="J144" s="467">
        <f>ROUND(J141+J142*NORMSINV(0.05)-0.5,3)</f>
        <v>1355.7190000000001</v>
      </c>
      <c r="K144" s="467"/>
      <c r="L144" s="374" t="s">
        <v>216</v>
      </c>
      <c r="Q144" s="373" t="s">
        <v>209</v>
      </c>
      <c r="R144" s="467">
        <f>ROUND(R141+R142*NORMSINV(0.05)-0.5,3)</f>
        <v>1355.7190000000001</v>
      </c>
      <c r="S144" s="467"/>
      <c r="T144" s="374" t="s">
        <v>216</v>
      </c>
      <c r="U144" s="297"/>
    </row>
    <row r="145" spans="2:21">
      <c r="C145" s="194" t="s">
        <v>213</v>
      </c>
      <c r="D145" s="495">
        <f>(1-NORMSDIST(D143))/2</f>
        <v>1.1162449207680059E-5</v>
      </c>
      <c r="E145" s="495"/>
      <c r="F145" s="371" t="s">
        <v>221</v>
      </c>
      <c r="I145" s="373" t="s">
        <v>213</v>
      </c>
      <c r="J145" s="467">
        <f>(1-NORMSDIST(J143))/2</f>
        <v>5.9929870848574041E-5</v>
      </c>
      <c r="K145" s="467"/>
      <c r="L145" s="374" t="s">
        <v>221</v>
      </c>
      <c r="Q145" s="373" t="s">
        <v>213</v>
      </c>
      <c r="R145" s="467">
        <f>(1-NORMSDIST(R143))/2</f>
        <v>1.4808130225762439E-3</v>
      </c>
      <c r="S145" s="467"/>
      <c r="T145" s="374" t="s">
        <v>221</v>
      </c>
      <c r="U145" s="297"/>
    </row>
    <row r="146" spans="2:21">
      <c r="B146" s="199"/>
      <c r="C146" s="203" t="s">
        <v>174</v>
      </c>
      <c r="D146" s="203">
        <f>MEDIAN(C3:G13)</f>
        <v>40</v>
      </c>
      <c r="E146" s="203">
        <f>MEDIAN(C19:G30)</f>
        <v>29</v>
      </c>
      <c r="F146" s="400" t="s">
        <v>217</v>
      </c>
      <c r="G146" s="401"/>
      <c r="I146" s="340" t="s">
        <v>174</v>
      </c>
      <c r="J146" s="340">
        <f>MEDIAN(I3:M13)</f>
        <v>6.05</v>
      </c>
      <c r="K146" s="340">
        <f>MEDIAN(I19:M30)</f>
        <v>7.1</v>
      </c>
      <c r="L146" s="402" t="s">
        <v>227</v>
      </c>
      <c r="M146" s="403"/>
      <c r="Q146" s="340" t="s">
        <v>174</v>
      </c>
      <c r="R146" s="340">
        <f>MEDIAN(Q3:U13)</f>
        <v>318</v>
      </c>
      <c r="S146" s="340">
        <f>MEDIAN(Q19:U30)</f>
        <v>279</v>
      </c>
      <c r="T146" s="402" t="s">
        <v>226</v>
      </c>
      <c r="U146" s="297"/>
    </row>
    <row r="147" spans="2:21">
      <c r="B147" s="199"/>
      <c r="I147" s="297"/>
      <c r="Q147" s="297"/>
      <c r="R147" s="297"/>
      <c r="S147" s="297"/>
      <c r="T147" s="297"/>
      <c r="U147" s="297"/>
    </row>
    <row r="148" spans="2:21">
      <c r="B148" s="199"/>
      <c r="C148" s="414" t="s">
        <v>197</v>
      </c>
      <c r="D148" s="415"/>
      <c r="E148" s="415"/>
      <c r="F148" s="415"/>
      <c r="G148" s="416"/>
      <c r="I148" s="424" t="s">
        <v>197</v>
      </c>
      <c r="J148" s="425"/>
      <c r="K148" s="425"/>
      <c r="L148" s="425"/>
      <c r="M148" s="426"/>
      <c r="Q148" s="424" t="s">
        <v>197</v>
      </c>
      <c r="R148" s="425"/>
      <c r="S148" s="425"/>
      <c r="T148" s="425"/>
      <c r="U148" s="426"/>
    </row>
    <row r="149" spans="2:21">
      <c r="C149" s="469" t="s">
        <v>175</v>
      </c>
      <c r="D149" s="470"/>
      <c r="E149" s="470"/>
      <c r="F149" s="470"/>
      <c r="G149" s="471"/>
      <c r="I149" s="469" t="s">
        <v>175</v>
      </c>
      <c r="J149" s="470"/>
      <c r="K149" s="470"/>
      <c r="L149" s="470"/>
      <c r="M149" s="471"/>
      <c r="Q149" s="469" t="s">
        <v>175</v>
      </c>
      <c r="R149" s="470"/>
      <c r="S149" s="470"/>
      <c r="T149" s="470"/>
      <c r="U149" s="471"/>
    </row>
    <row r="150" spans="2:21">
      <c r="C150" s="70">
        <f>_xlfn.RANK.AVG(C3,$C$36:$G$49:$C$3:$G$13,1)</f>
        <v>174.5</v>
      </c>
      <c r="D150" s="70">
        <f>_xlfn.RANK.AVG(D3,$C$36:$G$49:$C$3:$G$13,1)</f>
        <v>97</v>
      </c>
      <c r="E150" s="70">
        <f>_xlfn.RANK.AVG(E3,$C$36:$G$49:$C$3:$G$13,1)</f>
        <v>124</v>
      </c>
      <c r="F150" s="70">
        <f>_xlfn.RANK.AVG(F3,$C$36:$G$49:$C$3:$G$13,1)</f>
        <v>160</v>
      </c>
      <c r="G150" s="42">
        <f>_xlfn.RANK.AVG(G3,$C$36:$G$49:$C$3:$G$13,1)</f>
        <v>183</v>
      </c>
      <c r="I150" s="43">
        <f>_xlfn.RANK.AVG(J3,$J$36:$N$49:$J$3:$N$13,1)</f>
        <v>42.5</v>
      </c>
      <c r="J150" s="43">
        <f>_xlfn.RANK.AVG(K3,$J$36:$N$49:$J$3:$N$13,1)</f>
        <v>4</v>
      </c>
      <c r="K150" s="43">
        <f>_xlfn.RANK.AVG(L3,$J$36:$N$49:$J$3:$N$13,1)</f>
        <v>151.5</v>
      </c>
      <c r="L150" s="43">
        <f>_xlfn.RANK.AVG(M3,$J$36:$N$49:$J$3:$N$13,1)</f>
        <v>45.5</v>
      </c>
      <c r="M150" s="63">
        <f>_xlfn.RANK.AVG(N3,$J$36:$N$49:$J$3:$N$13,1)</f>
        <v>80.5</v>
      </c>
      <c r="Q150" s="43">
        <f>_xlfn.RANK.AVG(Q3,$Q$36:$U$49:$Q$3:$U$13,1)</f>
        <v>146.5</v>
      </c>
      <c r="R150" s="43">
        <f>_xlfn.RANK.AVG(R3,$Q$36:$U$49:$Q$3:$U$13,1)</f>
        <v>132</v>
      </c>
      <c r="S150" s="43">
        <f>_xlfn.RANK.AVG(S3,$Q$36:$U$49:$Q$3:$U$13,1)</f>
        <v>16</v>
      </c>
      <c r="T150" s="43">
        <f>_xlfn.RANK.AVG(T3,$Q$36:$U$49:$Q$3:$U$13,1)</f>
        <v>29</v>
      </c>
      <c r="U150" s="63">
        <f>_xlfn.RANK.AVG(U3,$Q$36:$U$49:$Q$3:$U$13,1)</f>
        <v>178</v>
      </c>
    </row>
    <row r="151" spans="2:21">
      <c r="C151" s="70">
        <f>_xlfn.RANK.AVG(C4,$C$36:$G$49:$C$3:$G$13,1)</f>
        <v>194</v>
      </c>
      <c r="D151" s="70">
        <f>_xlfn.RANK.AVG(D4,$C$36:$G$49:$C$3:$G$13,1)</f>
        <v>26.5</v>
      </c>
      <c r="E151" s="70">
        <f>_xlfn.RANK.AVG(E4,$C$36:$G$49:$C$3:$G$13,1)</f>
        <v>17</v>
      </c>
      <c r="F151" s="70">
        <f>_xlfn.RANK.AVG(F4,$C$36:$G$49:$C$3:$G$13,1)</f>
        <v>71.5</v>
      </c>
      <c r="G151" s="42">
        <f>_xlfn.RANK.AVG(G4,$C$36:$G$49:$C$3:$G$13,1)</f>
        <v>183</v>
      </c>
      <c r="I151" s="43">
        <f>_xlfn.RANK.AVG(J4,$J$36:$N$49:$J$3:$N$13,1)</f>
        <v>34</v>
      </c>
      <c r="J151" s="43">
        <f>_xlfn.RANK.AVG(K4,$J$36:$N$49:$J$3:$N$13,1)</f>
        <v>184</v>
      </c>
      <c r="K151" s="43">
        <f>_xlfn.RANK.AVG(L4,$J$36:$N$49:$J$3:$N$13,1)</f>
        <v>163.5</v>
      </c>
      <c r="L151" s="43">
        <f>_xlfn.RANK.AVG(M4,$J$36:$N$49:$J$3:$N$13,1)</f>
        <v>52.5</v>
      </c>
      <c r="M151" s="63">
        <f>_xlfn.RANK.AVG(N4,$J$36:$N$49:$J$3:$N$13,1)</f>
        <v>34</v>
      </c>
      <c r="Q151" s="43">
        <f>_xlfn.RANK.AVG(Q4,$Q$36:$U$49:$Q$3:$U$13,1)</f>
        <v>124.5</v>
      </c>
      <c r="R151" s="43">
        <f>_xlfn.RANK.AVG(R4,$Q$36:$U$49:$Q$3:$U$13,1)</f>
        <v>160</v>
      </c>
      <c r="S151" s="43">
        <f>_xlfn.RANK.AVG(S4,$Q$36:$U$49:$Q$3:$U$13,1)</f>
        <v>163</v>
      </c>
      <c r="T151" s="43">
        <f>_xlfn.RANK.AVG(T4,$Q$36:$U$49:$Q$3:$U$13,1)</f>
        <v>155</v>
      </c>
      <c r="U151" s="63">
        <f>_xlfn.RANK.AVG(U4,$Q$36:$U$49:$Q$3:$U$13,1)</f>
        <v>96</v>
      </c>
    </row>
    <row r="152" spans="2:21">
      <c r="C152" s="70">
        <f>_xlfn.RANK.AVG(C5,$C$36:$G$49:$C$3:$G$13,1)</f>
        <v>195</v>
      </c>
      <c r="D152" s="70">
        <f>_xlfn.RANK.AVG(D5,$C$36:$G$49:$C$3:$G$13,1)</f>
        <v>124</v>
      </c>
      <c r="E152" s="70">
        <f>_xlfn.RANK.AVG(E5,$C$36:$G$49:$C$3:$G$13,1)</f>
        <v>79</v>
      </c>
      <c r="F152" s="70">
        <f>_xlfn.RANK.AVG(F5,$C$36:$G$49:$C$3:$G$13,1)</f>
        <v>141.5</v>
      </c>
      <c r="G152" s="42">
        <f>_xlfn.RANK.AVG(G5,$C$36:$G$49:$C$3:$G$13,1)</f>
        <v>189.5</v>
      </c>
      <c r="I152" s="43">
        <f>_xlfn.RANK.AVG(J5,$J$36:$N$49:$J$3:$N$13,1)</f>
        <v>104.5</v>
      </c>
      <c r="J152" s="43">
        <f>_xlfn.RANK.AVG(K5,$J$36:$N$49:$J$3:$N$13,1)</f>
        <v>180.5</v>
      </c>
      <c r="K152" s="43">
        <f>_xlfn.RANK.AVG(L5,$J$36:$N$49:$J$3:$N$13,1)</f>
        <v>52.5</v>
      </c>
      <c r="L152" s="43">
        <f>_xlfn.RANK.AVG(M5,$J$36:$N$49:$J$3:$N$13,1)</f>
        <v>45.5</v>
      </c>
      <c r="M152" s="63">
        <f>_xlfn.RANK.AVG(N5,$J$36:$N$49:$J$3:$N$13,1)</f>
        <v>21</v>
      </c>
      <c r="Q152" s="43">
        <f>_xlfn.RANK.AVG(Q5,$Q$36:$U$49:$Q$3:$U$13,1)</f>
        <v>192</v>
      </c>
      <c r="R152" s="43">
        <f>_xlfn.RANK.AVG(R5,$Q$36:$U$49:$Q$3:$U$13,1)</f>
        <v>111</v>
      </c>
      <c r="S152" s="43">
        <f>_xlfn.RANK.AVG(S5,$Q$36:$U$49:$Q$3:$U$13,1)</f>
        <v>6</v>
      </c>
      <c r="T152" s="43">
        <f>_xlfn.RANK.AVG(T5,$Q$36:$U$49:$Q$3:$U$13,1)</f>
        <v>65</v>
      </c>
      <c r="U152" s="63">
        <f>_xlfn.RANK.AVG(U5,$Q$36:$U$49:$Q$3:$U$13,1)</f>
        <v>186</v>
      </c>
    </row>
    <row r="153" spans="2:21">
      <c r="C153" s="70">
        <f>_xlfn.RANK.AVG(C6,$C$36:$G$49:$C$3:$G$13,1)</f>
        <v>166</v>
      </c>
      <c r="D153" s="70">
        <f>_xlfn.RANK.AVG(D6,$C$36:$G$49:$C$3:$G$13,1)</f>
        <v>127.5</v>
      </c>
      <c r="E153" s="70">
        <f>_xlfn.RANK.AVG(E6,$C$36:$G$49:$C$3:$G$13,1)</f>
        <v>57</v>
      </c>
      <c r="F153" s="70">
        <f>_xlfn.RANK.AVG(F6,$C$36:$G$49:$C$3:$G$13,1)</f>
        <v>151</v>
      </c>
      <c r="G153" s="42">
        <f>_xlfn.RANK.AVG(G6,$C$36:$G$49:$C$3:$G$13,1)</f>
        <v>191</v>
      </c>
      <c r="I153" s="43">
        <f>_xlfn.RANK.AVG(J6,$J$36:$N$49:$J$3:$N$13,1)</f>
        <v>2</v>
      </c>
      <c r="J153" s="43">
        <f>_xlfn.RANK.AVG(K6,$J$36:$N$49:$J$3:$N$13,1)</f>
        <v>133.5</v>
      </c>
      <c r="K153" s="43">
        <f>_xlfn.RANK.AVG(L6,$J$36:$N$49:$J$3:$N$13,1)</f>
        <v>151.5</v>
      </c>
      <c r="L153" s="43">
        <f>_xlfn.RANK.AVG(M6,$J$36:$N$49:$J$3:$N$13,1)</f>
        <v>38</v>
      </c>
      <c r="M153" s="63">
        <f>_xlfn.RANK.AVG(N6,$J$36:$N$49:$J$3:$N$13,1)</f>
        <v>63</v>
      </c>
      <c r="Q153" s="43">
        <f>_xlfn.RANK.AVG(Q6,$Q$36:$U$49:$Q$3:$U$13,1)</f>
        <v>165</v>
      </c>
      <c r="R153" s="43">
        <f>_xlfn.RANK.AVG(R6,$Q$36:$U$49:$Q$3:$U$13,1)</f>
        <v>131</v>
      </c>
      <c r="S153" s="43">
        <f>_xlfn.RANK.AVG(S6,$Q$36:$U$49:$Q$3:$U$13,1)</f>
        <v>56.5</v>
      </c>
      <c r="T153" s="43">
        <f>_xlfn.RANK.AVG(T6,$Q$36:$U$49:$Q$3:$U$13,1)</f>
        <v>23.5</v>
      </c>
      <c r="U153" s="63">
        <f>_xlfn.RANK.AVG(U6,$Q$36:$U$49:$Q$3:$U$13,1)</f>
        <v>169.5</v>
      </c>
    </row>
    <row r="154" spans="2:21">
      <c r="C154" s="70">
        <f>_xlfn.RANK.AVG(C7,$C$36:$G$49:$C$3:$G$13,1)</f>
        <v>172</v>
      </c>
      <c r="D154" s="70">
        <f>_xlfn.RANK.AVG(D7,$C$36:$G$49:$C$3:$G$13,1)</f>
        <v>33</v>
      </c>
      <c r="E154" s="70">
        <f>_xlfn.RANK.AVG(E7,$C$36:$G$49:$C$3:$G$13,1)</f>
        <v>112</v>
      </c>
      <c r="F154" s="70">
        <f>_xlfn.RANK.AVG(F7,$C$36:$G$49:$C$3:$G$13,1)</f>
        <v>141.5</v>
      </c>
      <c r="G154" s="42">
        <f>_xlfn.RANK.AVG(G7,$C$36:$G$49:$C$3:$G$13,1)</f>
        <v>155.5</v>
      </c>
      <c r="I154" s="43">
        <f>_xlfn.RANK.AVG(J7,$J$36:$N$49:$J$3:$N$13,1)</f>
        <v>3</v>
      </c>
      <c r="J154" s="43">
        <f>_xlfn.RANK.AVG(K7,$J$36:$N$49:$J$3:$N$13,1)</f>
        <v>63</v>
      </c>
      <c r="K154" s="43">
        <f>_xlfn.RANK.AVG(L7,$J$36:$N$49:$J$3:$N$13,1)</f>
        <v>151.5</v>
      </c>
      <c r="L154" s="43">
        <f>_xlfn.RANK.AVG(M7,$J$36:$N$49:$J$3:$N$13,1)</f>
        <v>49</v>
      </c>
      <c r="M154" s="63">
        <f>_xlfn.RANK.AVG(N7,$J$36:$N$49:$J$3:$N$13,1)</f>
        <v>73.5</v>
      </c>
      <c r="Q154" s="43">
        <f>_xlfn.RANK.AVG(Q7,$Q$36:$U$49:$Q$3:$U$13,1)</f>
        <v>179</v>
      </c>
      <c r="R154" s="43">
        <f>_xlfn.RANK.AVG(R7,$Q$36:$U$49:$Q$3:$U$13,1)</f>
        <v>79.5</v>
      </c>
      <c r="S154" s="43">
        <f>_xlfn.RANK.AVG(S7,$Q$36:$U$49:$Q$3:$U$13,1)</f>
        <v>154</v>
      </c>
      <c r="T154" s="43">
        <f>_xlfn.RANK.AVG(T7,$Q$36:$U$49:$Q$3:$U$13,1)</f>
        <v>72.5</v>
      </c>
      <c r="U154" s="63">
        <f>_xlfn.RANK.AVG(U7,$Q$36:$U$49:$Q$3:$U$13,1)</f>
        <v>194</v>
      </c>
    </row>
    <row r="155" spans="2:21">
      <c r="C155" s="70">
        <f>_xlfn.RANK.AVG(C8,$C$36:$G$49:$C$3:$G$13,1)</f>
        <v>174.5</v>
      </c>
      <c r="D155" s="70">
        <f>_xlfn.RANK.AVG(D8,$C$36:$G$49:$C$3:$G$13,1)</f>
        <v>57</v>
      </c>
      <c r="E155" s="70">
        <f>_xlfn.RANK.AVG(E8,$C$36:$G$49:$C$3:$G$13,1)</f>
        <v>79</v>
      </c>
      <c r="F155" s="70">
        <f>_xlfn.RANK.AVG(F8,$C$36:$G$49:$C$3:$G$13,1)</f>
        <v>97</v>
      </c>
      <c r="G155" s="42">
        <f>_xlfn.RANK.AVG(G8,$C$36:$G$49:$C$3:$G$13,1)</f>
        <v>180.5</v>
      </c>
      <c r="I155" s="43">
        <f>_xlfn.RANK.AVG(J8,$J$36:$N$49:$J$3:$N$13,1)</f>
        <v>6.5</v>
      </c>
      <c r="J155" s="43">
        <f>_xlfn.RANK.AVG(K8,$J$36:$N$49:$J$3:$N$13,1)</f>
        <v>80.5</v>
      </c>
      <c r="K155" s="43">
        <f>_xlfn.RANK.AVG(L8,$J$36:$N$49:$J$3:$N$13,1)</f>
        <v>133.5</v>
      </c>
      <c r="L155" s="43">
        <f>_xlfn.RANK.AVG(M8,$J$36:$N$49:$J$3:$N$13,1)</f>
        <v>118</v>
      </c>
      <c r="M155" s="63">
        <f>_xlfn.RANK.AVG(N8,$J$36:$N$49:$J$3:$N$13,1)</f>
        <v>118</v>
      </c>
      <c r="Q155" s="43">
        <f>_xlfn.RANK.AVG(Q8,$Q$36:$U$49:$Q$3:$U$13,1)</f>
        <v>182</v>
      </c>
      <c r="R155" s="43">
        <f>_xlfn.RANK.AVG(R8,$Q$36:$U$49:$Q$3:$U$13,1)</f>
        <v>68.5</v>
      </c>
      <c r="S155" s="43">
        <f>_xlfn.RANK.AVG(S8,$Q$36:$U$49:$Q$3:$U$13,1)</f>
        <v>70.5</v>
      </c>
      <c r="T155" s="43">
        <f>_xlfn.RANK.AVG(T8,$Q$36:$U$49:$Q$3:$U$13,1)</f>
        <v>126</v>
      </c>
      <c r="U155" s="63">
        <f>_xlfn.RANK.AVG(U8,$Q$36:$U$49:$Q$3:$U$13,1)</f>
        <v>120.5</v>
      </c>
    </row>
    <row r="156" spans="2:21">
      <c r="C156" s="70">
        <f>_xlfn.RANK.AVG(C9,$C$36:$G$49:$C$3:$G$13,1)</f>
        <v>174.5</v>
      </c>
      <c r="D156" s="70">
        <f>_xlfn.RANK.AVG(D9,$C$36:$G$49:$C$3:$G$13,1)</f>
        <v>97</v>
      </c>
      <c r="E156" s="70">
        <f>_xlfn.RANK.AVG(E9,$C$36:$G$49:$C$3:$G$13,1)</f>
        <v>141.5</v>
      </c>
      <c r="F156" s="70">
        <f>_xlfn.RANK.AVG(F9,$C$36:$G$49:$C$3:$G$13,1)</f>
        <v>121</v>
      </c>
      <c r="G156" s="42">
        <f>_xlfn.RANK.AVG(G9,$C$36:$G$49:$C$3:$G$13,1)</f>
        <v>192</v>
      </c>
      <c r="I156" s="43">
        <f>_xlfn.RANK.AVG(J9,$J$36:$N$49:$J$3:$N$13,1)</f>
        <v>5</v>
      </c>
      <c r="J156" s="43">
        <f>_xlfn.RANK.AVG(K9,$J$36:$N$49:$J$3:$N$13,1)</f>
        <v>19</v>
      </c>
      <c r="K156" s="43">
        <f>_xlfn.RANK.AVG(L9,$J$36:$N$49:$J$3:$N$13,1)</f>
        <v>80.5</v>
      </c>
      <c r="L156" s="43">
        <f>_xlfn.RANK.AVG(M9,$J$36:$N$49:$J$3:$N$13,1)</f>
        <v>101.5</v>
      </c>
      <c r="M156" s="63">
        <f>_xlfn.RANK.AVG(N9,$J$36:$N$49:$J$3:$N$13,1)</f>
        <v>139.5</v>
      </c>
      <c r="Q156" s="43">
        <f>_xlfn.RANK.AVG(Q9,$Q$36:$U$49:$Q$3:$U$13,1)</f>
        <v>50</v>
      </c>
      <c r="R156" s="43">
        <f>_xlfn.RANK.AVG(R9,$Q$36:$U$49:$Q$3:$U$13,1)</f>
        <v>48</v>
      </c>
      <c r="S156" s="43">
        <f>_xlfn.RANK.AVG(S9,$Q$36:$U$49:$Q$3:$U$13,1)</f>
        <v>164</v>
      </c>
      <c r="T156" s="43">
        <f>_xlfn.RANK.AVG(T9,$Q$36:$U$49:$Q$3:$U$13,1)</f>
        <v>34.5</v>
      </c>
      <c r="U156" s="63">
        <f>_xlfn.RANK.AVG(U9,$Q$36:$U$49:$Q$3:$U$13,1)</f>
        <v>159</v>
      </c>
    </row>
    <row r="157" spans="2:21">
      <c r="C157" s="70">
        <f>_xlfn.RANK.AVG(C10,$C$36:$G$49:$C$3:$G$13,1)</f>
        <v>178.5</v>
      </c>
      <c r="D157" s="70">
        <f>_xlfn.RANK.AVG(D10,$C$36:$G$49:$C$3:$G$13,1)</f>
        <v>124</v>
      </c>
      <c r="E157" s="70">
        <f>_xlfn.RANK.AVG(E10,$C$36:$G$49:$C$3:$G$13,1)</f>
        <v>89.5</v>
      </c>
      <c r="F157" s="70">
        <f>_xlfn.RANK.AVG(F10,$C$36:$G$49:$C$3:$G$13,1)</f>
        <v>131</v>
      </c>
      <c r="G157" s="42">
        <f>_xlfn.RANK.AVG(G10,$C$36:$G$49:$C$3:$G$13,1)</f>
        <v>186.5</v>
      </c>
      <c r="I157" s="43">
        <f>_xlfn.RANK.AVG(J10,$J$36:$N$49:$J$3:$N$13,1)</f>
        <v>40.5</v>
      </c>
      <c r="J157" s="43">
        <f>_xlfn.RANK.AVG(K10,$J$36:$N$49:$J$3:$N$13,1)</f>
        <v>93.5</v>
      </c>
      <c r="K157" s="43">
        <f>_xlfn.RANK.AVG(L10,$J$36:$N$49:$J$3:$N$13,1)</f>
        <v>151.5</v>
      </c>
      <c r="L157" s="43">
        <f>_xlfn.RANK.AVG(M10,$J$36:$N$49:$J$3:$N$13,1)</f>
        <v>59.5</v>
      </c>
      <c r="M157" s="63">
        <f>_xlfn.RANK.AVG(N10,$J$36:$N$49:$J$3:$N$13,1)</f>
        <v>25.5</v>
      </c>
      <c r="Q157" s="43">
        <f>_xlfn.RANK.AVG(Q10,$Q$36:$U$49:$Q$3:$U$13,1)</f>
        <v>175</v>
      </c>
      <c r="R157" s="43">
        <f>_xlfn.RANK.AVG(R10,$Q$36:$U$49:$Q$3:$U$13,1)</f>
        <v>26</v>
      </c>
      <c r="S157" s="43">
        <f>_xlfn.RANK.AVG(S10,$Q$36:$U$49:$Q$3:$U$13,1)</f>
        <v>100.5</v>
      </c>
      <c r="T157" s="43">
        <f>_xlfn.RANK.AVG(T10,$Q$36:$U$49:$Q$3:$U$13,1)</f>
        <v>175</v>
      </c>
      <c r="U157" s="63">
        <f>_xlfn.RANK.AVG(U10,$Q$36:$U$49:$Q$3:$U$13,1)</f>
        <v>157</v>
      </c>
    </row>
    <row r="158" spans="2:21">
      <c r="C158" s="70">
        <f>_xlfn.RANK.AVG(C11,$C$36:$G$49:$C$3:$G$13,1)</f>
        <v>166</v>
      </c>
      <c r="D158" s="70">
        <f>_xlfn.RANK.AVG(D11,$C$36:$G$49:$C$3:$G$13,1)</f>
        <v>141.5</v>
      </c>
      <c r="E158" s="70">
        <f>_xlfn.RANK.AVG(E11,$C$36:$G$49:$C$3:$G$13,1)</f>
        <v>45</v>
      </c>
      <c r="F158" s="70">
        <f>_xlfn.RANK.AVG(F11,$C$36:$G$49:$C$3:$G$13,1)</f>
        <v>97</v>
      </c>
      <c r="G158" s="42">
        <f>_xlfn.RANK.AVG(G11,$C$36:$G$49:$C$3:$G$13,1)</f>
        <v>193</v>
      </c>
      <c r="I158" s="43">
        <f>_xlfn.RANK.AVG(J11,$J$36:$N$49:$J$3:$N$13,1)</f>
        <v>1</v>
      </c>
      <c r="J158" s="43">
        <f>_xlfn.RANK.AVG(K11,$J$36:$N$49:$J$3:$N$13,1)</f>
        <v>172.5</v>
      </c>
      <c r="K158" s="43">
        <f>_xlfn.RANK.AVG(L11,$J$36:$N$49:$J$3:$N$13,1)</f>
        <v>172.5</v>
      </c>
      <c r="L158" s="43">
        <f>_xlfn.RANK.AVG(M11,$J$36:$N$49:$J$3:$N$13,1)</f>
        <v>40.5</v>
      </c>
      <c r="M158" s="63">
        <f>_xlfn.RANK.AVG(N11,$J$36:$N$49:$J$3:$N$13,1)</f>
        <v>25.5</v>
      </c>
      <c r="Q158" s="43">
        <f>_xlfn.RANK.AVG(Q11,$Q$36:$U$49:$Q$3:$U$13,1)</f>
        <v>195</v>
      </c>
      <c r="R158" s="43">
        <f>_xlfn.RANK.AVG(R11,$Q$36:$U$49:$Q$3:$U$13,1)</f>
        <v>189</v>
      </c>
      <c r="S158" s="43">
        <f>_xlfn.RANK.AVG(S11,$Q$36:$U$49:$Q$3:$U$13,1)</f>
        <v>81.5</v>
      </c>
      <c r="T158" s="43">
        <f>_xlfn.RANK.AVG(T11,$Q$36:$U$49:$Q$3:$U$13,1)</f>
        <v>171.5</v>
      </c>
      <c r="U158" s="63">
        <f>_xlfn.RANK.AVG(U11,$Q$36:$U$49:$Q$3:$U$13,1)</f>
        <v>141</v>
      </c>
    </row>
    <row r="159" spans="2:21">
      <c r="C159" s="70">
        <f>_xlfn.RANK.AVG(C12,$C$36:$G$49:$C$3:$G$13,1)</f>
        <v>185</v>
      </c>
      <c r="D159" s="70">
        <f>_xlfn.RANK.AVG(D12,$C$36:$G$49:$C$3:$G$13,1)</f>
        <v>42</v>
      </c>
      <c r="E159" s="70">
        <f>_xlfn.RANK.AVG(E12,$C$36:$G$49:$C$3:$G$13,1)</f>
        <v>65</v>
      </c>
      <c r="F159" s="70">
        <f>_xlfn.RANK.AVG(F12,$C$36:$G$49:$C$3:$G$13,1)</f>
        <v>153.5</v>
      </c>
      <c r="G159" s="42">
        <f>_xlfn.RANK.AVG(G12,$C$36:$G$49:$C$3:$G$13,1)</f>
        <v>147</v>
      </c>
      <c r="I159" s="43">
        <f>_xlfn.RANK.AVG(J12,$J$36:$N$49:$J$3:$N$13,1)</f>
        <v>25.5</v>
      </c>
      <c r="J159" s="43">
        <f>_xlfn.RANK.AVG(K12,$J$36:$N$49:$J$3:$N$13,1)</f>
        <v>125</v>
      </c>
      <c r="K159" s="43">
        <f>_xlfn.RANK.AVG(L12,$J$36:$N$49:$J$3:$N$13,1)</f>
        <v>15.5</v>
      </c>
      <c r="L159" s="43">
        <f>_xlfn.RANK.AVG(M12,$J$36:$N$49:$J$3:$N$13,1)</f>
        <v>125</v>
      </c>
      <c r="M159" s="63">
        <f>_xlfn.RANK.AVG(N12,$J$36:$N$49:$J$3:$N$13,1)</f>
        <v>189</v>
      </c>
      <c r="Q159" s="43">
        <f>_xlfn.RANK.AVG(Q12,$Q$36:$U$49:$Q$3:$U$13,1)</f>
        <v>177</v>
      </c>
      <c r="R159" s="43">
        <f>_xlfn.RANK.AVG(R12,$Q$36:$U$49:$Q$3:$U$13,1)</f>
        <v>44</v>
      </c>
      <c r="S159" s="43">
        <f>_xlfn.RANK.AVG(S12,$Q$36:$U$49:$Q$3:$U$13,1)</f>
        <v>76</v>
      </c>
      <c r="T159" s="43">
        <f>_xlfn.RANK.AVG(T12,$Q$36:$U$49:$Q$3:$U$13,1)</f>
        <v>114.5</v>
      </c>
      <c r="U159" s="63">
        <f>_xlfn.RANK.AVG(U12,$Q$36:$U$49:$Q$3:$U$13,1)</f>
        <v>140</v>
      </c>
    </row>
    <row r="160" spans="2:21">
      <c r="C160" s="60">
        <f>_xlfn.RANK.AVG(C13,$C$36:$G$49:$C$3:$G$13,1)</f>
        <v>189.5</v>
      </c>
      <c r="D160" s="60">
        <f>_xlfn.RANK.AVG(D13,$C$36:$G$49:$C$3:$G$13,1)</f>
        <v>105.5</v>
      </c>
      <c r="E160" s="60">
        <f>_xlfn.RANK.AVG(E13,$C$36:$G$49:$C$3:$G$13,1)</f>
        <v>147</v>
      </c>
      <c r="F160" s="60">
        <f>_xlfn.RANK.AVG(F13,$C$36:$G$49:$C$3:$G$13,1)</f>
        <v>131</v>
      </c>
      <c r="G160" s="337">
        <f>_xlfn.RANK.AVG(G13,$C$36:$G$49:$C$3:$G$13,1)</f>
        <v>188</v>
      </c>
      <c r="I160" s="43">
        <f>_xlfn.RANK.AVG(J13,$J$36:$N$49:$J$3:$N$13,1)</f>
        <v>8.5</v>
      </c>
      <c r="J160" s="43">
        <f>_xlfn.RANK.AVG(K13,$J$36:$N$49:$J$3:$N$13,1)</f>
        <v>25.5</v>
      </c>
      <c r="K160" s="43">
        <f>_xlfn.RANK.AVG(L13,$J$36:$N$49:$J$3:$N$13,1)</f>
        <v>184</v>
      </c>
      <c r="L160" s="43">
        <f>_xlfn.RANK.AVG(M13,$J$36:$N$49:$J$3:$N$13,1)</f>
        <v>118</v>
      </c>
      <c r="M160" s="63">
        <f>_xlfn.RANK.AVG(N13,$J$36:$N$49:$J$3:$N$13,1)</f>
        <v>101.5</v>
      </c>
      <c r="Q160" s="43">
        <f>_xlfn.RANK.AVG(Q13,$Q$36:$U$49:$Q$3:$U$13,1)</f>
        <v>133</v>
      </c>
      <c r="R160" s="43">
        <f>_xlfn.RANK.AVG(R13,$Q$36:$U$49:$Q$3:$U$13,1)</f>
        <v>13</v>
      </c>
      <c r="S160" s="43">
        <f>_xlfn.RANK.AVG(S13,$Q$36:$U$49:$Q$3:$U$13,1)</f>
        <v>185</v>
      </c>
      <c r="T160" s="43">
        <f>_xlfn.RANK.AVG(T13,$Q$36:$U$49:$Q$3:$U$13,1)</f>
        <v>148</v>
      </c>
      <c r="U160" s="63">
        <f>_xlfn.RANK.AVG(U13,$Q$36:$U$49:$Q$3:$U$13,1)</f>
        <v>118</v>
      </c>
    </row>
    <row r="161" spans="3:21">
      <c r="C161" s="469" t="s">
        <v>205</v>
      </c>
      <c r="D161" s="470"/>
      <c r="E161" s="470"/>
      <c r="F161" s="470"/>
      <c r="G161" s="471"/>
      <c r="I161" s="469" t="s">
        <v>205</v>
      </c>
      <c r="J161" s="470"/>
      <c r="K161" s="470"/>
      <c r="L161" s="470"/>
      <c r="M161" s="471"/>
      <c r="Q161" s="469" t="s">
        <v>205</v>
      </c>
      <c r="R161" s="470"/>
      <c r="S161" s="470"/>
      <c r="T161" s="470"/>
      <c r="U161" s="471"/>
    </row>
    <row r="162" spans="3:21">
      <c r="C162" s="70">
        <f>_xlfn.RANK.AVG(C36,$C$36:$G$49:$C$3:$G$13,1)</f>
        <v>1.5</v>
      </c>
      <c r="D162" s="70">
        <f>_xlfn.RANK.AVG(D36,$C$36:$G$49:$C$3:$G$13,1)</f>
        <v>33</v>
      </c>
      <c r="E162" s="70">
        <f>_xlfn.RANK.AVG(E36,$C$36:$G$49:$C$3:$G$13,1)</f>
        <v>84</v>
      </c>
      <c r="F162" s="70">
        <f>_xlfn.RANK.AVG(F36,$C$36:$G$49:$C$3:$G$13,1)</f>
        <v>97</v>
      </c>
      <c r="G162" s="42">
        <f>_xlfn.RANK.AVG(G36,$C$36:$G$49:$C$3:$G$13,1)</f>
        <v>124</v>
      </c>
      <c r="I162" s="43">
        <f>_xlfn.RANK.AVG(J36,$J$36:$N$49:$J$3:$N$13,1)</f>
        <v>191</v>
      </c>
      <c r="J162" s="43">
        <f>_xlfn.RANK.AVG(K36,$J$36:$N$49:$J$3:$N$13,1)</f>
        <v>19</v>
      </c>
      <c r="K162" s="43">
        <f>_xlfn.RANK.AVG(L36,$J$36:$N$49:$J$3:$N$13,1)</f>
        <v>112</v>
      </c>
      <c r="L162" s="43">
        <f>_xlfn.RANK.AVG(M36,$J$36:$N$49:$J$3:$N$13,1)</f>
        <v>19</v>
      </c>
      <c r="M162" s="63">
        <f>_xlfn.RANK.AVG(N36,$J$36:$N$49:$J$3:$N$13,1)</f>
        <v>112</v>
      </c>
      <c r="Q162" s="43">
        <f>_xlfn.RANK.AVG(Q36,$Q$36:$U$49:$Q$3:$U$13,1)</f>
        <v>12</v>
      </c>
      <c r="R162" s="43">
        <f>_xlfn.RANK.AVG(R36,$Q$36:$U$49:$Q$3:$U$13,1)</f>
        <v>19</v>
      </c>
      <c r="S162" s="43">
        <f>_xlfn.RANK.AVG(S36,$Q$36:$U$49:$Q$3:$U$13,1)</f>
        <v>67</v>
      </c>
      <c r="T162" s="43">
        <f>_xlfn.RANK.AVG(T36,$Q$36:$U$49:$Q$3:$U$13,1)</f>
        <v>54.5</v>
      </c>
      <c r="U162" s="63">
        <f>_xlfn.RANK.AVG(U36,$Q$36:$U$49:$Q$3:$U$13,1)</f>
        <v>74</v>
      </c>
    </row>
    <row r="163" spans="3:21">
      <c r="C163" s="70">
        <f>_xlfn.RANK.AVG(C37,$C$36:$G$49:$C$3:$G$13,1)</f>
        <v>12.5</v>
      </c>
      <c r="D163" s="70">
        <f>_xlfn.RANK.AVG(D37,$C$36:$G$49:$C$3:$G$13,1)</f>
        <v>37.5</v>
      </c>
      <c r="E163" s="70">
        <f>_xlfn.RANK.AVG(E37,$C$36:$G$49:$C$3:$G$13,1)</f>
        <v>50.5</v>
      </c>
      <c r="F163" s="70">
        <f>_xlfn.RANK.AVG(F37,$C$36:$G$49:$C$3:$G$13,1)</f>
        <v>29</v>
      </c>
      <c r="G163" s="42">
        <f>_xlfn.RANK.AVG(G37,$C$36:$G$49:$C$3:$G$13,1)</f>
        <v>119.5</v>
      </c>
      <c r="I163" s="43">
        <f>_xlfn.RANK.AVG(J37,$J$36:$N$49:$J$3:$N$13,1)</f>
        <v>14</v>
      </c>
      <c r="J163" s="43">
        <f>_xlfn.RANK.AVG(K37,$J$36:$N$49:$J$3:$N$13,1)</f>
        <v>45.5</v>
      </c>
      <c r="K163" s="43">
        <f>_xlfn.RANK.AVG(L37,$J$36:$N$49:$J$3:$N$13,1)</f>
        <v>128.5</v>
      </c>
      <c r="L163" s="43">
        <f>_xlfn.RANK.AVG(M37,$J$36:$N$49:$J$3:$N$13,1)</f>
        <v>104.5</v>
      </c>
      <c r="M163" s="63">
        <f>_xlfn.RANK.AVG(N37,$J$36:$N$49:$J$3:$N$13,1)</f>
        <v>143</v>
      </c>
      <c r="Q163" s="43">
        <f>_xlfn.RANK.AVG(Q37,$Q$36:$U$49:$Q$3:$U$13,1)</f>
        <v>39</v>
      </c>
      <c r="R163" s="43">
        <f>_xlfn.RANK.AVG(R37,$Q$36:$U$49:$Q$3:$U$13,1)</f>
        <v>47</v>
      </c>
      <c r="S163" s="43">
        <f>_xlfn.RANK.AVG(S37,$Q$36:$U$49:$Q$3:$U$13,1)</f>
        <v>49</v>
      </c>
      <c r="T163" s="43">
        <f>_xlfn.RANK.AVG(T37,$Q$36:$U$49:$Q$3:$U$13,1)</f>
        <v>21</v>
      </c>
      <c r="U163" s="63">
        <f>_xlfn.RANK.AVG(U37,$Q$36:$U$49:$Q$3:$U$13,1)</f>
        <v>86.5</v>
      </c>
    </row>
    <row r="164" spans="3:21">
      <c r="C164" s="70">
        <f>_xlfn.RANK.AVG(C38,$C$36:$G$49:$C$3:$G$13,1)</f>
        <v>26.5</v>
      </c>
      <c r="D164" s="70">
        <f>_xlfn.RANK.AVG(D38,$C$36:$G$49:$C$3:$G$13,1)</f>
        <v>71.5</v>
      </c>
      <c r="E164" s="70">
        <f>_xlfn.RANK.AVG(E38,$C$36:$G$49:$C$3:$G$13,1)</f>
        <v>45</v>
      </c>
      <c r="F164" s="70">
        <f>_xlfn.RANK.AVG(F38,$C$36:$G$49:$C$3:$G$13,1)</f>
        <v>57</v>
      </c>
      <c r="G164" s="42">
        <f>_xlfn.RANK.AVG(G38,$C$36:$G$49:$C$3:$G$13,1)</f>
        <v>105.5</v>
      </c>
      <c r="I164" s="43">
        <f>_xlfn.RANK.AVG(J38,$J$36:$N$49:$J$3:$N$13,1)</f>
        <v>168</v>
      </c>
      <c r="J164" s="43">
        <f>_xlfn.RANK.AVG(K38,$J$36:$N$49:$J$3:$N$13,1)</f>
        <v>128.5</v>
      </c>
      <c r="K164" s="43">
        <f>_xlfn.RANK.AVG(L38,$J$36:$N$49:$J$3:$N$13,1)</f>
        <v>159</v>
      </c>
      <c r="L164" s="43">
        <f>_xlfn.RANK.AVG(M38,$J$36:$N$49:$J$3:$N$13,1)</f>
        <v>133.5</v>
      </c>
      <c r="M164" s="63">
        <f>_xlfn.RANK.AVG(N38,$J$36:$N$49:$J$3:$N$13,1)</f>
        <v>98</v>
      </c>
      <c r="Q164" s="43">
        <f>_xlfn.RANK.AVG(Q38,$Q$36:$U$49:$Q$3:$U$13,1)</f>
        <v>31</v>
      </c>
      <c r="R164" s="43">
        <f>_xlfn.RANK.AVG(R38,$Q$36:$U$49:$Q$3:$U$13,1)</f>
        <v>98.5</v>
      </c>
      <c r="S164" s="43">
        <f>_xlfn.RANK.AVG(S38,$Q$36:$U$49:$Q$3:$U$13,1)</f>
        <v>51</v>
      </c>
      <c r="T164" s="43">
        <f>_xlfn.RANK.AVG(T38,$Q$36:$U$49:$Q$3:$U$13,1)</f>
        <v>134.5</v>
      </c>
      <c r="U164" s="63">
        <f>_xlfn.RANK.AVG(U38,$Q$36:$U$49:$Q$3:$U$13,1)</f>
        <v>127.5</v>
      </c>
    </row>
    <row r="165" spans="3:21">
      <c r="C165" s="70">
        <f>_xlfn.RANK.AVG(C39,$C$36:$G$49:$C$3:$G$13,1)</f>
        <v>4</v>
      </c>
      <c r="D165" s="70">
        <f>_xlfn.RANK.AVG(D39,$C$36:$G$49:$C$3:$G$13,1)</f>
        <v>65</v>
      </c>
      <c r="E165" s="70">
        <f>_xlfn.RANK.AVG(E39,$C$36:$G$49:$C$3:$G$13,1)</f>
        <v>97</v>
      </c>
      <c r="F165" s="70">
        <f>_xlfn.RANK.AVG(F39,$C$36:$G$49:$C$3:$G$13,1)</f>
        <v>141.5</v>
      </c>
      <c r="G165" s="42">
        <f>_xlfn.RANK.AVG(G39,$C$36:$G$49:$C$3:$G$13,1)</f>
        <v>131</v>
      </c>
      <c r="I165" s="43">
        <f>_xlfn.RANK.AVG(J39,$J$36:$N$49:$J$3:$N$13,1)</f>
        <v>177.5</v>
      </c>
      <c r="J165" s="43">
        <f>_xlfn.RANK.AVG(K39,$J$36:$N$49:$J$3:$N$13,1)</f>
        <v>63</v>
      </c>
      <c r="K165" s="43">
        <f>_xlfn.RANK.AVG(L39,$J$36:$N$49:$J$3:$N$13,1)</f>
        <v>161.5</v>
      </c>
      <c r="L165" s="43">
        <f>_xlfn.RANK.AVG(M39,$J$36:$N$49:$J$3:$N$13,1)</f>
        <v>73.5</v>
      </c>
      <c r="M165" s="63">
        <f>_xlfn.RANK.AVG(N39,$J$36:$N$49:$J$3:$N$13,1)</f>
        <v>159</v>
      </c>
      <c r="Q165" s="43">
        <f>_xlfn.RANK.AVG(Q39,$Q$36:$U$49:$Q$3:$U$13,1)</f>
        <v>3</v>
      </c>
      <c r="R165" s="43">
        <f>_xlfn.RANK.AVG(R39,$Q$36:$U$49:$Q$3:$U$13,1)</f>
        <v>9</v>
      </c>
      <c r="S165" s="43">
        <f>_xlfn.RANK.AVG(S39,$Q$36:$U$49:$Q$3:$U$13,1)</f>
        <v>44</v>
      </c>
      <c r="T165" s="43">
        <f>_xlfn.RANK.AVG(T39,$Q$36:$U$49:$Q$3:$U$13,1)</f>
        <v>145</v>
      </c>
      <c r="U165" s="63">
        <f>_xlfn.RANK.AVG(U39,$Q$36:$U$49:$Q$3:$U$13,1)</f>
        <v>58.5</v>
      </c>
    </row>
    <row r="166" spans="3:21">
      <c r="C166" s="70">
        <f>_xlfn.RANK.AVG(C40,$C$36:$G$49:$C$3:$G$13,1)</f>
        <v>42</v>
      </c>
      <c r="D166" s="70">
        <f>_xlfn.RANK.AVG(D40,$C$36:$G$49:$C$3:$G$13,1)</f>
        <v>5</v>
      </c>
      <c r="E166" s="70">
        <f>_xlfn.RANK.AVG(E40,$C$36:$G$49:$C$3:$G$13,1)</f>
        <v>117</v>
      </c>
      <c r="F166" s="70">
        <f>_xlfn.RANK.AVG(F40,$C$36:$G$49:$C$3:$G$13,1)</f>
        <v>131</v>
      </c>
      <c r="G166" s="42">
        <f>_xlfn.RANK.AVG(G40,$C$36:$G$49:$C$3:$G$13,1)</f>
        <v>50.5</v>
      </c>
      <c r="I166" s="43">
        <f>_xlfn.RANK.AVG(J40,$J$36:$N$49:$J$3:$N$13,1)</f>
        <v>80.5</v>
      </c>
      <c r="J166" s="43">
        <f>_xlfn.RANK.AVG(K40,$J$36:$N$49:$J$3:$N$13,1)</f>
        <v>112</v>
      </c>
      <c r="K166" s="43">
        <f>_xlfn.RANK.AVG(L40,$J$36:$N$49:$J$3:$N$13,1)</f>
        <v>175.5</v>
      </c>
      <c r="L166" s="43">
        <f>_xlfn.RANK.AVG(M40,$J$36:$N$49:$J$3:$N$13,1)</f>
        <v>89</v>
      </c>
      <c r="M166" s="63">
        <f>_xlfn.RANK.AVG(N40,$J$36:$N$49:$J$3:$N$13,1)</f>
        <v>108</v>
      </c>
      <c r="Q166" s="43">
        <f>_xlfn.RANK.AVG(Q40,$Q$36:$U$49:$Q$3:$U$13,1)</f>
        <v>65</v>
      </c>
      <c r="R166" s="43">
        <f>_xlfn.RANK.AVG(R40,$Q$36:$U$49:$Q$3:$U$13,1)</f>
        <v>2</v>
      </c>
      <c r="S166" s="43">
        <f>_xlfn.RANK.AVG(S40,$Q$36:$U$49:$Q$3:$U$13,1)</f>
        <v>149.5</v>
      </c>
      <c r="T166" s="43">
        <f>_xlfn.RANK.AVG(T40,$Q$36:$U$49:$Q$3:$U$13,1)</f>
        <v>28</v>
      </c>
      <c r="U166" s="63">
        <f>_xlfn.RANK.AVG(U40,$Q$36:$U$49:$Q$3:$U$13,1)</f>
        <v>65</v>
      </c>
    </row>
    <row r="167" spans="3:21">
      <c r="C167" s="70">
        <f>_xlfn.RANK.AVG(C41,$C$36:$G$49:$C$3:$G$13,1)</f>
        <v>29</v>
      </c>
      <c r="D167" s="70">
        <f>_xlfn.RANK.AVG(D41,$C$36:$G$49:$C$3:$G$13,1)</f>
        <v>50.5</v>
      </c>
      <c r="E167" s="70">
        <f>_xlfn.RANK.AVG(E41,$C$36:$G$49:$C$3:$G$13,1)</f>
        <v>61.5</v>
      </c>
      <c r="F167" s="70">
        <f>_xlfn.RANK.AVG(F41,$C$36:$G$49:$C$3:$G$13,1)</f>
        <v>177</v>
      </c>
      <c r="G167" s="42">
        <f>_xlfn.RANK.AVG(G41,$C$36:$G$49:$C$3:$G$13,1)</f>
        <v>171</v>
      </c>
      <c r="I167" s="43">
        <f>_xlfn.RANK.AVG(J41,$J$36:$N$49:$J$3:$N$13,1)</f>
        <v>73.5</v>
      </c>
      <c r="J167" s="43">
        <f>_xlfn.RANK.AVG(K41,$J$36:$N$49:$J$3:$N$13,1)</f>
        <v>139.5</v>
      </c>
      <c r="K167" s="43">
        <f>_xlfn.RANK.AVG(L41,$J$36:$N$49:$J$3:$N$13,1)</f>
        <v>151.5</v>
      </c>
      <c r="L167" s="43">
        <f>_xlfn.RANK.AVG(M41,$J$36:$N$49:$J$3:$N$13,1)</f>
        <v>143</v>
      </c>
      <c r="M167" s="63">
        <f>_xlfn.RANK.AVG(N41,$J$36:$N$49:$J$3:$N$13,1)</f>
        <v>73.5</v>
      </c>
      <c r="Q167" s="43">
        <f>_xlfn.RANK.AVG(Q41,$Q$36:$U$49:$Q$3:$U$13,1)</f>
        <v>27</v>
      </c>
      <c r="R167" s="43">
        <f>_xlfn.RANK.AVG(R41,$Q$36:$U$49:$Q$3:$U$13,1)</f>
        <v>167</v>
      </c>
      <c r="S167" s="43">
        <f>_xlfn.RANK.AVG(S41,$Q$36:$U$49:$Q$3:$U$13,1)</f>
        <v>41</v>
      </c>
      <c r="T167" s="43">
        <f>_xlfn.RANK.AVG(T41,$Q$36:$U$49:$Q$3:$U$13,1)</f>
        <v>60</v>
      </c>
      <c r="U167" s="63">
        <f>_xlfn.RANK.AVG(U41,$Q$36:$U$49:$Q$3:$U$13,1)</f>
        <v>34.5</v>
      </c>
    </row>
    <row r="168" spans="3:21">
      <c r="C168" s="70">
        <f>_xlfn.RANK.AVG(C42,$C$36:$G$49:$C$3:$G$13,1)</f>
        <v>61.5</v>
      </c>
      <c r="D168" s="70">
        <f>_xlfn.RANK.AVG(D42,$C$36:$G$49:$C$3:$G$13,1)</f>
        <v>117</v>
      </c>
      <c r="E168" s="70">
        <f>_xlfn.RANK.AVG(E42,$C$36:$G$49:$C$3:$G$13,1)</f>
        <v>84</v>
      </c>
      <c r="F168" s="70">
        <f>_xlfn.RANK.AVG(F42,$C$36:$G$49:$C$3:$G$13,1)</f>
        <v>89.5</v>
      </c>
      <c r="G168" s="42">
        <f>_xlfn.RANK.AVG(G42,$C$36:$G$49:$C$3:$G$13,1)</f>
        <v>141.5</v>
      </c>
      <c r="I168" s="43">
        <f>_xlfn.RANK.AVG(J42,$J$36:$N$49:$J$3:$N$13,1)</f>
        <v>17</v>
      </c>
      <c r="J168" s="43">
        <f>_xlfn.RANK.AVG(K42,$J$36:$N$49:$J$3:$N$13,1)</f>
        <v>11</v>
      </c>
      <c r="K168" s="43">
        <f>_xlfn.RANK.AVG(L42,$J$36:$N$49:$J$3:$N$13,1)</f>
        <v>28.5</v>
      </c>
      <c r="L168" s="43">
        <f>_xlfn.RANK.AVG(M42,$J$36:$N$49:$J$3:$N$13,1)</f>
        <v>52.5</v>
      </c>
      <c r="M168" s="63">
        <f>_xlfn.RANK.AVG(N42,$J$36:$N$49:$J$3:$N$13,1)</f>
        <v>80.5</v>
      </c>
      <c r="Q168" s="43">
        <f>_xlfn.RANK.AVG(Q42,$Q$36:$U$49:$Q$3:$U$13,1)</f>
        <v>4</v>
      </c>
      <c r="R168" s="43">
        <f>_xlfn.RANK.AVG(R42,$Q$36:$U$49:$Q$3:$U$13,1)</f>
        <v>142</v>
      </c>
      <c r="S168" s="43">
        <f>_xlfn.RANK.AVG(S42,$Q$36:$U$49:$Q$3:$U$13,1)</f>
        <v>42</v>
      </c>
      <c r="T168" s="43">
        <f>_xlfn.RANK.AVG(T42,$Q$36:$U$49:$Q$3:$U$13,1)</f>
        <v>130</v>
      </c>
      <c r="U168" s="63">
        <f>_xlfn.RANK.AVG(U42,$Q$36:$U$49:$Q$3:$U$13,1)</f>
        <v>161</v>
      </c>
    </row>
    <row r="169" spans="3:21">
      <c r="C169" s="70">
        <f>_xlfn.RANK.AVG(C43,$C$36:$G$49:$C$3:$G$13,1)</f>
        <v>40</v>
      </c>
      <c r="D169" s="70">
        <f>_xlfn.RANK.AVG(D43,$C$36:$G$49:$C$3:$G$13,1)</f>
        <v>23</v>
      </c>
      <c r="E169" s="70">
        <f>_xlfn.RANK.AVG(E43,$C$36:$G$49:$C$3:$G$13,1)</f>
        <v>37.5</v>
      </c>
      <c r="F169" s="70">
        <f>_xlfn.RANK.AVG(F43,$C$36:$G$49:$C$3:$G$13,1)</f>
        <v>45</v>
      </c>
      <c r="G169" s="42">
        <f>_xlfn.RANK.AVG(G43,$C$36:$G$49:$C$3:$G$13,1)</f>
        <v>65</v>
      </c>
      <c r="I169" s="43">
        <f>_xlfn.RANK.AVG(J43,$J$36:$N$49:$J$3:$N$13,1)</f>
        <v>170</v>
      </c>
      <c r="J169" s="43">
        <f>_xlfn.RANK.AVG(K43,$J$36:$N$49:$J$3:$N$13,1)</f>
        <v>49</v>
      </c>
      <c r="K169" s="43">
        <f>_xlfn.RANK.AVG(L43,$J$36:$N$49:$J$3:$N$13,1)</f>
        <v>151.5</v>
      </c>
      <c r="L169" s="43">
        <f>_xlfn.RANK.AVG(M43,$J$36:$N$49:$J$3:$N$13,1)</f>
        <v>89</v>
      </c>
      <c r="M169" s="63">
        <f>_xlfn.RANK.AVG(N43,$J$36:$N$49:$J$3:$N$13,1)</f>
        <v>118</v>
      </c>
      <c r="Q169" s="43">
        <f>_xlfn.RANK.AVG(Q43,$Q$36:$U$49:$Q$3:$U$13,1)</f>
        <v>14.5</v>
      </c>
      <c r="R169" s="43">
        <f>_xlfn.RANK.AVG(R43,$Q$36:$U$49:$Q$3:$U$13,1)</f>
        <v>10</v>
      </c>
      <c r="S169" s="43">
        <f>_xlfn.RANK.AVG(S43,$Q$36:$U$49:$Q$3:$U$13,1)</f>
        <v>33</v>
      </c>
      <c r="T169" s="43">
        <f>_xlfn.RANK.AVG(T43,$Q$36:$U$49:$Q$3:$U$13,1)</f>
        <v>108.5</v>
      </c>
      <c r="U169" s="63">
        <f>_xlfn.RANK.AVG(U43,$Q$36:$U$49:$Q$3:$U$13,1)</f>
        <v>168</v>
      </c>
    </row>
    <row r="170" spans="3:21">
      <c r="C170" s="70">
        <f>_xlfn.RANK.AVG(C44,$C$36:$G$49:$C$3:$G$13,1)</f>
        <v>1.5</v>
      </c>
      <c r="D170" s="70">
        <f>_xlfn.RANK.AVG(D44,$C$36:$G$49:$C$3:$G$13,1)</f>
        <v>37.5</v>
      </c>
      <c r="E170" s="70">
        <f>_xlfn.RANK.AVG(E44,$C$36:$G$49:$C$3:$G$13,1)</f>
        <v>112</v>
      </c>
      <c r="F170" s="70">
        <f>_xlfn.RANK.AVG(F44,$C$36:$G$49:$C$3:$G$13,1)</f>
        <v>89.5</v>
      </c>
      <c r="G170" s="42">
        <f>_xlfn.RANK.AVG(G44,$C$36:$G$49:$C$3:$G$13,1)</f>
        <v>136.5</v>
      </c>
      <c r="I170" s="43">
        <f>_xlfn.RANK.AVG(J44,$J$36:$N$49:$J$3:$N$13,1)</f>
        <v>80.5</v>
      </c>
      <c r="J170" s="43">
        <f>_xlfn.RANK.AVG(K44,$J$36:$N$49:$J$3:$N$13,1)</f>
        <v>6.5</v>
      </c>
      <c r="K170" s="43">
        <f>_xlfn.RANK.AVG(L44,$J$36:$N$49:$J$3:$N$13,1)</f>
        <v>195</v>
      </c>
      <c r="L170" s="43">
        <f>_xlfn.RANK.AVG(M44,$J$36:$N$49:$J$3:$N$13,1)</f>
        <v>133.5</v>
      </c>
      <c r="M170" s="63">
        <f>_xlfn.RANK.AVG(N44,$J$36:$N$49:$J$3:$N$13,1)</f>
        <v>86</v>
      </c>
      <c r="Q170" s="43">
        <f>_xlfn.RANK.AVG(Q44,$Q$36:$U$49:$Q$3:$U$13,1)</f>
        <v>113</v>
      </c>
      <c r="R170" s="43">
        <f>_xlfn.RANK.AVG(R44,$Q$36:$U$49:$Q$3:$U$13,1)</f>
        <v>162</v>
      </c>
      <c r="S170" s="43">
        <f>_xlfn.RANK.AVG(S44,$Q$36:$U$49:$Q$3:$U$13,1)</f>
        <v>180.5</v>
      </c>
      <c r="T170" s="43">
        <f>_xlfn.RANK.AVG(T44,$Q$36:$U$49:$Q$3:$U$13,1)</f>
        <v>23.5</v>
      </c>
      <c r="U170" s="63">
        <f>_xlfn.RANK.AVG(U44,$Q$36:$U$49:$Q$3:$U$13,1)</f>
        <v>8</v>
      </c>
    </row>
    <row r="171" spans="3:21">
      <c r="C171" s="70">
        <f>_xlfn.RANK.AVG(C45,$C$36:$G$49:$C$3:$G$13,1)</f>
        <v>23</v>
      </c>
      <c r="D171" s="70">
        <f>_xlfn.RANK.AVG(D45,$C$36:$G$49:$C$3:$G$13,1)</f>
        <v>89.5</v>
      </c>
      <c r="E171" s="70">
        <f>_xlfn.RANK.AVG(E45,$C$36:$G$49:$C$3:$G$13,1)</f>
        <v>12.5</v>
      </c>
      <c r="F171" s="70">
        <f>_xlfn.RANK.AVG(F45,$C$36:$G$49:$C$3:$G$13,1)</f>
        <v>155.5</v>
      </c>
      <c r="G171" s="42">
        <f>_xlfn.RANK.AVG(G45,$C$36:$G$49:$C$3:$G$13,1)</f>
        <v>50.5</v>
      </c>
      <c r="I171" s="43">
        <f>_xlfn.RANK.AVG(J45,$J$36:$N$49:$J$3:$N$13,1)</f>
        <v>80.5</v>
      </c>
      <c r="J171" s="43">
        <f>_xlfn.RANK.AVG(K45,$J$36:$N$49:$J$3:$N$13,1)</f>
        <v>151.5</v>
      </c>
      <c r="K171" s="43">
        <f>_xlfn.RANK.AVG(L45,$J$36:$N$49:$J$3:$N$13,1)</f>
        <v>98</v>
      </c>
      <c r="L171" s="43">
        <f>_xlfn.RANK.AVG(M45,$J$36:$N$49:$J$3:$N$13,1)</f>
        <v>42.5</v>
      </c>
      <c r="M171" s="63">
        <f>_xlfn.RANK.AVG(N45,$J$36:$N$49:$J$3:$N$13,1)</f>
        <v>143</v>
      </c>
      <c r="Q171" s="43">
        <f>_xlfn.RANK.AVG(Q45,$Q$36:$U$49:$Q$3:$U$13,1)</f>
        <v>118</v>
      </c>
      <c r="R171" s="43">
        <f>_xlfn.RANK.AVG(R45,$Q$36:$U$49:$Q$3:$U$13,1)</f>
        <v>76</v>
      </c>
      <c r="S171" s="43">
        <f>_xlfn.RANK.AVG(S45,$Q$36:$U$49:$Q$3:$U$13,1)</f>
        <v>30</v>
      </c>
      <c r="T171" s="43">
        <f>_xlfn.RANK.AVG(T45,$Q$36:$U$49:$Q$3:$U$13,1)</f>
        <v>180.5</v>
      </c>
      <c r="U171" s="63">
        <f>_xlfn.RANK.AVG(U45,$Q$36:$U$49:$Q$3:$U$13,1)</f>
        <v>122</v>
      </c>
    </row>
    <row r="172" spans="3:21">
      <c r="C172" s="70">
        <f>_xlfn.RANK.AVG(C46,$C$36:$G$49:$C$3:$G$13,1)</f>
        <v>9.5</v>
      </c>
      <c r="D172" s="70">
        <f>_xlfn.RANK.AVG(D46,$C$36:$G$49:$C$3:$G$13,1)</f>
        <v>79</v>
      </c>
      <c r="E172" s="70">
        <f>_xlfn.RANK.AVG(E46,$C$36:$G$49:$C$3:$G$13,1)</f>
        <v>9.5</v>
      </c>
      <c r="F172" s="70">
        <f>_xlfn.RANK.AVG(F46,$C$36:$G$49:$C$3:$G$13,1)</f>
        <v>33</v>
      </c>
      <c r="G172" s="42">
        <f>_xlfn.RANK.AVG(G46,$C$36:$G$49:$C$3:$G$13,1)</f>
        <v>33</v>
      </c>
      <c r="I172" s="43">
        <f>_xlfn.RANK.AVG(J46,$J$36:$N$49:$J$3:$N$13,1)</f>
        <v>137.5</v>
      </c>
      <c r="J172" s="43">
        <f>_xlfn.RANK.AVG(K46,$J$36:$N$49:$J$3:$N$13,1)</f>
        <v>93.5</v>
      </c>
      <c r="K172" s="43">
        <f>_xlfn.RANK.AVG(L46,$J$36:$N$49:$J$3:$N$13,1)</f>
        <v>165.5</v>
      </c>
      <c r="L172" s="43">
        <f>_xlfn.RANK.AVG(M46,$J$36:$N$49:$J$3:$N$13,1)</f>
        <v>69</v>
      </c>
      <c r="M172" s="63">
        <f>_xlfn.RANK.AVG(N46,$J$36:$N$49:$J$3:$N$13,1)</f>
        <v>172.5</v>
      </c>
      <c r="Q172" s="43">
        <f>_xlfn.RANK.AVG(Q46,$Q$36:$U$49:$Q$3:$U$13,1)</f>
        <v>171.5</v>
      </c>
      <c r="R172" s="43">
        <f>_xlfn.RANK.AVG(R46,$Q$36:$U$49:$Q$3:$U$13,1)</f>
        <v>112</v>
      </c>
      <c r="S172" s="43">
        <f>_xlfn.RANK.AVG(S46,$Q$36:$U$49:$Q$3:$U$13,1)</f>
        <v>40</v>
      </c>
      <c r="T172" s="43">
        <f>_xlfn.RANK.AVG(T46,$Q$36:$U$49:$Q$3:$U$13,1)</f>
        <v>52.5</v>
      </c>
      <c r="U172" s="63">
        <f>_xlfn.RANK.AVG(U46,$Q$36:$U$49:$Q$3:$U$13,1)</f>
        <v>84.5</v>
      </c>
    </row>
    <row r="173" spans="3:21">
      <c r="C173" s="70">
        <f>_xlfn.RANK.AVG(C47,$C$36:$G$49:$C$3:$G$13,1)</f>
        <v>3</v>
      </c>
      <c r="D173" s="70">
        <f>_xlfn.RANK.AVG(D47,$C$36:$G$49:$C$3:$G$13,1)</f>
        <v>33</v>
      </c>
      <c r="E173" s="70">
        <f>_xlfn.RANK.AVG(E47,$C$36:$G$49:$C$3:$G$13,1)</f>
        <v>71.5</v>
      </c>
      <c r="F173" s="70">
        <f>_xlfn.RANK.AVG(F47,$C$36:$G$49:$C$3:$G$13,1)</f>
        <v>71.5</v>
      </c>
      <c r="G173" s="42">
        <f>_xlfn.RANK.AVG(G47,$C$36:$G$49:$C$3:$G$13,1)</f>
        <v>89.5</v>
      </c>
      <c r="I173" s="43">
        <f>_xlfn.RANK.AVG(J47,$J$36:$N$49:$J$3:$N$13,1)</f>
        <v>69</v>
      </c>
      <c r="J173" s="43">
        <f>_xlfn.RANK.AVG(K47,$J$36:$N$49:$J$3:$N$13,1)</f>
        <v>28.5</v>
      </c>
      <c r="K173" s="43">
        <f>_xlfn.RANK.AVG(L47,$J$36:$N$49:$J$3:$N$13,1)</f>
        <v>168</v>
      </c>
      <c r="L173" s="43">
        <f>_xlfn.RANK.AVG(M47,$J$36:$N$49:$J$3:$N$13,1)</f>
        <v>137.5</v>
      </c>
      <c r="M173" s="63">
        <f>_xlfn.RANK.AVG(N47,$J$36:$N$49:$J$3:$N$13,1)</f>
        <v>56</v>
      </c>
      <c r="Q173" s="43">
        <f>_xlfn.RANK.AVG(Q47,$Q$36:$U$49:$Q$3:$U$13,1)</f>
        <v>191</v>
      </c>
      <c r="R173" s="43">
        <f>_xlfn.RANK.AVG(R47,$Q$36:$U$49:$Q$3:$U$13,1)</f>
        <v>97</v>
      </c>
      <c r="S173" s="43">
        <f>_xlfn.RANK.AVG(S47,$Q$36:$U$49:$Q$3:$U$13,1)</f>
        <v>62</v>
      </c>
      <c r="T173" s="43">
        <f>_xlfn.RANK.AVG(T47,$Q$36:$U$49:$Q$3:$U$13,1)</f>
        <v>54.5</v>
      </c>
      <c r="U173" s="63">
        <f>_xlfn.RANK.AVG(U47,$Q$36:$U$49:$Q$3:$U$13,1)</f>
        <v>151</v>
      </c>
    </row>
    <row r="174" spans="3:21">
      <c r="C174" s="70">
        <f>_xlfn.RANK.AVG(C48,$C$36:$G$49:$C$3:$G$13,1)</f>
        <v>6.5</v>
      </c>
      <c r="D174" s="70">
        <f>_xlfn.RANK.AVG(D48,$C$36:$G$49:$C$3:$G$13,1)</f>
        <v>23</v>
      </c>
      <c r="E174" s="70">
        <f>_xlfn.RANK.AVG(E48,$C$36:$G$49:$C$3:$G$13,1)</f>
        <v>6.5</v>
      </c>
      <c r="F174" s="70">
        <f>_xlfn.RANK.AVG(F48,$C$36:$G$49:$C$3:$G$13,1)</f>
        <v>147</v>
      </c>
      <c r="G174" s="42">
        <f>_xlfn.RANK.AVG(G48,$C$36:$G$49:$C$3:$G$13,1)</f>
        <v>169.5</v>
      </c>
      <c r="I174" s="43">
        <f>_xlfn.RANK.AVG(J48,$J$36:$N$49:$J$3:$N$13,1)</f>
        <v>118</v>
      </c>
      <c r="J174" s="43">
        <f>_xlfn.RANK.AVG(K48,$J$36:$N$49:$J$3:$N$13,1)</f>
        <v>30.5</v>
      </c>
      <c r="K174" s="43">
        <f>_xlfn.RANK.AVG(L48,$J$36:$N$49:$J$3:$N$13,1)</f>
        <v>38</v>
      </c>
      <c r="L174" s="43">
        <f>_xlfn.RANK.AVG(M48,$J$36:$N$49:$J$3:$N$13,1)</f>
        <v>108</v>
      </c>
      <c r="M174" s="63">
        <f>_xlfn.RANK.AVG(N48,$J$36:$N$49:$J$3:$N$13,1)</f>
        <v>122.5</v>
      </c>
      <c r="Q174" s="43">
        <f>_xlfn.RANK.AVG(Q48,$Q$36:$U$49:$Q$3:$U$13,1)</f>
        <v>91.5</v>
      </c>
      <c r="R174" s="43">
        <f>_xlfn.RANK.AVG(R48,$Q$36:$U$49:$Q$3:$U$13,1)</f>
        <v>70.5</v>
      </c>
      <c r="S174" s="43">
        <f>_xlfn.RANK.AVG(S48,$Q$36:$U$49:$Q$3:$U$13,1)</f>
        <v>62</v>
      </c>
      <c r="T174" s="43">
        <f>_xlfn.RANK.AVG(T48,$Q$36:$U$49:$Q$3:$U$13,1)</f>
        <v>76</v>
      </c>
      <c r="U174" s="63">
        <f>_xlfn.RANK.AVG(U48,$Q$36:$U$49:$Q$3:$U$13,1)</f>
        <v>144</v>
      </c>
    </row>
    <row r="175" spans="3:21">
      <c r="C175" s="60">
        <f>_xlfn.RANK.AVG(C49,$C$36:$G$49:$C$3:$G$13,1)</f>
        <v>17</v>
      </c>
      <c r="D175" s="60">
        <f>_xlfn.RANK.AVG(D49,$C$36:$G$49:$C$3:$G$13,1)</f>
        <v>37.5</v>
      </c>
      <c r="E175" s="60">
        <f>_xlfn.RANK.AVG(E49,$C$36:$G$49:$C$3:$G$13,1)</f>
        <v>29</v>
      </c>
      <c r="F175" s="60">
        <f>_xlfn.RANK.AVG(F49,$C$36:$G$49:$C$3:$G$13,1)</f>
        <v>117</v>
      </c>
      <c r="G175" s="337">
        <f>_xlfn.RANK.AVG(G49,$C$36:$G$49:$C$3:$G$13,1)</f>
        <v>105.5</v>
      </c>
      <c r="I175" s="58">
        <f>_xlfn.RANK.AVG(J49,$J$36:$N$49:$J$3:$N$13,1)</f>
        <v>108</v>
      </c>
      <c r="J175" s="58">
        <f>_xlfn.RANK.AVG(K49,$J$36:$N$49:$J$3:$N$13,1)</f>
        <v>98</v>
      </c>
      <c r="K175" s="58">
        <f>_xlfn.RANK.AVG(L49,$J$36:$N$49:$J$3:$N$13,1)</f>
        <v>125</v>
      </c>
      <c r="L175" s="58">
        <f>_xlfn.RANK.AVG(M49,$J$36:$N$49:$J$3:$N$13,1)</f>
        <v>73.5</v>
      </c>
      <c r="M175" s="61">
        <f>_xlfn.RANK.AVG(N49,$J$36:$N$49:$J$3:$N$13,1)</f>
        <v>189</v>
      </c>
      <c r="Q175" s="58">
        <f>_xlfn.RANK.AVG(Q49,$Q$36:$U$49:$Q$3:$U$13,1)</f>
        <v>1</v>
      </c>
      <c r="R175" s="58">
        <f>_xlfn.RANK.AVG(R49,$Q$36:$U$49:$Q$3:$U$13,1)</f>
        <v>138</v>
      </c>
      <c r="S175" s="58">
        <f>_xlfn.RANK.AVG(S49,$Q$36:$U$49:$Q$3:$U$13,1)</f>
        <v>62</v>
      </c>
      <c r="T175" s="58">
        <f>_xlfn.RANK.AVG(T49,$Q$36:$U$49:$Q$3:$U$13,1)</f>
        <v>46</v>
      </c>
      <c r="U175" s="61">
        <f>_xlfn.RANK.AVG(U49,$Q$36:$U$49:$Q$3:$U$13,1)</f>
        <v>83</v>
      </c>
    </row>
    <row r="176" spans="3:21">
      <c r="I176" s="297"/>
      <c r="Q176" s="297"/>
      <c r="R176" s="297"/>
      <c r="S176" s="297"/>
      <c r="T176" s="297"/>
      <c r="U176" s="297"/>
    </row>
    <row r="177" spans="3:21">
      <c r="D177" s="187" t="s">
        <v>175</v>
      </c>
      <c r="E177" s="187" t="s">
        <v>205</v>
      </c>
      <c r="I177" s="297"/>
      <c r="J177" s="297" t="s">
        <v>175</v>
      </c>
      <c r="K177" s="297" t="s">
        <v>205</v>
      </c>
      <c r="Q177" s="297"/>
      <c r="R177" s="297" t="s">
        <v>175</v>
      </c>
      <c r="S177" s="297" t="s">
        <v>205</v>
      </c>
      <c r="T177" s="297"/>
      <c r="U177" s="297"/>
    </row>
    <row r="178" spans="3:21">
      <c r="C178" s="367" t="s">
        <v>207</v>
      </c>
      <c r="D178" s="203">
        <f>COUNT(C150:G160)</f>
        <v>55</v>
      </c>
      <c r="E178" s="203">
        <f>COUNT(C162:G175)</f>
        <v>70</v>
      </c>
      <c r="I178" s="372" t="s">
        <v>207</v>
      </c>
      <c r="J178" s="340">
        <f>COUNT(I150:M160)</f>
        <v>55</v>
      </c>
      <c r="K178" s="340">
        <f>COUNT(I162:M175)</f>
        <v>70</v>
      </c>
      <c r="Q178" s="372" t="s">
        <v>207</v>
      </c>
      <c r="R178" s="340">
        <f>COUNT(Q150:U160)</f>
        <v>55</v>
      </c>
      <c r="S178" s="340">
        <f>COUNT(Q162:U175)</f>
        <v>70</v>
      </c>
      <c r="T178" s="297"/>
      <c r="U178" s="297"/>
    </row>
    <row r="179" spans="3:21">
      <c r="C179" s="367" t="s">
        <v>208</v>
      </c>
      <c r="D179" s="203">
        <f>SUM(C150:G160)</f>
        <v>7285.5</v>
      </c>
      <c r="E179" s="203">
        <f>SUM(C162:G175)</f>
        <v>4670</v>
      </c>
      <c r="I179" s="372" t="s">
        <v>208</v>
      </c>
      <c r="J179" s="340">
        <f>SUM(I150:M160)</f>
        <v>4426</v>
      </c>
      <c r="K179" s="340">
        <f>SUM(I162:M175)</f>
        <v>7247.5</v>
      </c>
      <c r="Q179" s="372" t="s">
        <v>208</v>
      </c>
      <c r="R179" s="340">
        <f>SUM(Q150:U160)</f>
        <v>6567.5</v>
      </c>
      <c r="S179" s="340">
        <f>SUM(Q162:U175)</f>
        <v>5426.5</v>
      </c>
      <c r="T179" s="297"/>
      <c r="U179" s="297"/>
    </row>
    <row r="180" spans="3:21">
      <c r="C180" s="367" t="s">
        <v>214</v>
      </c>
      <c r="D180" s="203">
        <f>D178*E178+(D178*(D178+1)/2)-D179</f>
        <v>-1895.5</v>
      </c>
      <c r="E180" s="203">
        <f>E178*D178+(E178*(E178+1)/2)-E179</f>
        <v>1665</v>
      </c>
      <c r="I180" s="372" t="s">
        <v>214</v>
      </c>
      <c r="J180" s="340">
        <f>J178*K178+(J178*(J178+1)/2)-J179</f>
        <v>964</v>
      </c>
      <c r="K180" s="340">
        <f>K178*J178+(K178*(K178+1)/2)-K179</f>
        <v>-912.5</v>
      </c>
      <c r="Q180" s="372" t="s">
        <v>214</v>
      </c>
      <c r="R180" s="340">
        <f>R178*S178+(R178*(R178+1)/2)-R179</f>
        <v>-1177.5</v>
      </c>
      <c r="S180" s="340">
        <f>S178*R178+(S178*(S178+1)/2)-S179</f>
        <v>908.5</v>
      </c>
      <c r="T180" s="297"/>
      <c r="U180" s="297"/>
    </row>
    <row r="181" spans="3:21">
      <c r="C181" s="367" t="s">
        <v>215</v>
      </c>
      <c r="D181" s="368">
        <f>MIN(D180:E180)</f>
        <v>-1895.5</v>
      </c>
      <c r="E181" s="369"/>
      <c r="I181" s="372" t="s">
        <v>215</v>
      </c>
      <c r="J181" s="375">
        <f>MIN(J180:K180)</f>
        <v>-912.5</v>
      </c>
      <c r="K181" s="376"/>
      <c r="Q181" s="372" t="s">
        <v>215</v>
      </c>
      <c r="R181" s="375">
        <f>MIN(R180:S180)</f>
        <v>-1177.5</v>
      </c>
      <c r="S181" s="376"/>
      <c r="T181" s="297"/>
      <c r="U181" s="297"/>
    </row>
    <row r="182" spans="3:21">
      <c r="C182" s="185" t="s">
        <v>210</v>
      </c>
      <c r="I182" s="301" t="s">
        <v>210</v>
      </c>
      <c r="Q182" s="301" t="s">
        <v>210</v>
      </c>
      <c r="R182" s="297"/>
      <c r="S182" s="297"/>
      <c r="T182" s="297"/>
      <c r="U182" s="297"/>
    </row>
    <row r="183" spans="3:21">
      <c r="C183" s="194" t="s">
        <v>211</v>
      </c>
      <c r="D183" s="495">
        <f>D178*E178/2</f>
        <v>1925</v>
      </c>
      <c r="E183" s="495"/>
      <c r="I183" s="373" t="s">
        <v>211</v>
      </c>
      <c r="J183" s="467">
        <f>J178*K178/2</f>
        <v>1925</v>
      </c>
      <c r="K183" s="467"/>
      <c r="Q183" s="373" t="s">
        <v>211</v>
      </c>
      <c r="R183" s="467">
        <f>R178*S178/2</f>
        <v>1925</v>
      </c>
      <c r="S183" s="467"/>
      <c r="T183" s="297"/>
      <c r="U183" s="297"/>
    </row>
    <row r="184" spans="3:21">
      <c r="C184" s="194" t="s">
        <v>77</v>
      </c>
      <c r="D184" s="495">
        <f>ROUND(SQRT(D178*E178*(D178+E178+1)/12),3)</f>
        <v>201.06</v>
      </c>
      <c r="E184" s="495"/>
      <c r="I184" s="373" t="s">
        <v>77</v>
      </c>
      <c r="J184" s="467">
        <f>ROUND(SQRT(J178*K178*(J178+K178+1)/12),3)</f>
        <v>201.06</v>
      </c>
      <c r="K184" s="467"/>
      <c r="Q184" s="373" t="s">
        <v>77</v>
      </c>
      <c r="R184" s="467">
        <f>ROUND(SQRT(R178*S178*(R178+S178+1)/12),3)</f>
        <v>201.06</v>
      </c>
      <c r="S184" s="467"/>
      <c r="T184" s="297"/>
      <c r="U184" s="297"/>
    </row>
    <row r="185" spans="3:21">
      <c r="C185" s="194" t="s">
        <v>212</v>
      </c>
      <c r="D185" s="495">
        <f>ROUND((D183-D181)/D184,3)</f>
        <v>19.001999999999999</v>
      </c>
      <c r="E185" s="495"/>
      <c r="I185" s="373" t="s">
        <v>212</v>
      </c>
      <c r="J185" s="467">
        <f>ROUND((J183-J181)/J184,3)</f>
        <v>14.113</v>
      </c>
      <c r="K185" s="467"/>
      <c r="Q185" s="373" t="s">
        <v>212</v>
      </c>
      <c r="R185" s="467">
        <f>ROUND((R183-R181)/R184,3)</f>
        <v>15.430999999999999</v>
      </c>
      <c r="S185" s="467"/>
      <c r="T185" s="297"/>
      <c r="U185" s="297"/>
    </row>
    <row r="186" spans="3:21">
      <c r="C186" s="194" t="s">
        <v>209</v>
      </c>
      <c r="D186" s="495">
        <f>ROUND(D183+D184*NORMSINV(0.05)-0.5,3)</f>
        <v>1593.7860000000001</v>
      </c>
      <c r="E186" s="495"/>
      <c r="F186" s="371" t="s">
        <v>216</v>
      </c>
      <c r="I186" s="373" t="s">
        <v>209</v>
      </c>
      <c r="J186" s="467">
        <f>ROUND(J183+J184*NORMSINV(0.05)-0.5,3)</f>
        <v>1593.7860000000001</v>
      </c>
      <c r="K186" s="467"/>
      <c r="L186" s="374" t="s">
        <v>216</v>
      </c>
      <c r="Q186" s="373" t="s">
        <v>209</v>
      </c>
      <c r="R186" s="467">
        <f>ROUND(R183+R184*NORMSINV(0.05)-0.5,3)</f>
        <v>1593.7860000000001</v>
      </c>
      <c r="S186" s="467"/>
      <c r="T186" s="374" t="s">
        <v>216</v>
      </c>
      <c r="U186" s="297"/>
    </row>
    <row r="187" spans="3:21">
      <c r="C187" s="194" t="s">
        <v>213</v>
      </c>
      <c r="D187" s="495">
        <f>(1-NORMSDIST(D185))/2</f>
        <v>0</v>
      </c>
      <c r="E187" s="495"/>
      <c r="F187" s="371" t="s">
        <v>221</v>
      </c>
      <c r="I187" s="373" t="s">
        <v>213</v>
      </c>
      <c r="J187" s="467">
        <f>(1-NORMSDIST(J185))/2</f>
        <v>0</v>
      </c>
      <c r="K187" s="467"/>
      <c r="L187" s="374" t="s">
        <v>221</v>
      </c>
      <c r="Q187" s="373" t="s">
        <v>213</v>
      </c>
      <c r="R187" s="467">
        <f>(1-NORMSDIST(R185))/2</f>
        <v>0</v>
      </c>
      <c r="S187" s="467"/>
      <c r="T187" s="374" t="s">
        <v>221</v>
      </c>
      <c r="U187" s="297"/>
    </row>
    <row r="188" spans="3:21">
      <c r="C188" s="203" t="s">
        <v>219</v>
      </c>
      <c r="D188" s="203">
        <f>MEDIAN(C3:G13)</f>
        <v>40</v>
      </c>
      <c r="E188" s="203">
        <f>MEDIAN(C36:G49)</f>
        <v>20.5</v>
      </c>
      <c r="F188" s="400" t="s">
        <v>220</v>
      </c>
      <c r="G188" s="401"/>
      <c r="I188" s="340" t="s">
        <v>219</v>
      </c>
      <c r="J188" s="340">
        <f>MEDIAN(I3:M13)</f>
        <v>6.05</v>
      </c>
      <c r="K188" s="340">
        <f>MEDIAN(I36:M49)</f>
        <v>7</v>
      </c>
      <c r="L188" s="402" t="s">
        <v>225</v>
      </c>
      <c r="Q188" s="340" t="s">
        <v>219</v>
      </c>
      <c r="R188" s="340">
        <f>MEDIAN(Q3:U13)</f>
        <v>318</v>
      </c>
      <c r="S188" s="340">
        <f>MEDIAN(Q36:U49)</f>
        <v>237.5</v>
      </c>
      <c r="T188" s="402" t="s">
        <v>228</v>
      </c>
      <c r="U188" s="297"/>
    </row>
    <row r="189" spans="3:21">
      <c r="I189" s="297"/>
      <c r="Q189" s="297"/>
      <c r="R189" s="297"/>
      <c r="S189" s="297"/>
      <c r="T189" s="297"/>
      <c r="U189" s="297"/>
    </row>
    <row r="190" spans="3:21">
      <c r="I190" s="297"/>
      <c r="Q190" s="297"/>
      <c r="R190" s="297"/>
      <c r="S190" s="297"/>
      <c r="T190" s="297"/>
      <c r="U190" s="297"/>
    </row>
    <row r="191" spans="3:21">
      <c r="C191" s="414" t="s">
        <v>197</v>
      </c>
      <c r="D191" s="415"/>
      <c r="E191" s="415"/>
      <c r="F191" s="415"/>
      <c r="G191" s="416"/>
      <c r="I191" s="424" t="s">
        <v>197</v>
      </c>
      <c r="J191" s="425"/>
      <c r="K191" s="425"/>
      <c r="L191" s="425"/>
      <c r="M191" s="426"/>
      <c r="Q191" s="424" t="s">
        <v>197</v>
      </c>
      <c r="R191" s="425"/>
      <c r="S191" s="425"/>
      <c r="T191" s="425"/>
      <c r="U191" s="426"/>
    </row>
    <row r="192" spans="3:21">
      <c r="C192" s="469" t="s">
        <v>176</v>
      </c>
      <c r="D192" s="470"/>
      <c r="E192" s="470"/>
      <c r="F192" s="470"/>
      <c r="G192" s="471"/>
      <c r="I192" s="469" t="s">
        <v>176</v>
      </c>
      <c r="J192" s="470"/>
      <c r="K192" s="470"/>
      <c r="L192" s="470"/>
      <c r="M192" s="471"/>
      <c r="Q192" s="469" t="s">
        <v>176</v>
      </c>
      <c r="R192" s="470"/>
      <c r="S192" s="470"/>
      <c r="T192" s="470"/>
      <c r="U192" s="471"/>
    </row>
    <row r="193" spans="3:21">
      <c r="C193" s="70">
        <f>_xlfn.RANK.AVG(C19,$C$36:$G$49:$C$19:$G$30,1)</f>
        <v>16.5</v>
      </c>
      <c r="D193" s="70">
        <f>_xlfn.RANK.AVG(D19,$C$36:$G$49:$C$19:$G$30,1)</f>
        <v>51</v>
      </c>
      <c r="E193" s="70">
        <f>_xlfn.RANK.AVG(E19,$C$36:$G$49:$C$19:$G$30,1)</f>
        <v>106.5</v>
      </c>
      <c r="F193" s="70">
        <f>_xlfn.RANK.AVG(F19,$C$36:$G$49:$C$19:$G$30,1)</f>
        <v>81.5</v>
      </c>
      <c r="G193" s="70">
        <f>_xlfn.RANK.AVG(G19,$C$36:$G$49:$C$19:$G$30,1)</f>
        <v>133</v>
      </c>
      <c r="I193" s="43">
        <f>_xlfn.RANK.AVG(J19,$J$36:$N$49:$J$19:$N$30,1)</f>
        <v>4.5</v>
      </c>
      <c r="J193" s="43">
        <f>_xlfn.RANK.AVG(K19,$J$36:$N$49:$J$19:$N$30,1)</f>
        <v>18</v>
      </c>
      <c r="K193" s="43">
        <f>_xlfn.RANK.AVG(L19,$J$36:$N$49:$J$19:$N$30,1)</f>
        <v>35.5</v>
      </c>
      <c r="L193" s="43">
        <f>_xlfn.RANK.AVG(M19,$J$36:$N$49:$J$19:$N$30,1)</f>
        <v>87.5</v>
      </c>
      <c r="M193" s="63">
        <f>_xlfn.RANK.AVG(N19,$J$36:$N$49:$J$19:$N$30,1)</f>
        <v>35.5</v>
      </c>
      <c r="Q193" s="43">
        <f>_xlfn.RANK.AVG(Q19,$Q$36:$U$49:$Q$19:$U$30,1)</f>
        <v>74</v>
      </c>
      <c r="R193" s="43">
        <f>_xlfn.RANK.AVG(R19,$Q$36:$U$49:$Q$19:$U$30,1)</f>
        <v>62</v>
      </c>
      <c r="S193" s="43">
        <f>_xlfn.RANK.AVG(S19,$Q$36:$U$49:$Q$19:$U$30,1)</f>
        <v>21</v>
      </c>
      <c r="T193" s="43">
        <f>_xlfn.RANK.AVG(T19,$Q$36:$U$49:$Q$19:$U$30,1)</f>
        <v>117</v>
      </c>
      <c r="U193" s="63">
        <f>_xlfn.RANK.AVG(U19,$Q$36:$U$49:$Q$19:$U$30,1)</f>
        <v>106</v>
      </c>
    </row>
    <row r="194" spans="3:21">
      <c r="C194" s="70">
        <f>_xlfn.RANK.AVG(C20,$C$36:$G$49:$C$19:$G$30,1)</f>
        <v>45.5</v>
      </c>
      <c r="D194" s="70">
        <f>_xlfn.RANK.AVG(D20,$C$36:$G$49:$C$19:$G$30,1)</f>
        <v>68.5</v>
      </c>
      <c r="E194" s="70">
        <f>_xlfn.RANK.AVG(E20,$C$36:$G$49:$C$19:$G$30,1)</f>
        <v>16.5</v>
      </c>
      <c r="F194" s="70">
        <f>_xlfn.RANK.AVG(F20,$C$36:$G$49:$C$19:$G$30,1)</f>
        <v>45.5</v>
      </c>
      <c r="G194" s="70">
        <f>_xlfn.RANK.AVG(G20,$C$36:$G$49:$C$19:$G$30,1)</f>
        <v>127</v>
      </c>
      <c r="I194" s="43">
        <f>_xlfn.RANK.AVG(J20,$J$36:$N$49:$J$19:$N$30,1)</f>
        <v>15.5</v>
      </c>
      <c r="J194" s="43">
        <f>_xlfn.RANK.AVG(K20,$J$36:$N$49:$J$19:$N$30,1)</f>
        <v>7</v>
      </c>
      <c r="K194" s="43">
        <f>_xlfn.RANK.AVG(L20,$J$36:$N$49:$J$19:$N$30,1)</f>
        <v>29</v>
      </c>
      <c r="L194" s="43">
        <f>_xlfn.RANK.AVG(M20,$J$36:$N$49:$J$19:$N$30,1)</f>
        <v>51</v>
      </c>
      <c r="M194" s="63">
        <f>_xlfn.RANK.AVG(N20,$J$36:$N$49:$J$19:$N$30,1)</f>
        <v>79.5</v>
      </c>
      <c r="Q194" s="43">
        <f>_xlfn.RANK.AVG(Q20,$Q$36:$U$49:$Q$19:$U$30,1)</f>
        <v>17</v>
      </c>
      <c r="R194" s="43">
        <f>_xlfn.RANK.AVG(R20,$Q$36:$U$49:$Q$19:$U$30,1)</f>
        <v>116</v>
      </c>
      <c r="S194" s="43">
        <f>_xlfn.RANK.AVG(S20,$Q$36:$U$49:$Q$19:$U$30,1)</f>
        <v>132</v>
      </c>
      <c r="T194" s="43">
        <f>_xlfn.RANK.AVG(T20,$Q$36:$U$49:$Q$19:$U$30,1)</f>
        <v>29.5</v>
      </c>
      <c r="U194" s="63">
        <f>_xlfn.RANK.AVG(U20,$Q$36:$U$49:$Q$19:$U$30,1)</f>
        <v>102.5</v>
      </c>
    </row>
    <row r="195" spans="3:21">
      <c r="C195" s="70">
        <f>_xlfn.RANK.AVG(C21,$C$36:$G$49:$C$19:$G$30,1)</f>
        <v>14</v>
      </c>
      <c r="D195" s="70">
        <f>_xlfn.RANK.AVG(D21,$C$36:$G$49:$C$19:$G$30,1)</f>
        <v>9.5</v>
      </c>
      <c r="E195" s="70">
        <f>_xlfn.RANK.AVG(E21,$C$36:$G$49:$C$19:$G$30,1)</f>
        <v>101.5</v>
      </c>
      <c r="F195" s="70">
        <f>_xlfn.RANK.AVG(F21,$C$36:$G$49:$C$19:$G$30,1)</f>
        <v>63</v>
      </c>
      <c r="G195" s="70">
        <f>_xlfn.RANK.AVG(G21,$C$36:$G$49:$C$19:$G$30,1)</f>
        <v>134</v>
      </c>
      <c r="I195" s="43">
        <f>_xlfn.RANK.AVG(J21,$J$36:$N$49:$J$19:$N$30,1)</f>
        <v>101</v>
      </c>
      <c r="J195" s="43">
        <f>_xlfn.RANK.AVG(K21,$J$36:$N$49:$J$19:$N$30,1)</f>
        <v>124</v>
      </c>
      <c r="K195" s="43">
        <f>_xlfn.RANK.AVG(L21,$J$36:$N$49:$J$19:$N$30,1)</f>
        <v>134</v>
      </c>
      <c r="L195" s="43">
        <f>_xlfn.RANK.AVG(M21,$J$36:$N$49:$J$19:$N$30,1)</f>
        <v>133</v>
      </c>
      <c r="M195" s="63">
        <f>_xlfn.RANK.AVG(N21,$J$36:$N$49:$J$19:$N$30,1)</f>
        <v>128</v>
      </c>
      <c r="Q195" s="43">
        <f>_xlfn.RANK.AVG(Q21,$Q$36:$U$49:$Q$19:$U$30,1)</f>
        <v>96</v>
      </c>
      <c r="R195" s="43">
        <f>_xlfn.RANK.AVG(R21,$Q$36:$U$49:$Q$19:$U$30,1)</f>
        <v>124</v>
      </c>
      <c r="S195" s="43">
        <f>_xlfn.RANK.AVG(S21,$Q$36:$U$49:$Q$19:$U$30,1)</f>
        <v>106</v>
      </c>
      <c r="T195" s="43">
        <f>_xlfn.RANK.AVG(T21,$Q$36:$U$49:$Q$19:$U$30,1)</f>
        <v>83.5</v>
      </c>
      <c r="U195" s="63">
        <f>_xlfn.RANK.AVG(U21,$Q$36:$U$49:$Q$19:$U$30,1)</f>
        <v>129</v>
      </c>
    </row>
    <row r="196" spans="3:21">
      <c r="C196" s="70">
        <f>_xlfn.RANK.AVG(C22,$C$36:$G$49:$C$19:$G$30,1)</f>
        <v>118</v>
      </c>
      <c r="D196" s="70">
        <f>_xlfn.RANK.AVG(D22,$C$36:$G$49:$C$19:$G$30,1)</f>
        <v>63</v>
      </c>
      <c r="E196" s="70">
        <f>_xlfn.RANK.AVG(E22,$C$36:$G$49:$C$19:$G$30,1)</f>
        <v>51</v>
      </c>
      <c r="F196" s="70">
        <f>_xlfn.RANK.AVG(F22,$C$36:$G$49:$C$19:$G$30,1)</f>
        <v>87</v>
      </c>
      <c r="G196" s="70">
        <f>_xlfn.RANK.AVG(G22,$C$36:$G$49:$C$19:$G$30,1)</f>
        <v>123.5</v>
      </c>
      <c r="I196" s="43">
        <f>_xlfn.RANK.AVG(J22,$J$36:$N$49:$J$19:$N$30,1)</f>
        <v>101</v>
      </c>
      <c r="J196" s="43">
        <f>_xlfn.RANK.AVG(K22,$J$36:$N$49:$J$19:$N$30,1)</f>
        <v>11.5</v>
      </c>
      <c r="K196" s="43">
        <f>_xlfn.RANK.AVG(L22,$J$36:$N$49:$J$19:$N$30,1)</f>
        <v>47</v>
      </c>
      <c r="L196" s="43">
        <f>_xlfn.RANK.AVG(M22,$J$36:$N$49:$J$19:$N$30,1)</f>
        <v>126</v>
      </c>
      <c r="M196" s="63">
        <f>_xlfn.RANK.AVG(N22,$J$36:$N$49:$J$19:$N$30,1)</f>
        <v>72</v>
      </c>
      <c r="Q196" s="43">
        <f>_xlfn.RANK.AVG(Q22,$Q$36:$U$49:$Q$19:$U$30,1)</f>
        <v>109</v>
      </c>
      <c r="R196" s="43">
        <f>_xlfn.RANK.AVG(R22,$Q$36:$U$49:$Q$19:$U$30,1)</f>
        <v>130</v>
      </c>
      <c r="S196" s="43">
        <f>_xlfn.RANK.AVG(S22,$Q$36:$U$49:$Q$19:$U$30,1)</f>
        <v>26</v>
      </c>
      <c r="T196" s="43">
        <f>_xlfn.RANK.AVG(T22,$Q$36:$U$49:$Q$19:$U$30,1)</f>
        <v>86.5</v>
      </c>
      <c r="U196" s="63">
        <f>_xlfn.RANK.AVG(U22,$Q$36:$U$49:$Q$19:$U$30,1)</f>
        <v>135</v>
      </c>
    </row>
    <row r="197" spans="3:21">
      <c r="C197" s="70">
        <f>_xlfn.RANK.AVG(C23,$C$36:$G$49:$C$19:$G$30,1)</f>
        <v>16.5</v>
      </c>
      <c r="D197" s="70">
        <f>_xlfn.RANK.AVG(D23,$C$36:$G$49:$C$19:$G$30,1)</f>
        <v>115</v>
      </c>
      <c r="E197" s="70">
        <f>_xlfn.RANK.AVG(E23,$C$36:$G$49:$C$19:$G$30,1)</f>
        <v>87</v>
      </c>
      <c r="F197" s="70">
        <f>_xlfn.RANK.AVG(F23,$C$36:$G$49:$C$19:$G$30,1)</f>
        <v>77</v>
      </c>
      <c r="G197" s="70">
        <f>_xlfn.RANK.AVG(G23,$C$36:$G$49:$C$19:$G$30,1)</f>
        <v>106.5</v>
      </c>
      <c r="I197" s="43">
        <f>_xlfn.RANK.AVG(J23,$J$36:$N$49:$J$19:$N$30,1)</f>
        <v>83.5</v>
      </c>
      <c r="J197" s="43">
        <f>_xlfn.RANK.AVG(K23,$J$36:$N$49:$J$19:$N$30,1)</f>
        <v>132</v>
      </c>
      <c r="K197" s="43">
        <f>_xlfn.RANK.AVG(L23,$J$36:$N$49:$J$19:$N$30,1)</f>
        <v>121.5</v>
      </c>
      <c r="L197" s="43">
        <f>_xlfn.RANK.AVG(M23,$J$36:$N$49:$J$19:$N$30,1)</f>
        <v>119.5</v>
      </c>
      <c r="M197" s="63">
        <f>_xlfn.RANK.AVG(N23,$J$36:$N$49:$J$19:$N$30,1)</f>
        <v>18</v>
      </c>
      <c r="Q197" s="43">
        <f>_xlfn.RANK.AVG(Q23,$Q$36:$U$49:$Q$19:$U$30,1)</f>
        <v>64.5</v>
      </c>
      <c r="R197" s="43">
        <f>_xlfn.RANK.AVG(R23,$Q$36:$U$49:$Q$19:$U$30,1)</f>
        <v>6</v>
      </c>
      <c r="S197" s="43">
        <f>_xlfn.RANK.AVG(S23,$Q$36:$U$49:$Q$19:$U$30,1)</f>
        <v>91</v>
      </c>
      <c r="T197" s="43">
        <f>_xlfn.RANK.AVG(T23,$Q$36:$U$49:$Q$19:$U$30,1)</f>
        <v>131</v>
      </c>
      <c r="U197" s="63">
        <f>_xlfn.RANK.AVG(U23,$Q$36:$U$49:$Q$19:$U$30,1)</f>
        <v>46</v>
      </c>
    </row>
    <row r="198" spans="3:21">
      <c r="C198" s="70">
        <f>_xlfn.RANK.AVG(C24,$C$36:$G$49:$C$19:$G$30,1)</f>
        <v>87</v>
      </c>
      <c r="D198" s="70">
        <f>_xlfn.RANK.AVG(D24,$C$36:$G$49:$C$19:$G$30,1)</f>
        <v>103</v>
      </c>
      <c r="E198" s="70">
        <f>_xlfn.RANK.AVG(E24,$C$36:$G$49:$C$19:$G$30,1)</f>
        <v>72</v>
      </c>
      <c r="F198" s="70">
        <f>_xlfn.RANK.AVG(F24,$C$36:$G$49:$C$19:$G$30,1)</f>
        <v>81.5</v>
      </c>
      <c r="G198" s="70">
        <f>_xlfn.RANK.AVG(G24,$C$36:$G$49:$C$19:$G$30,1)</f>
        <v>135</v>
      </c>
      <c r="I198" s="43">
        <f>_xlfn.RANK.AVG(J24,$J$36:$N$49:$J$19:$N$30,1)</f>
        <v>20.5</v>
      </c>
      <c r="J198" s="43">
        <f>_xlfn.RANK.AVG(K24,$J$36:$N$49:$J$19:$N$30,1)</f>
        <v>32</v>
      </c>
      <c r="K198" s="43">
        <f>_xlfn.RANK.AVG(L24,$J$36:$N$49:$J$19:$N$30,1)</f>
        <v>51</v>
      </c>
      <c r="L198" s="43">
        <f>_xlfn.RANK.AVG(M24,$J$36:$N$49:$J$19:$N$30,1)</f>
        <v>83.5</v>
      </c>
      <c r="M198" s="63">
        <f>_xlfn.RANK.AVG(N24,$J$36:$N$49:$J$19:$N$30,1)</f>
        <v>29</v>
      </c>
      <c r="Q198" s="43">
        <f>_xlfn.RANK.AVG(Q24,$Q$36:$U$49:$Q$19:$U$30,1)</f>
        <v>118</v>
      </c>
      <c r="R198" s="43">
        <f>_xlfn.RANK.AVG(R24,$Q$36:$U$49:$Q$19:$U$30,1)</f>
        <v>79</v>
      </c>
      <c r="S198" s="43">
        <f>_xlfn.RANK.AVG(S24,$Q$36:$U$49:$Q$19:$U$30,1)</f>
        <v>81</v>
      </c>
      <c r="T198" s="43">
        <f>_xlfn.RANK.AVG(T24,$Q$36:$U$49:$Q$19:$U$30,1)</f>
        <v>12.5</v>
      </c>
      <c r="U198" s="63">
        <f>_xlfn.RANK.AVG(U24,$Q$36:$U$49:$Q$19:$U$30,1)</f>
        <v>31</v>
      </c>
    </row>
    <row r="199" spans="3:21">
      <c r="C199" s="70">
        <f>_xlfn.RANK.AVG(C25,$C$36:$G$49:$C$19:$G$30,1)</f>
        <v>63</v>
      </c>
      <c r="D199" s="70">
        <f>_xlfn.RANK.AVG(D25,$C$36:$G$49:$C$19:$G$30,1)</f>
        <v>120</v>
      </c>
      <c r="E199" s="70">
        <f>_xlfn.RANK.AVG(E25,$C$36:$G$49:$C$19:$G$30,1)</f>
        <v>111.5</v>
      </c>
      <c r="F199" s="70">
        <f>_xlfn.RANK.AVG(F25,$C$36:$G$49:$C$19:$G$30,1)</f>
        <v>129.5</v>
      </c>
      <c r="G199" s="70">
        <f>_xlfn.RANK.AVG(G25,$C$36:$G$49:$C$19:$G$30,1)</f>
        <v>123.5</v>
      </c>
      <c r="I199" s="43">
        <f>_xlfn.RANK.AVG(J25,$J$36:$N$49:$J$19:$N$30,1)</f>
        <v>32</v>
      </c>
      <c r="J199" s="43">
        <f>_xlfn.RANK.AVG(K25,$J$36:$N$49:$J$19:$N$30,1)</f>
        <v>87.5</v>
      </c>
      <c r="K199" s="43">
        <f>_xlfn.RANK.AVG(L25,$J$36:$N$49:$J$19:$N$30,1)</f>
        <v>18</v>
      </c>
      <c r="L199" s="43">
        <f>_xlfn.RANK.AVG(M25,$J$36:$N$49:$J$19:$N$30,1)</f>
        <v>106</v>
      </c>
      <c r="M199" s="63">
        <f>_xlfn.RANK.AVG(N25,$J$36:$N$49:$J$19:$N$30,1)</f>
        <v>65</v>
      </c>
      <c r="Q199" s="43">
        <f>_xlfn.RANK.AVG(Q25,$Q$36:$U$49:$Q$19:$U$30,1)</f>
        <v>68.5</v>
      </c>
      <c r="R199" s="43">
        <f>_xlfn.RANK.AVG(R25,$Q$36:$U$49:$Q$19:$U$30,1)</f>
        <v>83.5</v>
      </c>
      <c r="S199" s="43">
        <f>_xlfn.RANK.AVG(S25,$Q$36:$U$49:$Q$19:$U$30,1)</f>
        <v>58</v>
      </c>
      <c r="T199" s="43">
        <f>_xlfn.RANK.AVG(T25,$Q$36:$U$49:$Q$19:$U$30,1)</f>
        <v>14</v>
      </c>
      <c r="U199" s="63">
        <f>_xlfn.RANK.AVG(U25,$Q$36:$U$49:$Q$19:$U$30,1)</f>
        <v>98.5</v>
      </c>
    </row>
    <row r="200" spans="3:21">
      <c r="C200" s="70">
        <f>_xlfn.RANK.AVG(C26,$C$36:$G$49:$C$19:$G$30,1)</f>
        <v>92.5</v>
      </c>
      <c r="D200" s="70">
        <f>_xlfn.RANK.AVG(D26,$C$36:$G$49:$C$19:$G$30,1)</f>
        <v>9.5</v>
      </c>
      <c r="E200" s="70">
        <f>_xlfn.RANK.AVG(E26,$C$36:$G$49:$C$19:$G$30,1)</f>
        <v>22</v>
      </c>
      <c r="F200" s="70">
        <f>_xlfn.RANK.AVG(F26,$C$36:$G$49:$C$19:$G$30,1)</f>
        <v>111.5</v>
      </c>
      <c r="G200" s="70">
        <f>_xlfn.RANK.AVG(G26,$C$36:$G$49:$C$19:$G$30,1)</f>
        <v>116.5</v>
      </c>
      <c r="I200" s="43">
        <f>_xlfn.RANK.AVG(J26,$J$36:$N$49:$J$19:$N$30,1)</f>
        <v>61</v>
      </c>
      <c r="J200" s="43">
        <f>_xlfn.RANK.AVG(K26,$J$36:$N$49:$J$19:$N$30,1)</f>
        <v>57.5</v>
      </c>
      <c r="K200" s="43">
        <f>_xlfn.RANK.AVG(L26,$J$36:$N$49:$J$19:$N$30,1)</f>
        <v>4.5</v>
      </c>
      <c r="L200" s="43">
        <f>_xlfn.RANK.AVG(M26,$J$36:$N$49:$J$19:$N$30,1)</f>
        <v>111.5</v>
      </c>
      <c r="M200" s="63">
        <f>_xlfn.RANK.AVG(N26,$J$36:$N$49:$J$19:$N$30,1)</f>
        <v>117.5</v>
      </c>
      <c r="Q200" s="43">
        <f>_xlfn.RANK.AVG(Q26,$Q$36:$U$49:$Q$19:$U$30,1)</f>
        <v>71.5</v>
      </c>
      <c r="R200" s="43">
        <f>_xlfn.RANK.AVG(R26,$Q$36:$U$49:$Q$19:$U$30,1)</f>
        <v>29.5</v>
      </c>
      <c r="S200" s="43">
        <f>_xlfn.RANK.AVG(S26,$Q$36:$U$49:$Q$19:$U$30,1)</f>
        <v>42.5</v>
      </c>
      <c r="T200" s="43">
        <f>_xlfn.RANK.AVG(T26,$Q$36:$U$49:$Q$19:$U$30,1)</f>
        <v>121</v>
      </c>
      <c r="U200" s="63">
        <f>_xlfn.RANK.AVG(U26,$Q$36:$U$49:$Q$19:$U$30,1)</f>
        <v>113.5</v>
      </c>
    </row>
    <row r="201" spans="3:21">
      <c r="C201" s="70">
        <f>_xlfn.RANK.AVG(C27,$C$36:$G$49:$C$19:$G$30,1)</f>
        <v>99.5</v>
      </c>
      <c r="D201" s="70">
        <f>_xlfn.RANK.AVG(D27,$C$36:$G$49:$C$19:$G$30,1)</f>
        <v>54.5</v>
      </c>
      <c r="E201" s="70">
        <f>_xlfn.RANK.AVG(E27,$C$36:$G$49:$C$19:$G$30,1)</f>
        <v>19</v>
      </c>
      <c r="F201" s="70">
        <f>_xlfn.RANK.AVG(F27,$C$36:$G$49:$C$19:$G$30,1)</f>
        <v>108.5</v>
      </c>
      <c r="G201" s="70">
        <f>_xlfn.RANK.AVG(G27,$C$36:$G$49:$C$19:$G$30,1)</f>
        <v>116.5</v>
      </c>
      <c r="I201" s="43">
        <f>_xlfn.RANK.AVG(J27,$J$36:$N$49:$J$19:$N$30,1)</f>
        <v>11.5</v>
      </c>
      <c r="J201" s="43">
        <f>_xlfn.RANK.AVG(K27,$J$36:$N$49:$J$19:$N$30,1)</f>
        <v>127</v>
      </c>
      <c r="K201" s="43">
        <f>_xlfn.RANK.AVG(L27,$J$36:$N$49:$J$19:$N$30,1)</f>
        <v>39</v>
      </c>
      <c r="L201" s="43">
        <f>_xlfn.RANK.AVG(M27,$J$36:$N$49:$J$19:$N$30,1)</f>
        <v>95</v>
      </c>
      <c r="M201" s="63">
        <f>_xlfn.RANK.AVG(N27,$J$36:$N$49:$J$19:$N$30,1)</f>
        <v>2</v>
      </c>
      <c r="Q201" s="43">
        <f>_xlfn.RANK.AVG(Q27,$Q$36:$U$49:$Q$19:$U$30,1)</f>
        <v>92.5</v>
      </c>
      <c r="R201" s="43">
        <f>_xlfn.RANK.AVG(R27,$Q$36:$U$49:$Q$19:$U$30,1)</f>
        <v>15</v>
      </c>
      <c r="S201" s="43">
        <f>_xlfn.RANK.AVG(S27,$Q$36:$U$49:$Q$19:$U$30,1)</f>
        <v>10</v>
      </c>
      <c r="T201" s="43">
        <f>_xlfn.RANK.AVG(T27,$Q$36:$U$49:$Q$19:$U$30,1)</f>
        <v>36.5</v>
      </c>
      <c r="U201" s="63">
        <f>_xlfn.RANK.AVG(U27,$Q$36:$U$49:$Q$19:$U$30,1)</f>
        <v>77.5</v>
      </c>
    </row>
    <row r="202" spans="3:21">
      <c r="C202" s="70">
        <f>_xlfn.RANK.AVG(C28,$C$36:$G$49:$C$19:$G$30,1)</f>
        <v>92.5</v>
      </c>
      <c r="D202" s="70">
        <f>_xlfn.RANK.AVG(D28,$C$36:$G$49:$C$19:$G$30,1)</f>
        <v>63</v>
      </c>
      <c r="E202" s="70">
        <f>_xlfn.RANK.AVG(E28,$C$36:$G$49:$C$19:$G$30,1)</f>
        <v>38.5</v>
      </c>
      <c r="F202" s="70">
        <f>_xlfn.RANK.AVG(F28,$C$36:$G$49:$C$19:$G$30,1)</f>
        <v>92.5</v>
      </c>
      <c r="G202" s="70">
        <f>_xlfn.RANK.AVG(G28,$C$36:$G$49:$C$19:$G$30,1)</f>
        <v>121.5</v>
      </c>
      <c r="I202" s="43">
        <f>_xlfn.RANK.AVG(J28,$J$36:$N$49:$J$19:$N$30,1)</f>
        <v>101</v>
      </c>
      <c r="J202" s="43">
        <f>_xlfn.RANK.AVG(K28,$J$36:$N$49:$J$19:$N$30,1)</f>
        <v>23.5</v>
      </c>
      <c r="K202" s="43">
        <f>_xlfn.RANK.AVG(L28,$J$36:$N$49:$J$19:$N$30,1)</f>
        <v>25.5</v>
      </c>
      <c r="L202" s="43">
        <f>_xlfn.RANK.AVG(M28,$J$36:$N$49:$J$19:$N$30,1)</f>
        <v>61</v>
      </c>
      <c r="M202" s="63">
        <f>_xlfn.RANK.AVG(N28,$J$36:$N$49:$J$19:$N$30,1)</f>
        <v>129.5</v>
      </c>
      <c r="Q202" s="43">
        <f>_xlfn.RANK.AVG(Q28,$Q$36:$U$49:$Q$19:$U$30,1)</f>
        <v>94</v>
      </c>
      <c r="R202" s="43">
        <f>_xlfn.RANK.AVG(R28,$Q$36:$U$49:$Q$19:$U$30,1)</f>
        <v>56</v>
      </c>
      <c r="S202" s="43">
        <f>_xlfn.RANK.AVG(S28,$Q$36:$U$49:$Q$19:$U$30,1)</f>
        <v>81</v>
      </c>
      <c r="T202" s="43">
        <f>_xlfn.RANK.AVG(T28,$Q$36:$U$49:$Q$19:$U$30,1)</f>
        <v>81</v>
      </c>
      <c r="U202" s="63">
        <f>_xlfn.RANK.AVG(U28,$Q$36:$U$49:$Q$19:$U$30,1)</f>
        <v>126</v>
      </c>
    </row>
    <row r="203" spans="3:21">
      <c r="C203" s="70">
        <f>_xlfn.RANK.AVG(C29,$C$36:$G$49:$C$19:$G$30,1)</f>
        <v>45.5</v>
      </c>
      <c r="D203" s="70">
        <f>_xlfn.RANK.AVG(D29,$C$36:$G$49:$C$19:$G$30,1)</f>
        <v>92.5</v>
      </c>
      <c r="E203" s="70">
        <f>_xlfn.RANK.AVG(E29,$C$36:$G$49:$C$19:$G$30,1)</f>
        <v>22</v>
      </c>
      <c r="F203" s="70">
        <f>_xlfn.RANK.AVG(F29,$C$36:$G$49:$C$19:$G$30,1)</f>
        <v>121.5</v>
      </c>
      <c r="G203" s="70">
        <f>_xlfn.RANK.AVG(G29,$C$36:$G$49:$C$19:$G$30,1)</f>
        <v>127</v>
      </c>
      <c r="I203" s="43">
        <f>_xlfn.RANK.AVG(J29,$J$36:$N$49:$J$19:$N$30,1)</f>
        <v>76.5</v>
      </c>
      <c r="J203" s="43">
        <f>_xlfn.RANK.AVG(K29,$J$36:$N$49:$J$19:$N$30,1)</f>
        <v>101</v>
      </c>
      <c r="K203" s="43">
        <f>_xlfn.RANK.AVG(L29,$J$36:$N$49:$J$19:$N$30,1)</f>
        <v>32</v>
      </c>
      <c r="L203" s="43">
        <f>_xlfn.RANK.AVG(M29,$J$36:$N$49:$J$19:$N$30,1)</f>
        <v>124</v>
      </c>
      <c r="M203" s="63">
        <f>_xlfn.RANK.AVG(N29,$J$36:$N$49:$J$19:$N$30,1)</f>
        <v>114</v>
      </c>
      <c r="Q203" s="43">
        <f>_xlfn.RANK.AVG(Q29,$Q$36:$U$49:$Q$19:$U$30,1)</f>
        <v>19</v>
      </c>
      <c r="R203" s="43">
        <f>_xlfn.RANK.AVG(R29,$Q$36:$U$49:$Q$19:$U$30,1)</f>
        <v>68.5</v>
      </c>
      <c r="S203" s="43">
        <f>_xlfn.RANK.AVG(S29,$Q$36:$U$49:$Q$19:$U$30,1)</f>
        <v>88</v>
      </c>
      <c r="T203" s="43">
        <f>_xlfn.RANK.AVG(T29,$Q$36:$U$49:$Q$19:$U$30,1)</f>
        <v>100</v>
      </c>
      <c r="U203" s="63">
        <f>_xlfn.RANK.AVG(U29,$Q$36:$U$49:$Q$19:$U$30,1)</f>
        <v>47.5</v>
      </c>
    </row>
    <row r="204" spans="3:21">
      <c r="C204" s="70">
        <f>_xlfn.RANK.AVG(C30,$C$36:$G$49:$C$19:$G$30,1)</f>
        <v>45.5</v>
      </c>
      <c r="D204" s="70">
        <f>_xlfn.RANK.AVG(D30,$C$36:$G$49:$C$19:$G$30,1)</f>
        <v>92.5</v>
      </c>
      <c r="E204" s="70">
        <f>_xlfn.RANK.AVG(E30,$C$36:$G$49:$C$19:$G$30,1)</f>
        <v>72</v>
      </c>
      <c r="F204" s="70">
        <f>_xlfn.RANK.AVG(F30,$C$36:$G$49:$C$19:$G$30,1)</f>
        <v>72</v>
      </c>
      <c r="G204" s="70">
        <f>_xlfn.RANK.AVG(G30,$C$36:$G$49:$C$19:$G$30,1)</f>
        <v>127</v>
      </c>
      <c r="I204" s="43">
        <f>_xlfn.RANK.AVG(J30,$J$36:$N$49:$J$19:$N$30,1)</f>
        <v>72</v>
      </c>
      <c r="J204" s="43">
        <f>_xlfn.RANK.AVG(K30,$J$36:$N$49:$J$19:$N$30,1)</f>
        <v>54</v>
      </c>
      <c r="K204" s="43">
        <f>_xlfn.RANK.AVG(L30,$J$36:$N$49:$J$19:$N$30,1)</f>
        <v>124</v>
      </c>
      <c r="L204" s="43">
        <f>_xlfn.RANK.AVG(M30,$J$36:$N$49:$J$19:$N$30,1)</f>
        <v>110</v>
      </c>
      <c r="M204" s="63">
        <f>_xlfn.RANK.AVG(N30,$J$36:$N$49:$J$19:$N$30,1)</f>
        <v>95</v>
      </c>
      <c r="Q204" s="43">
        <f>_xlfn.RANK.AVG(Q30,$Q$36:$U$49:$Q$19:$U$30,1)</f>
        <v>70</v>
      </c>
      <c r="R204" s="43">
        <f>_xlfn.RANK.AVG(R30,$Q$36:$U$49:$Q$19:$U$30,1)</f>
        <v>112</v>
      </c>
      <c r="S204" s="43">
        <f>_xlfn.RANK.AVG(S30,$Q$36:$U$49:$Q$19:$U$30,1)</f>
        <v>5</v>
      </c>
      <c r="T204" s="43">
        <f>_xlfn.RANK.AVG(T30,$Q$36:$U$49:$Q$19:$U$30,1)</f>
        <v>97</v>
      </c>
      <c r="U204" s="63">
        <f>_xlfn.RANK.AVG(U30,$Q$36:$U$49:$Q$19:$U$30,1)</f>
        <v>133</v>
      </c>
    </row>
    <row r="205" spans="3:21">
      <c r="C205" s="469" t="s">
        <v>205</v>
      </c>
      <c r="D205" s="470"/>
      <c r="E205" s="470"/>
      <c r="F205" s="470"/>
      <c r="G205" s="471"/>
      <c r="I205" s="469" t="s">
        <v>205</v>
      </c>
      <c r="J205" s="470"/>
      <c r="K205" s="470"/>
      <c r="L205" s="470"/>
      <c r="M205" s="471"/>
      <c r="Q205" s="469" t="s">
        <v>205</v>
      </c>
      <c r="R205" s="470"/>
      <c r="S205" s="470"/>
      <c r="T205" s="470"/>
      <c r="U205" s="471"/>
    </row>
    <row r="206" spans="3:21">
      <c r="C206" s="70">
        <f>_xlfn.RANK.AVG(C36,$C$36:$G$49:$C$19:$G$30,1)</f>
        <v>1.5</v>
      </c>
      <c r="D206" s="70">
        <f>_xlfn.RANK.AVG(D36,$C$36:$G$49:$C$19:$G$30,1)</f>
        <v>30.5</v>
      </c>
      <c r="E206" s="70">
        <f>_xlfn.RANK.AVG(E36,$C$36:$G$49:$C$19:$G$30,1)</f>
        <v>72</v>
      </c>
      <c r="F206" s="70">
        <f>_xlfn.RANK.AVG(F36,$C$36:$G$49:$C$19:$G$30,1)</f>
        <v>81.5</v>
      </c>
      <c r="G206" s="70">
        <f>_xlfn.RANK.AVG(G36,$C$36:$G$49:$C$19:$G$30,1)</f>
        <v>101.5</v>
      </c>
      <c r="I206" s="43">
        <f>_xlfn.RANK.AVG(J36,$J$36:$N$49:$J$19:$N$30,1)</f>
        <v>131</v>
      </c>
      <c r="J206" s="43">
        <f>_xlfn.RANK.AVG(K36,$J$36:$N$49:$J$19:$N$30,1)</f>
        <v>9.5</v>
      </c>
      <c r="K206" s="43">
        <f>_xlfn.RANK.AVG(L36,$J$36:$N$49:$J$19:$N$30,1)</f>
        <v>72</v>
      </c>
      <c r="L206" s="43">
        <f>_xlfn.RANK.AVG(M36,$J$36:$N$49:$J$19:$N$30,1)</f>
        <v>9.5</v>
      </c>
      <c r="M206" s="63">
        <f>_xlfn.RANK.AVG(N36,$J$36:$N$49:$J$19:$N$30,1)</f>
        <v>72</v>
      </c>
      <c r="Q206" s="43">
        <f>_xlfn.RANK.AVG(Q36,$Q$36:$U$49:$Q$19:$U$30,1)</f>
        <v>11</v>
      </c>
      <c r="R206" s="43">
        <f>_xlfn.RANK.AVG(R36,$Q$36:$U$49:$Q$19:$U$30,1)</f>
        <v>16</v>
      </c>
      <c r="S206" s="43">
        <f>_xlfn.RANK.AVG(S36,$Q$36:$U$49:$Q$19:$U$30,1)</f>
        <v>55</v>
      </c>
      <c r="T206" s="43">
        <f>_xlfn.RANK.AVG(T36,$Q$36:$U$49:$Q$19:$U$30,1)</f>
        <v>44.5</v>
      </c>
      <c r="U206" s="63">
        <f>_xlfn.RANK.AVG(U36,$Q$36:$U$49:$Q$19:$U$30,1)</f>
        <v>59</v>
      </c>
    </row>
    <row r="207" spans="3:21">
      <c r="C207" s="70">
        <f>_xlfn.RANK.AVG(C37,$C$36:$G$49:$C$19:$G$30,1)</f>
        <v>12.5</v>
      </c>
      <c r="D207" s="70">
        <f>_xlfn.RANK.AVG(D37,$C$36:$G$49:$C$19:$G$30,1)</f>
        <v>34.5</v>
      </c>
      <c r="E207" s="70">
        <f>_xlfn.RANK.AVG(E37,$C$36:$G$49:$C$19:$G$30,1)</f>
        <v>45.5</v>
      </c>
      <c r="F207" s="70">
        <f>_xlfn.RANK.AVG(F37,$C$36:$G$49:$C$19:$G$30,1)</f>
        <v>27</v>
      </c>
      <c r="G207" s="70">
        <f>_xlfn.RANK.AVG(G37,$C$36:$G$49:$C$19:$G$30,1)</f>
        <v>99.5</v>
      </c>
      <c r="I207" s="43">
        <f>_xlfn.RANK.AVG(J37,$J$36:$N$49:$J$19:$N$30,1)</f>
        <v>6</v>
      </c>
      <c r="J207" s="43">
        <f>_xlfn.RANK.AVG(K37,$J$36:$N$49:$J$19:$N$30,1)</f>
        <v>23.5</v>
      </c>
      <c r="K207" s="43">
        <f>_xlfn.RANK.AVG(L37,$J$36:$N$49:$J$19:$N$30,1)</f>
        <v>83.5</v>
      </c>
      <c r="L207" s="43">
        <f>_xlfn.RANK.AVG(M37,$J$36:$N$49:$J$19:$N$30,1)</f>
        <v>65</v>
      </c>
      <c r="M207" s="63">
        <f>_xlfn.RANK.AVG(N37,$J$36:$N$49:$J$19:$N$30,1)</f>
        <v>95</v>
      </c>
      <c r="Q207" s="43">
        <f>_xlfn.RANK.AVG(Q37,$Q$36:$U$49:$Q$19:$U$30,1)</f>
        <v>32</v>
      </c>
      <c r="R207" s="43">
        <f>_xlfn.RANK.AVG(R37,$Q$36:$U$49:$Q$19:$U$30,1)</f>
        <v>39</v>
      </c>
      <c r="S207" s="43">
        <f>_xlfn.RANK.AVG(S37,$Q$36:$U$49:$Q$19:$U$30,1)</f>
        <v>40</v>
      </c>
      <c r="T207" s="43">
        <f>_xlfn.RANK.AVG(T37,$Q$36:$U$49:$Q$19:$U$30,1)</f>
        <v>18</v>
      </c>
      <c r="U207" s="63">
        <f>_xlfn.RANK.AVG(U37,$Q$36:$U$49:$Q$19:$U$30,1)</f>
        <v>66.5</v>
      </c>
    </row>
    <row r="208" spans="3:21">
      <c r="C208" s="70">
        <f>_xlfn.RANK.AVG(C38,$C$36:$G$49:$C$19:$G$30,1)</f>
        <v>25</v>
      </c>
      <c r="D208" s="70">
        <f>_xlfn.RANK.AVG(D38,$C$36:$G$49:$C$19:$G$30,1)</f>
        <v>63</v>
      </c>
      <c r="E208" s="70">
        <f>_xlfn.RANK.AVG(E38,$C$36:$G$49:$C$19:$G$30,1)</f>
        <v>40.5</v>
      </c>
      <c r="F208" s="70">
        <f>_xlfn.RANK.AVG(F38,$C$36:$G$49:$C$19:$G$30,1)</f>
        <v>51</v>
      </c>
      <c r="G208" s="70">
        <f>_xlfn.RANK.AVG(G38,$C$36:$G$49:$C$19:$G$30,1)</f>
        <v>87</v>
      </c>
      <c r="I208" s="43">
        <f>_xlfn.RANK.AVG(J38,$J$36:$N$49:$J$19:$N$30,1)</f>
        <v>114</v>
      </c>
      <c r="J208" s="43">
        <f>_xlfn.RANK.AVG(K38,$J$36:$N$49:$J$19:$N$30,1)</f>
        <v>83.5</v>
      </c>
      <c r="K208" s="43">
        <f>_xlfn.RANK.AVG(L38,$J$36:$N$49:$J$19:$N$30,1)</f>
        <v>106</v>
      </c>
      <c r="L208" s="43">
        <f>_xlfn.RANK.AVG(M38,$J$36:$N$49:$J$19:$N$30,1)</f>
        <v>87.5</v>
      </c>
      <c r="M208" s="63">
        <f>_xlfn.RANK.AVG(N38,$J$36:$N$49:$J$19:$N$30,1)</f>
        <v>61</v>
      </c>
      <c r="Q208" s="43">
        <f>_xlfn.RANK.AVG(Q38,$Q$36:$U$49:$Q$19:$U$30,1)</f>
        <v>25</v>
      </c>
      <c r="R208" s="43">
        <f>_xlfn.RANK.AVG(R38,$Q$36:$U$49:$Q$19:$U$30,1)</f>
        <v>77.5</v>
      </c>
      <c r="S208" s="43">
        <f>_xlfn.RANK.AVG(S38,$Q$36:$U$49:$Q$19:$U$30,1)</f>
        <v>41</v>
      </c>
      <c r="T208" s="43">
        <f>_xlfn.RANK.AVG(T38,$Q$36:$U$49:$Q$19:$U$30,1)</f>
        <v>102.5</v>
      </c>
      <c r="U208" s="63">
        <f>_xlfn.RANK.AVG(U38,$Q$36:$U$49:$Q$19:$U$30,1)</f>
        <v>98.5</v>
      </c>
    </row>
    <row r="209" spans="3:21">
      <c r="C209" s="70">
        <f>_xlfn.RANK.AVG(C39,$C$36:$G$49:$C$19:$G$30,1)</f>
        <v>4</v>
      </c>
      <c r="D209" s="70">
        <f>_xlfn.RANK.AVG(D39,$C$36:$G$49:$C$19:$G$30,1)</f>
        <v>57.5</v>
      </c>
      <c r="E209" s="70">
        <f>_xlfn.RANK.AVG(E39,$C$36:$G$49:$C$19:$G$30,1)</f>
        <v>81.5</v>
      </c>
      <c r="F209" s="70">
        <f>_xlfn.RANK.AVG(F39,$C$36:$G$49:$C$19:$G$30,1)</f>
        <v>111.5</v>
      </c>
      <c r="G209" s="70">
        <f>_xlfn.RANK.AVG(G39,$C$36:$G$49:$C$19:$G$30,1)</f>
        <v>104.5</v>
      </c>
      <c r="I209" s="43">
        <f>_xlfn.RANK.AVG(J39,$J$36:$N$49:$J$19:$N$30,1)</f>
        <v>121.5</v>
      </c>
      <c r="J209" s="43">
        <f>_xlfn.RANK.AVG(K39,$J$36:$N$49:$J$19:$N$30,1)</f>
        <v>34</v>
      </c>
      <c r="K209" s="43">
        <f>_xlfn.RANK.AVG(L39,$J$36:$N$49:$J$19:$N$30,1)</f>
        <v>108.5</v>
      </c>
      <c r="L209" s="43">
        <f>_xlfn.RANK.AVG(M39,$J$36:$N$49:$J$19:$N$30,1)</f>
        <v>42.5</v>
      </c>
      <c r="M209" s="63">
        <f>_xlfn.RANK.AVG(N39,$J$36:$N$49:$J$19:$N$30,1)</f>
        <v>106</v>
      </c>
      <c r="Q209" s="43">
        <f>_xlfn.RANK.AVG(Q39,$Q$36:$U$49:$Q$19:$U$30,1)</f>
        <v>3</v>
      </c>
      <c r="R209" s="43">
        <f>_xlfn.RANK.AVG(R39,$Q$36:$U$49:$Q$19:$U$30,1)</f>
        <v>8</v>
      </c>
      <c r="S209" s="43">
        <f>_xlfn.RANK.AVG(S39,$Q$36:$U$49:$Q$19:$U$30,1)</f>
        <v>36.5</v>
      </c>
      <c r="T209" s="43">
        <f>_xlfn.RANK.AVG(T39,$Q$36:$U$49:$Q$19:$U$30,1)</f>
        <v>111</v>
      </c>
      <c r="U209" s="63">
        <f>_xlfn.RANK.AVG(U39,$Q$36:$U$49:$Q$19:$U$30,1)</f>
        <v>47.5</v>
      </c>
    </row>
    <row r="210" spans="3:21">
      <c r="C210" s="70">
        <f>_xlfn.RANK.AVG(C40,$C$36:$G$49:$C$19:$G$30,1)</f>
        <v>38.5</v>
      </c>
      <c r="D210" s="70">
        <f>_xlfn.RANK.AVG(D40,$C$36:$G$49:$C$19:$G$30,1)</f>
        <v>5</v>
      </c>
      <c r="E210" s="70">
        <f>_xlfn.RANK.AVG(E40,$C$36:$G$49:$C$19:$G$30,1)</f>
        <v>97</v>
      </c>
      <c r="F210" s="70">
        <f>_xlfn.RANK.AVG(F40,$C$36:$G$49:$C$19:$G$30,1)</f>
        <v>104.5</v>
      </c>
      <c r="G210" s="70">
        <f>_xlfn.RANK.AVG(G40,$C$36:$G$49:$C$19:$G$30,1)</f>
        <v>45.5</v>
      </c>
      <c r="I210" s="43">
        <f>_xlfn.RANK.AVG(J40,$J$36:$N$49:$J$19:$N$30,1)</f>
        <v>47</v>
      </c>
      <c r="J210" s="43">
        <f>_xlfn.RANK.AVG(K40,$J$36:$N$49:$J$19:$N$30,1)</f>
        <v>72</v>
      </c>
      <c r="K210" s="43">
        <f>_xlfn.RANK.AVG(L40,$J$36:$N$49:$J$19:$N$30,1)</f>
        <v>119.5</v>
      </c>
      <c r="L210" s="43">
        <f>_xlfn.RANK.AVG(M40,$J$36:$N$49:$J$19:$N$30,1)</f>
        <v>54</v>
      </c>
      <c r="M210" s="63">
        <f>_xlfn.RANK.AVG(N40,$J$36:$N$49:$J$19:$N$30,1)</f>
        <v>68</v>
      </c>
      <c r="Q210" s="43">
        <f>_xlfn.RANK.AVG(Q40,$Q$36:$U$49:$Q$19:$U$30,1)</f>
        <v>53.5</v>
      </c>
      <c r="R210" s="43">
        <f>_xlfn.RANK.AVG(R40,$Q$36:$U$49:$Q$19:$U$30,1)</f>
        <v>2</v>
      </c>
      <c r="S210" s="43">
        <f>_xlfn.RANK.AVG(S40,$Q$36:$U$49:$Q$19:$U$30,1)</f>
        <v>113.5</v>
      </c>
      <c r="T210" s="43">
        <f>_xlfn.RANK.AVG(T40,$Q$36:$U$49:$Q$19:$U$30,1)</f>
        <v>23</v>
      </c>
      <c r="U210" s="63">
        <f>_xlfn.RANK.AVG(U40,$Q$36:$U$49:$Q$19:$U$30,1)</f>
        <v>53.5</v>
      </c>
    </row>
    <row r="211" spans="3:21">
      <c r="C211" s="70">
        <f>_xlfn.RANK.AVG(C41,$C$36:$G$49:$C$19:$G$30,1)</f>
        <v>27</v>
      </c>
      <c r="D211" s="70">
        <f>_xlfn.RANK.AVG(D41,$C$36:$G$49:$C$19:$G$30,1)</f>
        <v>45.5</v>
      </c>
      <c r="E211" s="70">
        <f>_xlfn.RANK.AVG(E41,$C$36:$G$49:$C$19:$G$30,1)</f>
        <v>54.5</v>
      </c>
      <c r="F211" s="70">
        <f>_xlfn.RANK.AVG(F41,$C$36:$G$49:$C$19:$G$30,1)</f>
        <v>132</v>
      </c>
      <c r="G211" s="70">
        <f>_xlfn.RANK.AVG(G41,$C$36:$G$49:$C$19:$G$30,1)</f>
        <v>131</v>
      </c>
      <c r="I211" s="43">
        <f>_xlfn.RANK.AVG(J41,$J$36:$N$49:$J$19:$N$30,1)</f>
        <v>42.5</v>
      </c>
      <c r="J211" s="43">
        <f>_xlfn.RANK.AVG(K41,$J$36:$N$49:$J$19:$N$30,1)</f>
        <v>92</v>
      </c>
      <c r="K211" s="43">
        <f>_xlfn.RANK.AVG(L41,$J$36:$N$49:$J$19:$N$30,1)</f>
        <v>101</v>
      </c>
      <c r="L211" s="43">
        <f>_xlfn.RANK.AVG(M41,$J$36:$N$49:$J$19:$N$30,1)</f>
        <v>95</v>
      </c>
      <c r="M211" s="63">
        <f>_xlfn.RANK.AVG(N41,$J$36:$N$49:$J$19:$N$30,1)</f>
        <v>42.5</v>
      </c>
      <c r="Q211" s="43">
        <f>_xlfn.RANK.AVG(Q41,$Q$36:$U$49:$Q$19:$U$30,1)</f>
        <v>22</v>
      </c>
      <c r="R211" s="43">
        <f>_xlfn.RANK.AVG(R41,$Q$36:$U$49:$Q$19:$U$30,1)</f>
        <v>122</v>
      </c>
      <c r="S211" s="43">
        <f>_xlfn.RANK.AVG(S41,$Q$36:$U$49:$Q$19:$U$30,1)</f>
        <v>34</v>
      </c>
      <c r="T211" s="43">
        <f>_xlfn.RANK.AVG(T41,$Q$36:$U$49:$Q$19:$U$30,1)</f>
        <v>49</v>
      </c>
      <c r="U211" s="63">
        <f>_xlfn.RANK.AVG(U41,$Q$36:$U$49:$Q$19:$U$30,1)</f>
        <v>28</v>
      </c>
    </row>
    <row r="212" spans="3:21">
      <c r="C212" s="70">
        <f>_xlfn.RANK.AVG(C42,$C$36:$G$49:$C$19:$G$30,1)</f>
        <v>54.5</v>
      </c>
      <c r="D212" s="70">
        <f>_xlfn.RANK.AVG(D42,$C$36:$G$49:$C$19:$G$30,1)</f>
        <v>97</v>
      </c>
      <c r="E212" s="70">
        <f>_xlfn.RANK.AVG(E42,$C$36:$G$49:$C$19:$G$30,1)</f>
        <v>72</v>
      </c>
      <c r="F212" s="70">
        <f>_xlfn.RANK.AVG(F42,$C$36:$G$49:$C$19:$G$30,1)</f>
        <v>77</v>
      </c>
      <c r="G212" s="70">
        <f>_xlfn.RANK.AVG(G42,$C$36:$G$49:$C$19:$G$30,1)</f>
        <v>111.5</v>
      </c>
      <c r="I212" s="43">
        <f>_xlfn.RANK.AVG(J42,$J$36:$N$49:$J$19:$N$30,1)</f>
        <v>8</v>
      </c>
      <c r="J212" s="43">
        <f>_xlfn.RANK.AVG(K42,$J$36:$N$49:$J$19:$N$30,1)</f>
        <v>3</v>
      </c>
      <c r="K212" s="43">
        <f>_xlfn.RANK.AVG(L42,$J$36:$N$49:$J$19:$N$30,1)</f>
        <v>13.5</v>
      </c>
      <c r="L212" s="43">
        <f>_xlfn.RANK.AVG(M42,$J$36:$N$49:$J$19:$N$30,1)</f>
        <v>27</v>
      </c>
      <c r="M212" s="63">
        <f>_xlfn.RANK.AVG(N42,$J$36:$N$49:$J$19:$N$30,1)</f>
        <v>47</v>
      </c>
      <c r="Q212" s="43">
        <f>_xlfn.RANK.AVG(Q42,$Q$36:$U$49:$Q$19:$U$30,1)</f>
        <v>4</v>
      </c>
      <c r="R212" s="43">
        <f>_xlfn.RANK.AVG(R42,$Q$36:$U$49:$Q$19:$U$30,1)</f>
        <v>108</v>
      </c>
      <c r="S212" s="43">
        <f>_xlfn.RANK.AVG(S42,$Q$36:$U$49:$Q$19:$U$30,1)</f>
        <v>35</v>
      </c>
      <c r="T212" s="43">
        <f>_xlfn.RANK.AVG(T42,$Q$36:$U$49:$Q$19:$U$30,1)</f>
        <v>101</v>
      </c>
      <c r="U212" s="63">
        <f>_xlfn.RANK.AVG(U42,$Q$36:$U$49:$Q$19:$U$30,1)</f>
        <v>119</v>
      </c>
    </row>
    <row r="213" spans="3:21">
      <c r="C213" s="70">
        <f>_xlfn.RANK.AVG(C43,$C$36:$G$49:$C$19:$G$30,1)</f>
        <v>37</v>
      </c>
      <c r="D213" s="70">
        <f>_xlfn.RANK.AVG(D43,$C$36:$G$49:$C$19:$G$30,1)</f>
        <v>22</v>
      </c>
      <c r="E213" s="70">
        <f>_xlfn.RANK.AVG(E43,$C$36:$G$49:$C$19:$G$30,1)</f>
        <v>34.5</v>
      </c>
      <c r="F213" s="70">
        <f>_xlfn.RANK.AVG(F43,$C$36:$G$49:$C$19:$G$30,1)</f>
        <v>40.5</v>
      </c>
      <c r="G213" s="70">
        <f>_xlfn.RANK.AVG(G43,$C$36:$G$49:$C$19:$G$30,1)</f>
        <v>57.5</v>
      </c>
      <c r="I213" s="43">
        <f>_xlfn.RANK.AVG(J43,$J$36:$N$49:$J$19:$N$30,1)</f>
        <v>116</v>
      </c>
      <c r="J213" s="43">
        <f>_xlfn.RANK.AVG(K43,$J$36:$N$49:$J$19:$N$30,1)</f>
        <v>25.5</v>
      </c>
      <c r="K213" s="43">
        <f>_xlfn.RANK.AVG(L43,$J$36:$N$49:$J$19:$N$30,1)</f>
        <v>101</v>
      </c>
      <c r="L213" s="43">
        <f>_xlfn.RANK.AVG(M43,$J$36:$N$49:$J$19:$N$30,1)</f>
        <v>54</v>
      </c>
      <c r="M213" s="63">
        <f>_xlfn.RANK.AVG(N43,$J$36:$N$49:$J$19:$N$30,1)</f>
        <v>76.5</v>
      </c>
      <c r="Q213" s="43">
        <f>_xlfn.RANK.AVG(Q43,$Q$36:$U$49:$Q$19:$U$30,1)</f>
        <v>12.5</v>
      </c>
      <c r="R213" s="43">
        <f>_xlfn.RANK.AVG(R43,$Q$36:$U$49:$Q$19:$U$30,1)</f>
        <v>9</v>
      </c>
      <c r="S213" s="43">
        <f>_xlfn.RANK.AVG(S43,$Q$36:$U$49:$Q$19:$U$30,1)</f>
        <v>27</v>
      </c>
      <c r="T213" s="43">
        <f>_xlfn.RANK.AVG(T43,$Q$36:$U$49:$Q$19:$U$30,1)</f>
        <v>86.5</v>
      </c>
      <c r="U213" s="63">
        <f>_xlfn.RANK.AVG(U43,$Q$36:$U$49:$Q$19:$U$30,1)</f>
        <v>123</v>
      </c>
    </row>
    <row r="214" spans="3:21">
      <c r="C214" s="70">
        <f>_xlfn.RANK.AVG(C44,$C$36:$G$49:$C$19:$G$30,1)</f>
        <v>1.5</v>
      </c>
      <c r="D214" s="70">
        <f>_xlfn.RANK.AVG(D44,$C$36:$G$49:$C$19:$G$30,1)</f>
        <v>34.5</v>
      </c>
      <c r="E214" s="70">
        <f>_xlfn.RANK.AVG(E44,$C$36:$G$49:$C$19:$G$30,1)</f>
        <v>92.5</v>
      </c>
      <c r="F214" s="70">
        <f>_xlfn.RANK.AVG(F44,$C$36:$G$49:$C$19:$G$30,1)</f>
        <v>77</v>
      </c>
      <c r="G214" s="70">
        <f>_xlfn.RANK.AVG(G44,$C$36:$G$49:$C$19:$G$30,1)</f>
        <v>108.5</v>
      </c>
      <c r="I214" s="43">
        <f>_xlfn.RANK.AVG(J44,$J$36:$N$49:$J$19:$N$30,1)</f>
        <v>47</v>
      </c>
      <c r="J214" s="43">
        <f>_xlfn.RANK.AVG(K44,$J$36:$N$49:$J$19:$N$30,1)</f>
        <v>1</v>
      </c>
      <c r="K214" s="43">
        <f>_xlfn.RANK.AVG(L44,$J$36:$N$49:$J$19:$N$30,1)</f>
        <v>135</v>
      </c>
      <c r="L214" s="43">
        <f>_xlfn.RANK.AVG(M44,$J$36:$N$49:$J$19:$N$30,1)</f>
        <v>87.5</v>
      </c>
      <c r="M214" s="63">
        <f>_xlfn.RANK.AVG(N44,$J$36:$N$49:$J$19:$N$30,1)</f>
        <v>51</v>
      </c>
      <c r="Q214" s="43">
        <f>_xlfn.RANK.AVG(Q44,$Q$36:$U$49:$Q$19:$U$30,1)</f>
        <v>90</v>
      </c>
      <c r="R214" s="43">
        <f>_xlfn.RANK.AVG(R44,$Q$36:$U$49:$Q$19:$U$30,1)</f>
        <v>120</v>
      </c>
      <c r="S214" s="43">
        <f>_xlfn.RANK.AVG(S44,$Q$36:$U$49:$Q$19:$U$30,1)</f>
        <v>127.5</v>
      </c>
      <c r="T214" s="43">
        <f>_xlfn.RANK.AVG(T44,$Q$36:$U$49:$Q$19:$U$30,1)</f>
        <v>20</v>
      </c>
      <c r="U214" s="63">
        <f>_xlfn.RANK.AVG(U44,$Q$36:$U$49:$Q$19:$U$30,1)</f>
        <v>7</v>
      </c>
    </row>
    <row r="215" spans="3:21">
      <c r="C215" s="70">
        <f>_xlfn.RANK.AVG(C45,$C$36:$G$49:$C$19:$G$30,1)</f>
        <v>22</v>
      </c>
      <c r="D215" s="70">
        <f>_xlfn.RANK.AVG(D45,$C$36:$G$49:$C$19:$G$30,1)</f>
        <v>77</v>
      </c>
      <c r="E215" s="70">
        <f>_xlfn.RANK.AVG(E45,$C$36:$G$49:$C$19:$G$30,1)</f>
        <v>12.5</v>
      </c>
      <c r="F215" s="70">
        <f>_xlfn.RANK.AVG(F45,$C$36:$G$49:$C$19:$G$30,1)</f>
        <v>119</v>
      </c>
      <c r="G215" s="70">
        <f>_xlfn.RANK.AVG(G45,$C$36:$G$49:$C$19:$G$30,1)</f>
        <v>45.5</v>
      </c>
      <c r="I215" s="43">
        <f>_xlfn.RANK.AVG(J45,$J$36:$N$49:$J$19:$N$30,1)</f>
        <v>47</v>
      </c>
      <c r="J215" s="43">
        <f>_xlfn.RANK.AVG(K45,$J$36:$N$49:$J$19:$N$30,1)</f>
        <v>101</v>
      </c>
      <c r="K215" s="43">
        <f>_xlfn.RANK.AVG(L45,$J$36:$N$49:$J$19:$N$30,1)</f>
        <v>61</v>
      </c>
      <c r="L215" s="43">
        <f>_xlfn.RANK.AVG(M45,$J$36:$N$49:$J$19:$N$30,1)</f>
        <v>22</v>
      </c>
      <c r="M215" s="63">
        <f>_xlfn.RANK.AVG(N45,$J$36:$N$49:$J$19:$N$30,1)</f>
        <v>95</v>
      </c>
      <c r="Q215" s="43">
        <f>_xlfn.RANK.AVG(Q45,$Q$36:$U$49:$Q$19:$U$30,1)</f>
        <v>92.5</v>
      </c>
      <c r="R215" s="43">
        <f>_xlfn.RANK.AVG(R45,$Q$36:$U$49:$Q$19:$U$30,1)</f>
        <v>60.5</v>
      </c>
      <c r="S215" s="43">
        <f>_xlfn.RANK.AVG(S45,$Q$36:$U$49:$Q$19:$U$30,1)</f>
        <v>24</v>
      </c>
      <c r="T215" s="43">
        <f>_xlfn.RANK.AVG(T45,$Q$36:$U$49:$Q$19:$U$30,1)</f>
        <v>127.5</v>
      </c>
      <c r="U215" s="63">
        <f>_xlfn.RANK.AVG(U45,$Q$36:$U$49:$Q$19:$U$30,1)</f>
        <v>95</v>
      </c>
    </row>
    <row r="216" spans="3:21">
      <c r="C216" s="70">
        <f>_xlfn.RANK.AVG(C46,$C$36:$G$49:$C$19:$G$30,1)</f>
        <v>9.5</v>
      </c>
      <c r="D216" s="70">
        <f>_xlfn.RANK.AVG(D46,$C$36:$G$49:$C$19:$G$30,1)</f>
        <v>68.5</v>
      </c>
      <c r="E216" s="70">
        <f>_xlfn.RANK.AVG(E46,$C$36:$G$49:$C$19:$G$30,1)</f>
        <v>9.5</v>
      </c>
      <c r="F216" s="70">
        <f>_xlfn.RANK.AVG(F46,$C$36:$G$49:$C$19:$G$30,1)</f>
        <v>30.5</v>
      </c>
      <c r="G216" s="70">
        <f>_xlfn.RANK.AVG(G46,$C$36:$G$49:$C$19:$G$30,1)</f>
        <v>30.5</v>
      </c>
      <c r="I216" s="43">
        <f>_xlfn.RANK.AVG(J46,$J$36:$N$49:$J$19:$N$30,1)</f>
        <v>90.5</v>
      </c>
      <c r="J216" s="43">
        <f>_xlfn.RANK.AVG(K46,$J$36:$N$49:$J$19:$N$30,1)</f>
        <v>57.5</v>
      </c>
      <c r="K216" s="43">
        <f>_xlfn.RANK.AVG(L46,$J$36:$N$49:$J$19:$N$30,1)</f>
        <v>111.5</v>
      </c>
      <c r="L216" s="43">
        <f>_xlfn.RANK.AVG(M46,$J$36:$N$49:$J$19:$N$30,1)</f>
        <v>39</v>
      </c>
      <c r="M216" s="63">
        <f>_xlfn.RANK.AVG(N46,$J$36:$N$49:$J$19:$N$30,1)</f>
        <v>117.5</v>
      </c>
      <c r="Q216" s="43">
        <f>_xlfn.RANK.AVG(Q46,$Q$36:$U$49:$Q$19:$U$30,1)</f>
        <v>125</v>
      </c>
      <c r="R216" s="43">
        <f>_xlfn.RANK.AVG(R46,$Q$36:$U$49:$Q$19:$U$30,1)</f>
        <v>89</v>
      </c>
      <c r="S216" s="43">
        <f>_xlfn.RANK.AVG(S46,$Q$36:$U$49:$Q$19:$U$30,1)</f>
        <v>33</v>
      </c>
      <c r="T216" s="43">
        <f>_xlfn.RANK.AVG(T46,$Q$36:$U$49:$Q$19:$U$30,1)</f>
        <v>42.5</v>
      </c>
      <c r="U216" s="63">
        <f>_xlfn.RANK.AVG(U46,$Q$36:$U$49:$Q$19:$U$30,1)</f>
        <v>64.5</v>
      </c>
    </row>
    <row r="217" spans="3:21">
      <c r="C217" s="70">
        <f>_xlfn.RANK.AVG(C47,$C$36:$G$49:$C$19:$G$30,1)</f>
        <v>3</v>
      </c>
      <c r="D217" s="70">
        <f>_xlfn.RANK.AVG(D47,$C$36:$G$49:$C$19:$G$30,1)</f>
        <v>30.5</v>
      </c>
      <c r="E217" s="70">
        <f>_xlfn.RANK.AVG(E47,$C$36:$G$49:$C$19:$G$30,1)</f>
        <v>63</v>
      </c>
      <c r="F217" s="70">
        <f>_xlfn.RANK.AVG(F47,$C$36:$G$49:$C$19:$G$30,1)</f>
        <v>63</v>
      </c>
      <c r="G217" s="70">
        <f>_xlfn.RANK.AVG(G47,$C$36:$G$49:$C$19:$G$30,1)</f>
        <v>77</v>
      </c>
      <c r="I217" s="43">
        <f>_xlfn.RANK.AVG(J47,$J$36:$N$49:$J$19:$N$30,1)</f>
        <v>39</v>
      </c>
      <c r="J217" s="43">
        <f>_xlfn.RANK.AVG(K47,$J$36:$N$49:$J$19:$N$30,1)</f>
        <v>13.5</v>
      </c>
      <c r="K217" s="43">
        <f>_xlfn.RANK.AVG(L47,$J$36:$N$49:$J$19:$N$30,1)</f>
        <v>114</v>
      </c>
      <c r="L217" s="43">
        <f>_xlfn.RANK.AVG(M47,$J$36:$N$49:$J$19:$N$30,1)</f>
        <v>90.5</v>
      </c>
      <c r="M217" s="63">
        <f>_xlfn.RANK.AVG(N47,$J$36:$N$49:$J$19:$N$30,1)</f>
        <v>29</v>
      </c>
      <c r="Q217" s="43">
        <f>_xlfn.RANK.AVG(Q47,$Q$36:$U$49:$Q$19:$U$30,1)</f>
        <v>134</v>
      </c>
      <c r="R217" s="43">
        <f>_xlfn.RANK.AVG(R47,$Q$36:$U$49:$Q$19:$U$30,1)</f>
        <v>76</v>
      </c>
      <c r="S217" s="43">
        <f>_xlfn.RANK.AVG(S47,$Q$36:$U$49:$Q$19:$U$30,1)</f>
        <v>51</v>
      </c>
      <c r="T217" s="43">
        <f>_xlfn.RANK.AVG(T47,$Q$36:$U$49:$Q$19:$U$30,1)</f>
        <v>44.5</v>
      </c>
      <c r="U217" s="63">
        <f>_xlfn.RANK.AVG(U47,$Q$36:$U$49:$Q$19:$U$30,1)</f>
        <v>115</v>
      </c>
    </row>
    <row r="218" spans="3:21">
      <c r="C218" s="70">
        <f>_xlfn.RANK.AVG(C48,$C$36:$G$49:$C$19:$G$30,1)</f>
        <v>6.5</v>
      </c>
      <c r="D218" s="70">
        <f>_xlfn.RANK.AVG(D48,$C$36:$G$49:$C$19:$G$30,1)</f>
        <v>22</v>
      </c>
      <c r="E218" s="70">
        <f>_xlfn.RANK.AVG(E48,$C$36:$G$49:$C$19:$G$30,1)</f>
        <v>6.5</v>
      </c>
      <c r="F218" s="70">
        <f>_xlfn.RANK.AVG(F48,$C$36:$G$49:$C$19:$G$30,1)</f>
        <v>114</v>
      </c>
      <c r="G218" s="70">
        <f>_xlfn.RANK.AVG(G48,$C$36:$G$49:$C$19:$G$30,1)</f>
        <v>129.5</v>
      </c>
      <c r="I218" s="43">
        <f>_xlfn.RANK.AVG(J48,$J$36:$N$49:$J$19:$N$30,1)</f>
        <v>76.5</v>
      </c>
      <c r="J218" s="43">
        <f>_xlfn.RANK.AVG(K48,$J$36:$N$49:$J$19:$N$30,1)</f>
        <v>15.5</v>
      </c>
      <c r="K218" s="43">
        <f>_xlfn.RANK.AVG(L48,$J$36:$N$49:$J$19:$N$30,1)</f>
        <v>20.5</v>
      </c>
      <c r="L218" s="43">
        <f>_xlfn.RANK.AVG(M48,$J$36:$N$49:$J$19:$N$30,1)</f>
        <v>68</v>
      </c>
      <c r="M218" s="63">
        <f>_xlfn.RANK.AVG(N48,$J$36:$N$49:$J$19:$N$30,1)</f>
        <v>79.5</v>
      </c>
      <c r="Q218" s="43">
        <f>_xlfn.RANK.AVG(Q48,$Q$36:$U$49:$Q$19:$U$30,1)</f>
        <v>71.5</v>
      </c>
      <c r="R218" s="43">
        <f>_xlfn.RANK.AVG(R48,$Q$36:$U$49:$Q$19:$U$30,1)</f>
        <v>57</v>
      </c>
      <c r="S218" s="43">
        <f>_xlfn.RANK.AVG(S48,$Q$36:$U$49:$Q$19:$U$30,1)</f>
        <v>51</v>
      </c>
      <c r="T218" s="43">
        <f>_xlfn.RANK.AVG(T48,$Q$36:$U$49:$Q$19:$U$30,1)</f>
        <v>60.5</v>
      </c>
      <c r="U218" s="63">
        <f>_xlfn.RANK.AVG(U48,$Q$36:$U$49:$Q$19:$U$30,1)</f>
        <v>110</v>
      </c>
    </row>
    <row r="219" spans="3:21">
      <c r="C219" s="70">
        <f>_xlfn.RANK.AVG(C49,$C$36:$G$49:$C$19:$G$30,1)</f>
        <v>16.5</v>
      </c>
      <c r="D219" s="70">
        <f>_xlfn.RANK.AVG(D49,$C$36:$G$49:$C$19:$G$30,1)</f>
        <v>34.5</v>
      </c>
      <c r="E219" s="70">
        <f>_xlfn.RANK.AVG(E49,$C$36:$G$49:$C$19:$G$30,1)</f>
        <v>27</v>
      </c>
      <c r="F219" s="70">
        <f>_xlfn.RANK.AVG(F49,$C$36:$G$49:$C$19:$G$30,1)</f>
        <v>97</v>
      </c>
      <c r="G219" s="70">
        <f>_xlfn.RANK.AVG(G49,$C$36:$G$49:$C$19:$G$30,1)</f>
        <v>87</v>
      </c>
      <c r="I219" s="58">
        <f>_xlfn.RANK.AVG(J49,$J$36:$N$49:$J$19:$N$30,1)</f>
        <v>68</v>
      </c>
      <c r="J219" s="58">
        <f>_xlfn.RANK.AVG(K49,$J$36:$N$49:$J$19:$N$30,1)</f>
        <v>61</v>
      </c>
      <c r="K219" s="58">
        <f>_xlfn.RANK.AVG(L49,$J$36:$N$49:$J$19:$N$30,1)</f>
        <v>81</v>
      </c>
      <c r="L219" s="58">
        <f>_xlfn.RANK.AVG(M49,$J$36:$N$49:$J$19:$N$30,1)</f>
        <v>42.5</v>
      </c>
      <c r="M219" s="61">
        <f>_xlfn.RANK.AVG(N49,$J$36:$N$49:$J$19:$N$30,1)</f>
        <v>129.5</v>
      </c>
      <c r="Q219" s="58">
        <f>_xlfn.RANK.AVG(Q49,$Q$36:$U$49:$Q$19:$U$30,1)</f>
        <v>1</v>
      </c>
      <c r="R219" s="58">
        <f>_xlfn.RANK.AVG(R49,$Q$36:$U$49:$Q$19:$U$30,1)</f>
        <v>106</v>
      </c>
      <c r="S219" s="58">
        <f>_xlfn.RANK.AVG(S49,$Q$36:$U$49:$Q$19:$U$30,1)</f>
        <v>51</v>
      </c>
      <c r="T219" s="58">
        <f>_xlfn.RANK.AVG(T49,$Q$36:$U$49:$Q$19:$U$30,1)</f>
        <v>38</v>
      </c>
      <c r="U219" s="61">
        <f>_xlfn.RANK.AVG(U49,$Q$36:$U$49:$Q$19:$U$30,1)</f>
        <v>63</v>
      </c>
    </row>
    <row r="220" spans="3:21">
      <c r="I220" s="297"/>
      <c r="Q220" s="297"/>
      <c r="R220" s="297"/>
      <c r="S220" s="297"/>
      <c r="T220" s="297"/>
      <c r="U220" s="297"/>
    </row>
    <row r="221" spans="3:21">
      <c r="D221" s="187" t="s">
        <v>176</v>
      </c>
      <c r="E221" s="187" t="s">
        <v>205</v>
      </c>
      <c r="I221" s="297"/>
      <c r="J221" s="297" t="s">
        <v>176</v>
      </c>
      <c r="K221" s="297" t="s">
        <v>205</v>
      </c>
      <c r="Q221" s="297"/>
      <c r="R221" s="297" t="s">
        <v>176</v>
      </c>
      <c r="S221" s="297" t="s">
        <v>205</v>
      </c>
      <c r="T221" s="297"/>
      <c r="U221" s="297"/>
    </row>
    <row r="222" spans="3:21">
      <c r="C222" s="367" t="s">
        <v>207</v>
      </c>
      <c r="D222" s="203">
        <f>COUNT(C193:G204)</f>
        <v>60</v>
      </c>
      <c r="E222" s="203">
        <f>COUNT(C206:G219)</f>
        <v>70</v>
      </c>
      <c r="I222" s="372" t="s">
        <v>207</v>
      </c>
      <c r="J222" s="340">
        <f>COUNT(I193:M204)</f>
        <v>60</v>
      </c>
      <c r="K222" s="340">
        <f>COUNT(I206:M219)</f>
        <v>70</v>
      </c>
      <c r="Q222" s="372" t="s">
        <v>207</v>
      </c>
      <c r="R222" s="340">
        <f>COUNT(Q193:U204)</f>
        <v>60</v>
      </c>
      <c r="S222" s="340">
        <f>COUNT(Q206:U219)</f>
        <v>70</v>
      </c>
      <c r="T222" s="297"/>
      <c r="U222" s="297"/>
    </row>
    <row r="223" spans="3:21">
      <c r="C223" s="367" t="s">
        <v>208</v>
      </c>
      <c r="D223" s="203">
        <f>SUM(C193:G204)</f>
        <v>4859.5</v>
      </c>
      <c r="E223" s="203">
        <f>SUM(C206:G219)</f>
        <v>3931</v>
      </c>
      <c r="I223" s="372" t="s">
        <v>208</v>
      </c>
      <c r="J223" s="340">
        <f>SUM(I193:M204)</f>
        <v>4209</v>
      </c>
      <c r="K223" s="340">
        <f>SUM(I206:M219)</f>
        <v>4628</v>
      </c>
      <c r="Q223" s="372" t="s">
        <v>208</v>
      </c>
      <c r="R223" s="340">
        <f>SUM(Q193:U204)</f>
        <v>4572</v>
      </c>
      <c r="S223" s="340">
        <f>SUM(Q206:U219)</f>
        <v>4204.5</v>
      </c>
      <c r="T223" s="297"/>
      <c r="U223" s="297"/>
    </row>
    <row r="224" spans="3:21">
      <c r="C224" s="367" t="s">
        <v>214</v>
      </c>
      <c r="D224" s="203">
        <f>D222*E222+(D222*(D222+1)/2)-D223</f>
        <v>1170.5</v>
      </c>
      <c r="E224" s="203">
        <f>E222*D222+(E222*(E222+1)/2)-E223</f>
        <v>2754</v>
      </c>
      <c r="I224" s="372" t="s">
        <v>214</v>
      </c>
      <c r="J224" s="340">
        <f>J222*K222+(J222*(J222+1)/2)-J223</f>
        <v>1821</v>
      </c>
      <c r="K224" s="340">
        <f>K222*J222+(K222*(K222+1)/2)-K223</f>
        <v>2057</v>
      </c>
      <c r="Q224" s="372" t="s">
        <v>214</v>
      </c>
      <c r="R224" s="340">
        <f>R222*S222+(R222*(R222+1)/2)-R223</f>
        <v>1458</v>
      </c>
      <c r="S224" s="340">
        <f>S222*R222+(S222*(S222+1)/2)-S223</f>
        <v>2480.5</v>
      </c>
      <c r="T224" s="297"/>
      <c r="U224" s="297"/>
    </row>
    <row r="225" spans="3:21">
      <c r="C225" s="367" t="s">
        <v>215</v>
      </c>
      <c r="D225" s="368">
        <f>MIN(D224:E224)</f>
        <v>1170.5</v>
      </c>
      <c r="E225" s="369"/>
      <c r="I225" s="372" t="s">
        <v>215</v>
      </c>
      <c r="J225" s="375">
        <f>MIN(J224:K224)</f>
        <v>1821</v>
      </c>
      <c r="K225" s="376"/>
      <c r="Q225" s="372" t="s">
        <v>215</v>
      </c>
      <c r="R225" s="375">
        <f>MIN(R224:S224)</f>
        <v>1458</v>
      </c>
      <c r="S225" s="376"/>
      <c r="T225" s="297"/>
      <c r="U225" s="297"/>
    </row>
    <row r="226" spans="3:21">
      <c r="C226" s="185" t="s">
        <v>210</v>
      </c>
      <c r="I226" s="301" t="s">
        <v>210</v>
      </c>
      <c r="Q226" s="301" t="s">
        <v>210</v>
      </c>
      <c r="R226" s="297"/>
      <c r="S226" s="297"/>
      <c r="T226" s="297"/>
      <c r="U226" s="297"/>
    </row>
    <row r="227" spans="3:21">
      <c r="C227" s="194" t="s">
        <v>211</v>
      </c>
      <c r="D227" s="495">
        <f>D222*E222/2</f>
        <v>2100</v>
      </c>
      <c r="E227" s="495"/>
      <c r="I227" s="373" t="s">
        <v>211</v>
      </c>
      <c r="J227" s="467">
        <f>J222*K222/2</f>
        <v>2100</v>
      </c>
      <c r="K227" s="467"/>
      <c r="Q227" s="373" t="s">
        <v>211</v>
      </c>
      <c r="R227" s="467">
        <f>R222*S222/2</f>
        <v>2100</v>
      </c>
      <c r="S227" s="467"/>
      <c r="T227" s="297"/>
      <c r="U227" s="297"/>
    </row>
    <row r="228" spans="3:21">
      <c r="C228" s="194" t="s">
        <v>77</v>
      </c>
      <c r="D228" s="495">
        <f>ROUND(SQRT(D222*E222*(D222+E222+1)/12),3)</f>
        <v>214.126</v>
      </c>
      <c r="E228" s="495"/>
      <c r="I228" s="373" t="s">
        <v>77</v>
      </c>
      <c r="J228" s="467">
        <f>ROUND(SQRT(J222*K222*(J222+K222+1)/12),3)</f>
        <v>214.126</v>
      </c>
      <c r="K228" s="467"/>
      <c r="Q228" s="373" t="s">
        <v>77</v>
      </c>
      <c r="R228" s="467">
        <f>ROUND(SQRT(R222*S222*(R222+S222+1)/12),3)</f>
        <v>214.126</v>
      </c>
      <c r="S228" s="467"/>
      <c r="T228" s="297"/>
      <c r="U228" s="297"/>
    </row>
    <row r="229" spans="3:21">
      <c r="C229" s="194" t="s">
        <v>212</v>
      </c>
      <c r="D229" s="495">
        <f>ROUND((D227-D225)/D228,3)</f>
        <v>4.3410000000000002</v>
      </c>
      <c r="E229" s="495"/>
      <c r="I229" s="373" t="s">
        <v>212</v>
      </c>
      <c r="J229" s="467">
        <f>ROUND((J227-J225)/J228,3)</f>
        <v>1.3029999999999999</v>
      </c>
      <c r="K229" s="467"/>
      <c r="Q229" s="373" t="s">
        <v>212</v>
      </c>
      <c r="R229" s="467">
        <f>ROUND((R227-R225)/R228,3)</f>
        <v>2.9980000000000002</v>
      </c>
      <c r="S229" s="467"/>
      <c r="T229" s="297"/>
      <c r="U229" s="297"/>
    </row>
    <row r="230" spans="3:21">
      <c r="C230" s="194" t="s">
        <v>209</v>
      </c>
      <c r="D230" s="495">
        <f>ROUND(D227+D228*NORMSINV(0.05)-0.5,3)</f>
        <v>1747.2940000000001</v>
      </c>
      <c r="E230" s="495"/>
      <c r="F230" s="371" t="s">
        <v>216</v>
      </c>
      <c r="I230" s="373" t="s">
        <v>209</v>
      </c>
      <c r="J230" s="467">
        <f>ROUND(J227+J228*NORMSINV(0.05)-0.5,3)</f>
        <v>1747.2940000000001</v>
      </c>
      <c r="K230" s="467"/>
      <c r="L230" s="378" t="s">
        <v>223</v>
      </c>
      <c r="Q230" s="373" t="s">
        <v>209</v>
      </c>
      <c r="R230" s="467">
        <f>ROUND(R227+R228*NORMSINV(0.05)-0.5,3)</f>
        <v>1747.2940000000001</v>
      </c>
      <c r="S230" s="467"/>
      <c r="T230" s="374" t="s">
        <v>216</v>
      </c>
      <c r="U230" s="297"/>
    </row>
    <row r="231" spans="3:21">
      <c r="C231" s="194" t="s">
        <v>213</v>
      </c>
      <c r="D231" s="495">
        <f>(1-NORMSDIST(D229))/2</f>
        <v>3.5458930847664938E-6</v>
      </c>
      <c r="E231" s="495"/>
      <c r="F231" s="371" t="s">
        <v>221</v>
      </c>
      <c r="I231" s="377" t="s">
        <v>213</v>
      </c>
      <c r="J231" s="496">
        <f>(1-NORMSDIST(J229))/2</f>
        <v>4.8143690391323712E-2</v>
      </c>
      <c r="K231" s="496"/>
      <c r="L231" s="378" t="s">
        <v>222</v>
      </c>
      <c r="Q231" s="379" t="s">
        <v>213</v>
      </c>
      <c r="R231" s="468">
        <f>(1-NORMSDIST(R229))/2</f>
        <v>6.7939418343537783E-4</v>
      </c>
      <c r="S231" s="468"/>
      <c r="T231" s="374" t="s">
        <v>222</v>
      </c>
      <c r="U231" s="297"/>
    </row>
    <row r="232" spans="3:21">
      <c r="C232" s="203" t="s">
        <v>174</v>
      </c>
      <c r="D232" s="203">
        <f>MEDIAN(C19:G30)</f>
        <v>29</v>
      </c>
      <c r="E232" s="203">
        <f>MEDIAN(C36:G49)</f>
        <v>20.5</v>
      </c>
      <c r="F232" s="400" t="s">
        <v>218</v>
      </c>
      <c r="G232" s="401"/>
      <c r="I232" s="340" t="s">
        <v>174</v>
      </c>
      <c r="J232" s="340">
        <f>MEDIAN(I19:M30)</f>
        <v>7.1</v>
      </c>
      <c r="K232" s="340">
        <f>MEDIAN(I36:M49)</f>
        <v>7</v>
      </c>
      <c r="L232" s="378" t="s">
        <v>224</v>
      </c>
      <c r="Q232" s="340" t="s">
        <v>174</v>
      </c>
      <c r="R232" s="340">
        <f>MEDIAN(Q19:U30)</f>
        <v>279</v>
      </c>
      <c r="S232" s="340">
        <f>MEDIAN(Q36:U49)</f>
        <v>237.5</v>
      </c>
      <c r="T232" s="404" t="s">
        <v>229</v>
      </c>
      <c r="U232" s="297"/>
    </row>
    <row r="234" spans="3:21">
      <c r="C234" s="371"/>
    </row>
  </sheetData>
  <mergeCells count="117">
    <mergeCell ref="C1:G1"/>
    <mergeCell ref="J1:N1"/>
    <mergeCell ref="Q1:U1"/>
    <mergeCell ref="A3:A13"/>
    <mergeCell ref="R142:S142"/>
    <mergeCell ref="R143:S143"/>
    <mergeCell ref="R144:S144"/>
    <mergeCell ref="D229:E229"/>
    <mergeCell ref="D230:E230"/>
    <mergeCell ref="J17:N17"/>
    <mergeCell ref="Q17:U17"/>
    <mergeCell ref="A19:A30"/>
    <mergeCell ref="J139:K139"/>
    <mergeCell ref="J141:K141"/>
    <mergeCell ref="J142:K142"/>
    <mergeCell ref="J143:K143"/>
    <mergeCell ref="D183:E183"/>
    <mergeCell ref="D184:E184"/>
    <mergeCell ref="D185:E185"/>
    <mergeCell ref="D186:E186"/>
    <mergeCell ref="D187:E187"/>
    <mergeCell ref="C17:G17"/>
    <mergeCell ref="D139:E139"/>
    <mergeCell ref="C148:G148"/>
    <mergeCell ref="D231:E231"/>
    <mergeCell ref="J144:K144"/>
    <mergeCell ref="J145:K145"/>
    <mergeCell ref="I148:M148"/>
    <mergeCell ref="I149:M149"/>
    <mergeCell ref="I161:M161"/>
    <mergeCell ref="J183:K183"/>
    <mergeCell ref="J184:K184"/>
    <mergeCell ref="J185:K185"/>
    <mergeCell ref="J186:K186"/>
    <mergeCell ref="J187:K187"/>
    <mergeCell ref="I191:M191"/>
    <mergeCell ref="I192:M192"/>
    <mergeCell ref="I205:M205"/>
    <mergeCell ref="J227:K227"/>
    <mergeCell ref="J228:K228"/>
    <mergeCell ref="J229:K229"/>
    <mergeCell ref="J230:K230"/>
    <mergeCell ref="J231:K231"/>
    <mergeCell ref="D227:E227"/>
    <mergeCell ref="D228:E228"/>
    <mergeCell ref="C192:G192"/>
    <mergeCell ref="C205:G205"/>
    <mergeCell ref="D145:E145"/>
    <mergeCell ref="C149:G149"/>
    <mergeCell ref="D141:E141"/>
    <mergeCell ref="D142:E142"/>
    <mergeCell ref="D143:E143"/>
    <mergeCell ref="D144:E144"/>
    <mergeCell ref="C161:G161"/>
    <mergeCell ref="C191:G191"/>
    <mergeCell ref="C108:G108"/>
    <mergeCell ref="C109:G109"/>
    <mergeCell ref="C121:G121"/>
    <mergeCell ref="I108:M108"/>
    <mergeCell ref="I109:M109"/>
    <mergeCell ref="I121:M121"/>
    <mergeCell ref="C52:G52"/>
    <mergeCell ref="J52:N52"/>
    <mergeCell ref="Q52:U52"/>
    <mergeCell ref="A36:A49"/>
    <mergeCell ref="C53:G53"/>
    <mergeCell ref="C65:G65"/>
    <mergeCell ref="J53:N53"/>
    <mergeCell ref="J65:N65"/>
    <mergeCell ref="Q53:U53"/>
    <mergeCell ref="Q65:U65"/>
    <mergeCell ref="C78:G78"/>
    <mergeCell ref="J78:N78"/>
    <mergeCell ref="Q78:U78"/>
    <mergeCell ref="Q98:S98"/>
    <mergeCell ref="Q99:S99"/>
    <mergeCell ref="Q100:S100"/>
    <mergeCell ref="Q101:S101"/>
    <mergeCell ref="Q102:S102"/>
    <mergeCell ref="Q103:S103"/>
    <mergeCell ref="Q108:U108"/>
    <mergeCell ref="Q109:U109"/>
    <mergeCell ref="C34:G34"/>
    <mergeCell ref="J34:N34"/>
    <mergeCell ref="Q34:U34"/>
    <mergeCell ref="C98:E98"/>
    <mergeCell ref="C99:E99"/>
    <mergeCell ref="C100:E100"/>
    <mergeCell ref="C101:E101"/>
    <mergeCell ref="C102:E102"/>
    <mergeCell ref="C103:E103"/>
    <mergeCell ref="J98:L98"/>
    <mergeCell ref="J99:L99"/>
    <mergeCell ref="J100:L100"/>
    <mergeCell ref="J101:L101"/>
    <mergeCell ref="J102:L102"/>
    <mergeCell ref="J103:L103"/>
    <mergeCell ref="Q121:U121"/>
    <mergeCell ref="R139:S139"/>
    <mergeCell ref="R141:S141"/>
    <mergeCell ref="Q192:U192"/>
    <mergeCell ref="Q205:U205"/>
    <mergeCell ref="R145:S145"/>
    <mergeCell ref="Q148:U148"/>
    <mergeCell ref="Q149:U149"/>
    <mergeCell ref="Q161:U161"/>
    <mergeCell ref="R227:S227"/>
    <mergeCell ref="R228:S228"/>
    <mergeCell ref="R229:S229"/>
    <mergeCell ref="R230:S230"/>
    <mergeCell ref="R231:S231"/>
    <mergeCell ref="R183:S183"/>
    <mergeCell ref="R184:S184"/>
    <mergeCell ref="R185:S185"/>
    <mergeCell ref="R186:S186"/>
    <mergeCell ref="R187:S187"/>
    <mergeCell ref="Q191:U19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31"/>
  <sheetViews>
    <sheetView topLeftCell="A100" workbookViewId="0">
      <selection activeCell="Q123" sqref="Q123:U123"/>
    </sheetView>
  </sheetViews>
  <sheetFormatPr defaultColWidth="10.875" defaultRowHeight="15.75"/>
  <cols>
    <col min="1" max="1" width="10.875" style="187"/>
    <col min="2" max="2" width="15.5" style="187" bestFit="1" customWidth="1"/>
    <col min="3" max="7" width="10.875" style="187"/>
    <col min="8" max="8" width="10.875" style="198"/>
    <col min="9" max="9" width="15.5" style="359" bestFit="1" customWidth="1"/>
    <col min="10" max="14" width="10.875" style="297"/>
    <col min="15" max="15" width="10.875" style="198"/>
    <col min="16" max="16" width="15.5" style="198" bestFit="1" customWidth="1"/>
    <col min="17" max="16384" width="10.875" style="187"/>
  </cols>
  <sheetData>
    <row r="1" spans="1:22" s="293" customFormat="1">
      <c r="C1" s="474" t="s">
        <v>198</v>
      </c>
      <c r="D1" s="475"/>
      <c r="E1" s="475"/>
      <c r="F1" s="475"/>
      <c r="G1" s="476"/>
      <c r="H1" s="298"/>
      <c r="I1" s="352"/>
      <c r="J1" s="477" t="s">
        <v>198</v>
      </c>
      <c r="K1" s="478"/>
      <c r="L1" s="478"/>
      <c r="M1" s="478"/>
      <c r="N1" s="479"/>
      <c r="O1" s="298"/>
      <c r="P1" s="298"/>
      <c r="Q1" s="474" t="s">
        <v>198</v>
      </c>
      <c r="R1" s="475"/>
      <c r="S1" s="475"/>
      <c r="T1" s="475"/>
      <c r="U1" s="476"/>
    </row>
    <row r="2" spans="1:22" s="303" customFormat="1">
      <c r="B2" s="304" t="s">
        <v>0</v>
      </c>
      <c r="C2" s="90" t="s">
        <v>12</v>
      </c>
      <c r="D2" s="90" t="s">
        <v>13</v>
      </c>
      <c r="E2" s="90" t="s">
        <v>14</v>
      </c>
      <c r="F2" s="90" t="s">
        <v>15</v>
      </c>
      <c r="G2" s="90" t="s">
        <v>16</v>
      </c>
      <c r="H2" s="305"/>
      <c r="I2" s="353"/>
      <c r="J2" s="306" t="s">
        <v>155</v>
      </c>
      <c r="K2" s="306" t="s">
        <v>156</v>
      </c>
      <c r="L2" s="306" t="s">
        <v>157</v>
      </c>
      <c r="M2" s="306" t="s">
        <v>158</v>
      </c>
      <c r="N2" s="306" t="s">
        <v>159</v>
      </c>
      <c r="O2" s="305"/>
      <c r="P2" s="305"/>
      <c r="Q2" s="89" t="s">
        <v>88</v>
      </c>
      <c r="R2" s="90" t="s">
        <v>89</v>
      </c>
      <c r="S2" s="90" t="s">
        <v>90</v>
      </c>
      <c r="T2" s="90" t="s">
        <v>91</v>
      </c>
      <c r="U2" s="91" t="s">
        <v>92</v>
      </c>
      <c r="V2" s="307"/>
    </row>
    <row r="3" spans="1:22" s="293" customFormat="1">
      <c r="A3" s="408" t="s">
        <v>103</v>
      </c>
      <c r="B3" s="308" t="s">
        <v>1</v>
      </c>
      <c r="C3" s="92">
        <v>55</v>
      </c>
      <c r="D3" s="93">
        <v>28</v>
      </c>
      <c r="E3" s="93">
        <v>34</v>
      </c>
      <c r="F3" s="93">
        <v>48</v>
      </c>
      <c r="G3" s="93">
        <v>59</v>
      </c>
      <c r="H3" s="37"/>
      <c r="I3" s="230"/>
      <c r="J3" s="230">
        <v>5.4</v>
      </c>
      <c r="K3" s="230">
        <v>1.3</v>
      </c>
      <c r="L3" s="230">
        <v>8.1999999999999993</v>
      </c>
      <c r="M3" s="230">
        <v>5.6</v>
      </c>
      <c r="N3" s="230">
        <v>6.5</v>
      </c>
      <c r="O3" s="37"/>
      <c r="P3" s="37"/>
      <c r="Q3" s="92">
        <v>334</v>
      </c>
      <c r="R3" s="93">
        <v>318</v>
      </c>
      <c r="S3" s="93">
        <v>171</v>
      </c>
      <c r="T3" s="93">
        <v>195</v>
      </c>
      <c r="U3" s="94">
        <v>399</v>
      </c>
      <c r="V3" s="95"/>
    </row>
    <row r="4" spans="1:22" s="293" customFormat="1">
      <c r="A4" s="409"/>
      <c r="B4" s="309" t="s">
        <v>2</v>
      </c>
      <c r="C4" s="38">
        <v>71</v>
      </c>
      <c r="D4" s="37">
        <v>12</v>
      </c>
      <c r="E4" s="37">
        <v>9</v>
      </c>
      <c r="F4" s="37">
        <v>24</v>
      </c>
      <c r="G4" s="37">
        <v>59</v>
      </c>
      <c r="H4" s="37"/>
      <c r="I4" s="230"/>
      <c r="J4" s="230">
        <v>4.9000000000000004</v>
      </c>
      <c r="K4" s="230">
        <v>9.6</v>
      </c>
      <c r="L4" s="230">
        <v>8.5</v>
      </c>
      <c r="M4" s="230">
        <v>5.8</v>
      </c>
      <c r="N4" s="230">
        <v>4.9000000000000004</v>
      </c>
      <c r="O4" s="37"/>
      <c r="P4" s="37"/>
      <c r="Q4" s="38">
        <v>307</v>
      </c>
      <c r="R4" s="37">
        <v>360</v>
      </c>
      <c r="S4" s="37">
        <v>369</v>
      </c>
      <c r="T4" s="37">
        <v>355</v>
      </c>
      <c r="U4" s="39">
        <v>272</v>
      </c>
      <c r="V4" s="95"/>
    </row>
    <row r="5" spans="1:22" s="293" customFormat="1">
      <c r="A5" s="409"/>
      <c r="B5" s="309" t="s">
        <v>3</v>
      </c>
      <c r="C5" s="38">
        <v>73</v>
      </c>
      <c r="D5" s="37">
        <v>34</v>
      </c>
      <c r="E5" s="37">
        <v>25</v>
      </c>
      <c r="F5" s="37">
        <v>40</v>
      </c>
      <c r="G5" s="37">
        <v>64</v>
      </c>
      <c r="H5" s="37"/>
      <c r="I5" s="230"/>
      <c r="J5" s="230">
        <v>7.1</v>
      </c>
      <c r="K5" s="230">
        <v>9.4</v>
      </c>
      <c r="L5" s="230">
        <v>5.8</v>
      </c>
      <c r="M5" s="230">
        <v>5.6</v>
      </c>
      <c r="N5" s="230">
        <v>4.3</v>
      </c>
      <c r="O5" s="37"/>
      <c r="P5" s="37"/>
      <c r="Q5" s="38">
        <v>473</v>
      </c>
      <c r="R5" s="37">
        <v>287</v>
      </c>
      <c r="S5" s="37">
        <v>116</v>
      </c>
      <c r="T5" s="37">
        <v>238</v>
      </c>
      <c r="U5" s="39">
        <v>432</v>
      </c>
      <c r="V5" s="95"/>
    </row>
    <row r="6" spans="1:22" s="293" customFormat="1">
      <c r="A6" s="409"/>
      <c r="B6" s="309" t="s">
        <v>4</v>
      </c>
      <c r="C6" s="38">
        <v>50</v>
      </c>
      <c r="D6" s="37">
        <v>35</v>
      </c>
      <c r="E6" s="37">
        <v>21</v>
      </c>
      <c r="F6" s="37">
        <v>43</v>
      </c>
      <c r="G6" s="37">
        <v>66</v>
      </c>
      <c r="H6" s="37"/>
      <c r="I6" s="230"/>
      <c r="J6" s="230">
        <v>1</v>
      </c>
      <c r="K6" s="230">
        <v>7.8</v>
      </c>
      <c r="L6" s="230">
        <v>8.1999999999999993</v>
      </c>
      <c r="M6" s="230">
        <v>5.2</v>
      </c>
      <c r="N6" s="230">
        <v>6.1</v>
      </c>
      <c r="O6" s="37"/>
      <c r="P6" s="37"/>
      <c r="Q6" s="38">
        <v>371</v>
      </c>
      <c r="R6" s="37">
        <v>317</v>
      </c>
      <c r="S6" s="37">
        <v>232</v>
      </c>
      <c r="T6" s="37">
        <v>189</v>
      </c>
      <c r="U6" s="39">
        <v>379</v>
      </c>
      <c r="V6" s="95"/>
    </row>
    <row r="7" spans="1:22" s="293" customFormat="1">
      <c r="A7" s="409"/>
      <c r="B7" s="309" t="s">
        <v>5</v>
      </c>
      <c r="C7" s="38">
        <v>54</v>
      </c>
      <c r="D7" s="37">
        <v>15</v>
      </c>
      <c r="E7" s="37">
        <v>30</v>
      </c>
      <c r="F7" s="37">
        <v>40</v>
      </c>
      <c r="G7" s="37">
        <v>45</v>
      </c>
      <c r="H7" s="37"/>
      <c r="I7" s="230"/>
      <c r="J7" s="230">
        <v>1.1000000000000001</v>
      </c>
      <c r="K7" s="230">
        <v>6.1</v>
      </c>
      <c r="L7" s="230">
        <v>8.1999999999999993</v>
      </c>
      <c r="M7" s="230">
        <v>5.7</v>
      </c>
      <c r="N7" s="230">
        <v>6.4</v>
      </c>
      <c r="O7" s="37"/>
      <c r="P7" s="37"/>
      <c r="Q7" s="38">
        <v>402</v>
      </c>
      <c r="R7" s="37">
        <v>256</v>
      </c>
      <c r="S7" s="37">
        <v>353</v>
      </c>
      <c r="T7" s="37">
        <v>243</v>
      </c>
      <c r="U7" s="39">
        <v>491</v>
      </c>
      <c r="V7" s="95"/>
    </row>
    <row r="8" spans="1:22" s="293" customFormat="1">
      <c r="A8" s="409"/>
      <c r="B8" s="309" t="s">
        <v>6</v>
      </c>
      <c r="C8" s="38">
        <v>55</v>
      </c>
      <c r="D8" s="37">
        <v>21</v>
      </c>
      <c r="E8" s="37">
        <v>25</v>
      </c>
      <c r="F8" s="37">
        <v>28</v>
      </c>
      <c r="G8" s="37">
        <v>58</v>
      </c>
      <c r="H8" s="37"/>
      <c r="I8" s="230"/>
      <c r="J8" s="230">
        <v>2.2000000000000002</v>
      </c>
      <c r="K8" s="230">
        <v>6.5</v>
      </c>
      <c r="L8" s="230">
        <v>7.8</v>
      </c>
      <c r="M8" s="230">
        <v>7.4</v>
      </c>
      <c r="N8" s="230">
        <v>7.4</v>
      </c>
      <c r="O8" s="37"/>
      <c r="P8" s="37"/>
      <c r="Q8" s="38">
        <v>413</v>
      </c>
      <c r="R8" s="37">
        <v>241</v>
      </c>
      <c r="S8" s="37">
        <v>242</v>
      </c>
      <c r="T8" s="37">
        <v>312</v>
      </c>
      <c r="U8" s="39">
        <v>298</v>
      </c>
      <c r="V8" s="95"/>
    </row>
    <row r="9" spans="1:22" s="293" customFormat="1">
      <c r="A9" s="409"/>
      <c r="B9" s="309" t="s">
        <v>7</v>
      </c>
      <c r="C9" s="38">
        <v>55</v>
      </c>
      <c r="D9" s="37">
        <v>28</v>
      </c>
      <c r="E9" s="37">
        <v>40</v>
      </c>
      <c r="F9" s="37">
        <v>33</v>
      </c>
      <c r="G9" s="37">
        <v>67</v>
      </c>
      <c r="H9" s="37"/>
      <c r="I9" s="230"/>
      <c r="J9" s="230">
        <v>1.9</v>
      </c>
      <c r="K9" s="230">
        <v>4.2</v>
      </c>
      <c r="L9" s="230">
        <v>6.5</v>
      </c>
      <c r="M9" s="230">
        <v>7</v>
      </c>
      <c r="N9" s="230">
        <v>8</v>
      </c>
      <c r="O9" s="37"/>
      <c r="P9" s="37"/>
      <c r="Q9" s="38">
        <v>224</v>
      </c>
      <c r="R9" s="37">
        <v>222</v>
      </c>
      <c r="S9" s="37">
        <v>370</v>
      </c>
      <c r="T9" s="37">
        <v>205</v>
      </c>
      <c r="U9" s="39">
        <v>358</v>
      </c>
      <c r="V9" s="95"/>
    </row>
    <row r="10" spans="1:22" s="293" customFormat="1">
      <c r="A10" s="409"/>
      <c r="B10" s="309" t="s">
        <v>8</v>
      </c>
      <c r="C10" s="38">
        <v>57</v>
      </c>
      <c r="D10" s="37">
        <v>34</v>
      </c>
      <c r="E10" s="37">
        <v>27</v>
      </c>
      <c r="F10" s="37">
        <v>37</v>
      </c>
      <c r="G10" s="37">
        <v>62</v>
      </c>
      <c r="H10" s="37"/>
      <c r="I10" s="230"/>
      <c r="J10" s="230">
        <v>5.3</v>
      </c>
      <c r="K10" s="230">
        <v>6.8</v>
      </c>
      <c r="L10" s="230">
        <v>8.1999999999999993</v>
      </c>
      <c r="M10" s="230">
        <v>6</v>
      </c>
      <c r="N10" s="230">
        <v>4.5999999999999996</v>
      </c>
      <c r="O10" s="37"/>
      <c r="P10" s="37"/>
      <c r="Q10" s="38">
        <v>392</v>
      </c>
      <c r="R10" s="37">
        <v>192</v>
      </c>
      <c r="S10" s="37">
        <v>275</v>
      </c>
      <c r="T10" s="37">
        <v>392</v>
      </c>
      <c r="U10" s="39">
        <v>356</v>
      </c>
      <c r="V10" s="95"/>
    </row>
    <row r="11" spans="1:22" s="293" customFormat="1">
      <c r="A11" s="409"/>
      <c r="B11" s="309" t="s">
        <v>9</v>
      </c>
      <c r="C11" s="38">
        <v>50</v>
      </c>
      <c r="D11" s="37">
        <v>40</v>
      </c>
      <c r="E11" s="37">
        <v>19</v>
      </c>
      <c r="F11" s="37">
        <v>28</v>
      </c>
      <c r="G11" s="37">
        <v>70</v>
      </c>
      <c r="H11" s="37"/>
      <c r="I11" s="230"/>
      <c r="J11" s="230">
        <v>0</v>
      </c>
      <c r="K11" s="230">
        <v>9</v>
      </c>
      <c r="L11" s="230">
        <v>9</v>
      </c>
      <c r="M11" s="230">
        <v>5.3</v>
      </c>
      <c r="N11" s="230">
        <v>4.5999999999999996</v>
      </c>
      <c r="O11" s="37"/>
      <c r="P11" s="37"/>
      <c r="Q11" s="38">
        <v>524</v>
      </c>
      <c r="R11" s="37">
        <v>452</v>
      </c>
      <c r="S11" s="37">
        <v>257</v>
      </c>
      <c r="T11" s="37">
        <v>385</v>
      </c>
      <c r="U11" s="39">
        <v>325</v>
      </c>
      <c r="V11" s="95"/>
    </row>
    <row r="12" spans="1:22" s="293" customFormat="1">
      <c r="A12" s="409"/>
      <c r="B12" s="309" t="s">
        <v>10</v>
      </c>
      <c r="C12" s="38">
        <v>60</v>
      </c>
      <c r="D12" s="37">
        <v>18</v>
      </c>
      <c r="E12" s="37">
        <v>23</v>
      </c>
      <c r="F12" s="37">
        <v>44</v>
      </c>
      <c r="G12" s="37">
        <v>41</v>
      </c>
      <c r="H12" s="37"/>
      <c r="I12" s="230"/>
      <c r="J12" s="230">
        <v>4.5999999999999996</v>
      </c>
      <c r="K12" s="230">
        <v>7.6</v>
      </c>
      <c r="L12" s="230">
        <v>3.8</v>
      </c>
      <c r="M12" s="230">
        <v>7.6</v>
      </c>
      <c r="N12" s="230">
        <v>10</v>
      </c>
      <c r="O12" s="37"/>
      <c r="P12" s="37"/>
      <c r="Q12" s="38">
        <v>396</v>
      </c>
      <c r="R12" s="37">
        <v>218</v>
      </c>
      <c r="S12" s="37">
        <v>253</v>
      </c>
      <c r="T12" s="37">
        <v>291</v>
      </c>
      <c r="U12" s="39">
        <v>324</v>
      </c>
      <c r="V12" s="95"/>
    </row>
    <row r="13" spans="1:22" s="293" customFormat="1">
      <c r="A13" s="410"/>
      <c r="B13" s="310" t="s">
        <v>11</v>
      </c>
      <c r="C13" s="74">
        <v>64</v>
      </c>
      <c r="D13" s="72">
        <v>29</v>
      </c>
      <c r="E13" s="72">
        <v>41</v>
      </c>
      <c r="F13" s="72">
        <v>37</v>
      </c>
      <c r="G13" s="72">
        <v>63</v>
      </c>
      <c r="H13" s="37"/>
      <c r="I13" s="230"/>
      <c r="J13" s="311">
        <v>2.5</v>
      </c>
      <c r="K13" s="311">
        <v>4.5999999999999996</v>
      </c>
      <c r="L13" s="311">
        <v>9.6</v>
      </c>
      <c r="M13" s="311">
        <v>7.4</v>
      </c>
      <c r="N13" s="311">
        <v>7</v>
      </c>
      <c r="O13" s="37"/>
      <c r="P13" s="37"/>
      <c r="Q13" s="74">
        <v>319</v>
      </c>
      <c r="R13" s="72">
        <v>165</v>
      </c>
      <c r="S13" s="72">
        <v>431</v>
      </c>
      <c r="T13" s="72">
        <v>336</v>
      </c>
      <c r="U13" s="73">
        <v>297</v>
      </c>
      <c r="V13" s="95"/>
    </row>
    <row r="14" spans="1:22" s="293" customFormat="1">
      <c r="A14" s="37"/>
      <c r="B14" s="351" t="s">
        <v>174</v>
      </c>
      <c r="C14" s="37">
        <f>MEDIAN(C3:C13)</f>
        <v>55</v>
      </c>
      <c r="D14" s="37">
        <f t="shared" ref="D14:G14" si="0">MEDIAN(D3:D13)</f>
        <v>28</v>
      </c>
      <c r="E14" s="37">
        <f t="shared" si="0"/>
        <v>25</v>
      </c>
      <c r="F14" s="37">
        <f t="shared" si="0"/>
        <v>37</v>
      </c>
      <c r="G14" s="37">
        <f t="shared" si="0"/>
        <v>62</v>
      </c>
      <c r="H14" s="37"/>
      <c r="I14" s="354" t="s">
        <v>174</v>
      </c>
      <c r="J14" s="230">
        <f t="shared" ref="J14" si="1">MEDIAN(J3:J13)</f>
        <v>2.5</v>
      </c>
      <c r="K14" s="230">
        <f t="shared" ref="K14" si="2">MEDIAN(K3:K13)</f>
        <v>6.8</v>
      </c>
      <c r="L14" s="230">
        <f t="shared" ref="L14" si="3">MEDIAN(L3:L13)</f>
        <v>8.1999999999999993</v>
      </c>
      <c r="M14" s="230">
        <f t="shared" ref="M14" si="4">MEDIAN(M3:M13)</f>
        <v>5.8</v>
      </c>
      <c r="N14" s="230">
        <f t="shared" ref="N14" si="5">MEDIAN(N3:N13)</f>
        <v>6.4</v>
      </c>
      <c r="O14" s="37"/>
      <c r="P14" s="351" t="s">
        <v>174</v>
      </c>
      <c r="Q14" s="37">
        <f t="shared" ref="Q14" si="6">MEDIAN(Q3:Q13)</f>
        <v>392</v>
      </c>
      <c r="R14" s="37">
        <f t="shared" ref="R14" si="7">MEDIAN(R3:R13)</f>
        <v>256</v>
      </c>
      <c r="S14" s="37">
        <f t="shared" ref="S14" si="8">MEDIAN(S3:S13)</f>
        <v>257</v>
      </c>
      <c r="T14" s="37">
        <f t="shared" ref="T14" si="9">MEDIAN(T3:T13)</f>
        <v>291</v>
      </c>
      <c r="U14" s="37">
        <f t="shared" ref="U14" si="10">MEDIAN(U3:U13)</f>
        <v>356</v>
      </c>
      <c r="V14" s="95"/>
    </row>
    <row r="15" spans="1:22" s="290" customFormat="1">
      <c r="A15" s="141"/>
      <c r="B15" s="185"/>
      <c r="C15" s="141"/>
      <c r="D15" s="141"/>
      <c r="E15" s="141"/>
      <c r="F15" s="141"/>
      <c r="G15" s="141"/>
      <c r="H15" s="141"/>
      <c r="I15" s="49"/>
      <c r="J15" s="13"/>
      <c r="K15" s="13"/>
      <c r="L15" s="13"/>
      <c r="M15" s="13"/>
      <c r="N15" s="13"/>
      <c r="O15" s="14"/>
      <c r="P15" s="141"/>
      <c r="Q15" s="141"/>
      <c r="R15" s="141"/>
      <c r="S15" s="141"/>
      <c r="T15" s="141"/>
      <c r="U15" s="141"/>
      <c r="V15" s="47"/>
    </row>
    <row r="16" spans="1:22" s="290" customFormat="1">
      <c r="A16" s="141"/>
      <c r="B16" s="183"/>
      <c r="C16" s="511" t="s">
        <v>197</v>
      </c>
      <c r="D16" s="512"/>
      <c r="E16" s="512"/>
      <c r="F16" s="512"/>
      <c r="G16" s="513"/>
      <c r="H16" s="141"/>
      <c r="I16" s="49"/>
      <c r="J16" s="514" t="s">
        <v>197</v>
      </c>
      <c r="K16" s="515"/>
      <c r="L16" s="515"/>
      <c r="M16" s="515"/>
      <c r="N16" s="516"/>
      <c r="O16" s="14"/>
      <c r="P16" s="141"/>
      <c r="Q16" s="511" t="s">
        <v>197</v>
      </c>
      <c r="R16" s="512"/>
      <c r="S16" s="512"/>
      <c r="T16" s="512"/>
      <c r="U16" s="513"/>
      <c r="V16" s="47"/>
    </row>
    <row r="17" spans="1:22" s="290" customFormat="1">
      <c r="A17" s="141"/>
      <c r="B17" s="183"/>
      <c r="C17" s="41" t="s">
        <v>12</v>
      </c>
      <c r="D17" s="34" t="s">
        <v>13</v>
      </c>
      <c r="E17" s="34" t="s">
        <v>14</v>
      </c>
      <c r="F17" s="34" t="s">
        <v>15</v>
      </c>
      <c r="G17" s="35" t="s">
        <v>16</v>
      </c>
      <c r="H17" s="32"/>
      <c r="I17" s="202"/>
      <c r="J17" s="139" t="s">
        <v>155</v>
      </c>
      <c r="K17" s="24" t="s">
        <v>156</v>
      </c>
      <c r="L17" s="24" t="s">
        <v>157</v>
      </c>
      <c r="M17" s="24" t="s">
        <v>158</v>
      </c>
      <c r="N17" s="140" t="s">
        <v>159</v>
      </c>
      <c r="O17" s="32"/>
      <c r="P17" s="32"/>
      <c r="Q17" s="98" t="s">
        <v>88</v>
      </c>
      <c r="R17" s="99" t="s">
        <v>89</v>
      </c>
      <c r="S17" s="99" t="s">
        <v>90</v>
      </c>
      <c r="T17" s="99" t="s">
        <v>91</v>
      </c>
      <c r="U17" s="100" t="s">
        <v>92</v>
      </c>
      <c r="V17" s="47"/>
    </row>
    <row r="18" spans="1:22" s="290" customFormat="1">
      <c r="A18" s="141"/>
      <c r="B18" s="183"/>
      <c r="C18" s="70">
        <f t="shared" ref="C18:C28" si="11">_xlfn.RANK.AVG(C3,$C$3:$G$13,1)</f>
        <v>40</v>
      </c>
      <c r="D18" s="45">
        <f t="shared" ref="D18:G18" si="12">_xlfn.RANK.AVG(D3,$C$3:$G$13,1)</f>
        <v>14.5</v>
      </c>
      <c r="E18" s="45">
        <f t="shared" si="12"/>
        <v>21</v>
      </c>
      <c r="F18" s="45">
        <f t="shared" si="12"/>
        <v>35</v>
      </c>
      <c r="G18" s="46">
        <f t="shared" si="12"/>
        <v>44.5</v>
      </c>
      <c r="H18" s="141"/>
      <c r="I18" s="49"/>
      <c r="J18" s="48">
        <f t="shared" ref="J18:J28" si="13">_xlfn.RANK.AVG(J3,$J$3:$N$13,1)</f>
        <v>20</v>
      </c>
      <c r="K18" s="49">
        <f t="shared" ref="K18:N18" si="14">_xlfn.RANK.AVG(K3,$J$3:$N$13,1)</f>
        <v>4</v>
      </c>
      <c r="L18" s="49">
        <f t="shared" si="14"/>
        <v>46.5</v>
      </c>
      <c r="M18" s="49">
        <f t="shared" si="14"/>
        <v>21.5</v>
      </c>
      <c r="N18" s="57">
        <f t="shared" si="14"/>
        <v>31</v>
      </c>
      <c r="O18" s="14"/>
      <c r="P18" s="141"/>
      <c r="Q18" s="71">
        <f>_xlfn.RANK.AVG(Q3,$Q$3:$U$13,1)</f>
        <v>32</v>
      </c>
      <c r="R18" s="141">
        <f t="shared" ref="R18:U18" si="15">_xlfn.RANK.AVG(R3,$Q$3:$U$13,1)</f>
        <v>28</v>
      </c>
      <c r="S18" s="141">
        <f t="shared" si="15"/>
        <v>3</v>
      </c>
      <c r="T18" s="141">
        <f t="shared" si="15"/>
        <v>6</v>
      </c>
      <c r="U18" s="51">
        <f t="shared" si="15"/>
        <v>47</v>
      </c>
      <c r="V18" s="47"/>
    </row>
    <row r="19" spans="1:22" s="290" customFormat="1">
      <c r="A19" s="141"/>
      <c r="B19" s="183"/>
      <c r="C19" s="71">
        <f t="shared" si="11"/>
        <v>54</v>
      </c>
      <c r="D19" s="141">
        <f t="shared" ref="D19:G28" si="16">_xlfn.RANK.AVG(D4,$C$3:$G$13,1)</f>
        <v>2</v>
      </c>
      <c r="E19" s="141">
        <f t="shared" si="16"/>
        <v>1</v>
      </c>
      <c r="F19" s="141">
        <f t="shared" si="16"/>
        <v>9</v>
      </c>
      <c r="G19" s="51">
        <f t="shared" si="16"/>
        <v>44.5</v>
      </c>
      <c r="H19" s="141"/>
      <c r="I19" s="49"/>
      <c r="J19" s="48">
        <f t="shared" si="13"/>
        <v>15.5</v>
      </c>
      <c r="K19" s="49">
        <f t="shared" ref="K19:N28" si="17">_xlfn.RANK.AVG(K4,$J$3:$N$13,1)</f>
        <v>53.5</v>
      </c>
      <c r="L19" s="49">
        <f t="shared" si="17"/>
        <v>49</v>
      </c>
      <c r="M19" s="49">
        <f t="shared" si="17"/>
        <v>24.5</v>
      </c>
      <c r="N19" s="57">
        <f t="shared" si="17"/>
        <v>15.5</v>
      </c>
      <c r="O19" s="14"/>
      <c r="P19" s="141"/>
      <c r="Q19" s="71">
        <f t="shared" ref="Q19:U28" si="18">_xlfn.RANK.AVG(Q4,$Q$3:$U$13,1)</f>
        <v>25</v>
      </c>
      <c r="R19" s="141">
        <f t="shared" si="18"/>
        <v>38</v>
      </c>
      <c r="S19" s="141">
        <f t="shared" si="18"/>
        <v>39</v>
      </c>
      <c r="T19" s="141">
        <f t="shared" si="18"/>
        <v>35</v>
      </c>
      <c r="U19" s="51">
        <f t="shared" si="18"/>
        <v>19</v>
      </c>
      <c r="V19" s="47"/>
    </row>
    <row r="20" spans="1:22" s="290" customFormat="1">
      <c r="A20" s="141"/>
      <c r="B20" s="183"/>
      <c r="C20" s="71">
        <f t="shared" si="11"/>
        <v>55</v>
      </c>
      <c r="D20" s="141">
        <f t="shared" si="16"/>
        <v>21</v>
      </c>
      <c r="E20" s="141">
        <f t="shared" si="16"/>
        <v>10.5</v>
      </c>
      <c r="F20" s="141">
        <f t="shared" si="16"/>
        <v>27.5</v>
      </c>
      <c r="G20" s="51">
        <f t="shared" si="16"/>
        <v>49.5</v>
      </c>
      <c r="H20" s="141"/>
      <c r="I20" s="49"/>
      <c r="J20" s="48">
        <f t="shared" si="13"/>
        <v>36</v>
      </c>
      <c r="K20" s="49">
        <f t="shared" si="17"/>
        <v>52</v>
      </c>
      <c r="L20" s="49">
        <f t="shared" si="17"/>
        <v>24.5</v>
      </c>
      <c r="M20" s="49">
        <f t="shared" si="17"/>
        <v>21.5</v>
      </c>
      <c r="N20" s="57">
        <f t="shared" si="17"/>
        <v>10</v>
      </c>
      <c r="O20" s="14"/>
      <c r="P20" s="141"/>
      <c r="Q20" s="71">
        <f t="shared" si="18"/>
        <v>53</v>
      </c>
      <c r="R20" s="141">
        <f t="shared" si="18"/>
        <v>21</v>
      </c>
      <c r="S20" s="141">
        <f t="shared" si="18"/>
        <v>1</v>
      </c>
      <c r="T20" s="141">
        <f t="shared" si="18"/>
        <v>12</v>
      </c>
      <c r="U20" s="51">
        <f t="shared" si="18"/>
        <v>51</v>
      </c>
      <c r="V20" s="47"/>
    </row>
    <row r="21" spans="1:22" s="290" customFormat="1">
      <c r="A21" s="141"/>
      <c r="B21" s="183"/>
      <c r="C21" s="71">
        <f t="shared" si="11"/>
        <v>36.5</v>
      </c>
      <c r="D21" s="141">
        <f t="shared" si="16"/>
        <v>23</v>
      </c>
      <c r="E21" s="141">
        <f t="shared" si="16"/>
        <v>6.5</v>
      </c>
      <c r="F21" s="141">
        <f t="shared" si="16"/>
        <v>32</v>
      </c>
      <c r="G21" s="51">
        <f t="shared" si="16"/>
        <v>51</v>
      </c>
      <c r="H21" s="141"/>
      <c r="I21" s="49"/>
      <c r="J21" s="48">
        <f t="shared" si="13"/>
        <v>2</v>
      </c>
      <c r="K21" s="49">
        <f t="shared" si="17"/>
        <v>42.5</v>
      </c>
      <c r="L21" s="49">
        <f t="shared" si="17"/>
        <v>46.5</v>
      </c>
      <c r="M21" s="49">
        <f t="shared" si="17"/>
        <v>17</v>
      </c>
      <c r="N21" s="57">
        <f t="shared" si="17"/>
        <v>27.5</v>
      </c>
      <c r="O21" s="14"/>
      <c r="P21" s="141"/>
      <c r="Q21" s="71">
        <f t="shared" si="18"/>
        <v>41</v>
      </c>
      <c r="R21" s="141">
        <f t="shared" si="18"/>
        <v>27</v>
      </c>
      <c r="S21" s="141">
        <f t="shared" si="18"/>
        <v>11</v>
      </c>
      <c r="T21" s="141">
        <f t="shared" si="18"/>
        <v>4</v>
      </c>
      <c r="U21" s="51">
        <f t="shared" si="18"/>
        <v>42</v>
      </c>
      <c r="V21" s="47"/>
    </row>
    <row r="22" spans="1:22" s="290" customFormat="1">
      <c r="A22" s="141"/>
      <c r="B22" s="183"/>
      <c r="C22" s="71">
        <f t="shared" si="11"/>
        <v>38</v>
      </c>
      <c r="D22" s="141">
        <f t="shared" si="16"/>
        <v>3</v>
      </c>
      <c r="E22" s="141">
        <f t="shared" si="16"/>
        <v>18</v>
      </c>
      <c r="F22" s="141">
        <f t="shared" si="16"/>
        <v>27.5</v>
      </c>
      <c r="G22" s="51">
        <f t="shared" si="16"/>
        <v>34</v>
      </c>
      <c r="H22" s="141"/>
      <c r="I22" s="49"/>
      <c r="J22" s="48">
        <f t="shared" si="13"/>
        <v>3</v>
      </c>
      <c r="K22" s="49">
        <f t="shared" si="17"/>
        <v>27.5</v>
      </c>
      <c r="L22" s="49">
        <f t="shared" si="17"/>
        <v>46.5</v>
      </c>
      <c r="M22" s="49">
        <f t="shared" si="17"/>
        <v>23</v>
      </c>
      <c r="N22" s="57">
        <f t="shared" si="17"/>
        <v>29</v>
      </c>
      <c r="O22" s="14"/>
      <c r="P22" s="141"/>
      <c r="Q22" s="71">
        <f t="shared" si="18"/>
        <v>48</v>
      </c>
      <c r="R22" s="141">
        <f t="shared" si="18"/>
        <v>17</v>
      </c>
      <c r="S22" s="141">
        <f t="shared" si="18"/>
        <v>34</v>
      </c>
      <c r="T22" s="141">
        <f t="shared" si="18"/>
        <v>15</v>
      </c>
      <c r="U22" s="51">
        <f t="shared" si="18"/>
        <v>54</v>
      </c>
      <c r="V22" s="47"/>
    </row>
    <row r="23" spans="1:22" s="290" customFormat="1">
      <c r="A23" s="141"/>
      <c r="B23" s="183"/>
      <c r="C23" s="71">
        <f t="shared" si="11"/>
        <v>40</v>
      </c>
      <c r="D23" s="141">
        <f t="shared" si="16"/>
        <v>6.5</v>
      </c>
      <c r="E23" s="141">
        <f t="shared" si="16"/>
        <v>10.5</v>
      </c>
      <c r="F23" s="141">
        <f t="shared" si="16"/>
        <v>14.5</v>
      </c>
      <c r="G23" s="51">
        <f t="shared" si="16"/>
        <v>43</v>
      </c>
      <c r="H23" s="141"/>
      <c r="I23" s="49"/>
      <c r="J23" s="48">
        <f t="shared" si="13"/>
        <v>6</v>
      </c>
      <c r="K23" s="49">
        <f t="shared" si="17"/>
        <v>31</v>
      </c>
      <c r="L23" s="49">
        <f t="shared" si="17"/>
        <v>42.5</v>
      </c>
      <c r="M23" s="49">
        <f t="shared" si="17"/>
        <v>38</v>
      </c>
      <c r="N23" s="57">
        <f t="shared" si="17"/>
        <v>38</v>
      </c>
      <c r="O23" s="14"/>
      <c r="P23" s="141"/>
      <c r="Q23" s="71">
        <f t="shared" si="18"/>
        <v>49</v>
      </c>
      <c r="R23" s="141">
        <f t="shared" si="18"/>
        <v>13</v>
      </c>
      <c r="S23" s="141">
        <f t="shared" si="18"/>
        <v>14</v>
      </c>
      <c r="T23" s="141">
        <f t="shared" si="18"/>
        <v>26</v>
      </c>
      <c r="U23" s="51">
        <f t="shared" si="18"/>
        <v>24</v>
      </c>
      <c r="V23" s="47"/>
    </row>
    <row r="24" spans="1:22" s="290" customFormat="1">
      <c r="A24" s="141"/>
      <c r="B24" s="183"/>
      <c r="C24" s="71">
        <f t="shared" si="11"/>
        <v>40</v>
      </c>
      <c r="D24" s="141">
        <f t="shared" si="16"/>
        <v>14.5</v>
      </c>
      <c r="E24" s="141">
        <f t="shared" si="16"/>
        <v>27.5</v>
      </c>
      <c r="F24" s="141">
        <f t="shared" si="16"/>
        <v>19</v>
      </c>
      <c r="G24" s="51">
        <f t="shared" si="16"/>
        <v>52</v>
      </c>
      <c r="H24" s="141"/>
      <c r="I24" s="49"/>
      <c r="J24" s="48">
        <f t="shared" si="13"/>
        <v>5</v>
      </c>
      <c r="K24" s="49">
        <f t="shared" si="17"/>
        <v>9</v>
      </c>
      <c r="L24" s="49">
        <f t="shared" si="17"/>
        <v>31</v>
      </c>
      <c r="M24" s="49">
        <f t="shared" si="17"/>
        <v>34.5</v>
      </c>
      <c r="N24" s="57">
        <f t="shared" si="17"/>
        <v>44</v>
      </c>
      <c r="O24" s="14"/>
      <c r="P24" s="141"/>
      <c r="Q24" s="71">
        <f t="shared" si="18"/>
        <v>10</v>
      </c>
      <c r="R24" s="141">
        <f t="shared" si="18"/>
        <v>9</v>
      </c>
      <c r="S24" s="141">
        <f t="shared" si="18"/>
        <v>40</v>
      </c>
      <c r="T24" s="141">
        <f t="shared" si="18"/>
        <v>7</v>
      </c>
      <c r="U24" s="51">
        <f t="shared" si="18"/>
        <v>37</v>
      </c>
      <c r="V24" s="47"/>
    </row>
    <row r="25" spans="1:22" s="290" customFormat="1">
      <c r="A25" s="141"/>
      <c r="B25" s="183"/>
      <c r="C25" s="71">
        <f t="shared" si="11"/>
        <v>42</v>
      </c>
      <c r="D25" s="141">
        <f t="shared" si="16"/>
        <v>21</v>
      </c>
      <c r="E25" s="141">
        <f t="shared" si="16"/>
        <v>12</v>
      </c>
      <c r="F25" s="141">
        <f t="shared" si="16"/>
        <v>24.5</v>
      </c>
      <c r="G25" s="51">
        <f t="shared" si="16"/>
        <v>47</v>
      </c>
      <c r="H25" s="141"/>
      <c r="I25" s="49"/>
      <c r="J25" s="48">
        <f t="shared" si="13"/>
        <v>18.5</v>
      </c>
      <c r="K25" s="49">
        <f t="shared" si="17"/>
        <v>33</v>
      </c>
      <c r="L25" s="49">
        <f t="shared" si="17"/>
        <v>46.5</v>
      </c>
      <c r="M25" s="49">
        <f t="shared" si="17"/>
        <v>26</v>
      </c>
      <c r="N25" s="57">
        <f t="shared" si="17"/>
        <v>12.5</v>
      </c>
      <c r="O25" s="14"/>
      <c r="P25" s="141"/>
      <c r="Q25" s="71">
        <f t="shared" si="18"/>
        <v>44.5</v>
      </c>
      <c r="R25" s="141">
        <f t="shared" si="18"/>
        <v>5</v>
      </c>
      <c r="S25" s="141">
        <f t="shared" si="18"/>
        <v>20</v>
      </c>
      <c r="T25" s="141">
        <f t="shared" si="18"/>
        <v>44.5</v>
      </c>
      <c r="U25" s="51">
        <f t="shared" si="18"/>
        <v>36</v>
      </c>
      <c r="V25" s="47"/>
    </row>
    <row r="26" spans="1:22" s="290" customFormat="1">
      <c r="A26" s="141"/>
      <c r="B26" s="183"/>
      <c r="C26" s="71">
        <f t="shared" si="11"/>
        <v>36.5</v>
      </c>
      <c r="D26" s="141">
        <f t="shared" si="16"/>
        <v>27.5</v>
      </c>
      <c r="E26" s="141">
        <f t="shared" si="16"/>
        <v>5</v>
      </c>
      <c r="F26" s="141">
        <f t="shared" si="16"/>
        <v>14.5</v>
      </c>
      <c r="G26" s="51">
        <f t="shared" si="16"/>
        <v>53</v>
      </c>
      <c r="H26" s="141"/>
      <c r="I26" s="49"/>
      <c r="J26" s="48">
        <f t="shared" si="13"/>
        <v>1</v>
      </c>
      <c r="K26" s="49">
        <f t="shared" si="17"/>
        <v>50.5</v>
      </c>
      <c r="L26" s="49">
        <f t="shared" si="17"/>
        <v>50.5</v>
      </c>
      <c r="M26" s="49">
        <f t="shared" si="17"/>
        <v>18.5</v>
      </c>
      <c r="N26" s="57">
        <f t="shared" si="17"/>
        <v>12.5</v>
      </c>
      <c r="O26" s="14"/>
      <c r="P26" s="141"/>
      <c r="Q26" s="71">
        <f t="shared" si="18"/>
        <v>55</v>
      </c>
      <c r="R26" s="141">
        <f t="shared" si="18"/>
        <v>52</v>
      </c>
      <c r="S26" s="141">
        <f t="shared" si="18"/>
        <v>18</v>
      </c>
      <c r="T26" s="141">
        <f t="shared" si="18"/>
        <v>43</v>
      </c>
      <c r="U26" s="51">
        <f t="shared" si="18"/>
        <v>31</v>
      </c>
      <c r="V26" s="47"/>
    </row>
    <row r="27" spans="1:22" s="290" customFormat="1">
      <c r="A27" s="141"/>
      <c r="B27" s="183"/>
      <c r="C27" s="71">
        <f t="shared" si="11"/>
        <v>46</v>
      </c>
      <c r="D27" s="141">
        <f t="shared" si="16"/>
        <v>4</v>
      </c>
      <c r="E27" s="141">
        <f t="shared" si="16"/>
        <v>8</v>
      </c>
      <c r="F27" s="141">
        <f t="shared" si="16"/>
        <v>33</v>
      </c>
      <c r="G27" s="51">
        <f t="shared" si="16"/>
        <v>30.5</v>
      </c>
      <c r="H27" s="141"/>
      <c r="I27" s="49"/>
      <c r="J27" s="48">
        <f t="shared" si="13"/>
        <v>12.5</v>
      </c>
      <c r="K27" s="49">
        <f t="shared" si="17"/>
        <v>40.5</v>
      </c>
      <c r="L27" s="49">
        <f t="shared" si="17"/>
        <v>8</v>
      </c>
      <c r="M27" s="49">
        <f t="shared" si="17"/>
        <v>40.5</v>
      </c>
      <c r="N27" s="57">
        <f t="shared" si="17"/>
        <v>55</v>
      </c>
      <c r="O27" s="14"/>
      <c r="P27" s="141"/>
      <c r="Q27" s="71">
        <f t="shared" si="18"/>
        <v>46</v>
      </c>
      <c r="R27" s="141">
        <f t="shared" si="18"/>
        <v>8</v>
      </c>
      <c r="S27" s="141">
        <f t="shared" si="18"/>
        <v>16</v>
      </c>
      <c r="T27" s="141">
        <f t="shared" si="18"/>
        <v>22</v>
      </c>
      <c r="U27" s="51">
        <f t="shared" si="18"/>
        <v>30</v>
      </c>
      <c r="V27" s="47"/>
    </row>
    <row r="28" spans="1:22" s="290" customFormat="1">
      <c r="A28" s="141"/>
      <c r="B28" s="183"/>
      <c r="C28" s="59">
        <f t="shared" si="11"/>
        <v>49.5</v>
      </c>
      <c r="D28" s="54">
        <f t="shared" si="16"/>
        <v>17</v>
      </c>
      <c r="E28" s="54">
        <f t="shared" si="16"/>
        <v>30.5</v>
      </c>
      <c r="F28" s="54">
        <f t="shared" si="16"/>
        <v>24.5</v>
      </c>
      <c r="G28" s="55">
        <f t="shared" si="16"/>
        <v>48</v>
      </c>
      <c r="H28" s="141"/>
      <c r="I28" s="49"/>
      <c r="J28" s="52">
        <f t="shared" si="13"/>
        <v>7</v>
      </c>
      <c r="K28" s="53">
        <f t="shared" si="17"/>
        <v>12.5</v>
      </c>
      <c r="L28" s="53">
        <f t="shared" si="17"/>
        <v>53.5</v>
      </c>
      <c r="M28" s="53">
        <f t="shared" si="17"/>
        <v>38</v>
      </c>
      <c r="N28" s="79">
        <f t="shared" si="17"/>
        <v>34.5</v>
      </c>
      <c r="O28" s="14"/>
      <c r="P28" s="141"/>
      <c r="Q28" s="59">
        <f t="shared" si="18"/>
        <v>29</v>
      </c>
      <c r="R28" s="54">
        <f t="shared" si="18"/>
        <v>2</v>
      </c>
      <c r="S28" s="54">
        <f t="shared" si="18"/>
        <v>50</v>
      </c>
      <c r="T28" s="54">
        <f t="shared" si="18"/>
        <v>33</v>
      </c>
      <c r="U28" s="55">
        <f t="shared" si="18"/>
        <v>23</v>
      </c>
      <c r="V28" s="47"/>
    </row>
    <row r="29" spans="1:22" s="290" customFormat="1">
      <c r="A29" s="141"/>
      <c r="B29" s="195" t="s">
        <v>199</v>
      </c>
      <c r="C29" s="196">
        <f>SUM(C18:C28)</f>
        <v>477.5</v>
      </c>
      <c r="D29" s="196">
        <f t="shared" ref="D29" si="19">SUM(D18:D28)</f>
        <v>154</v>
      </c>
      <c r="E29" s="196">
        <f t="shared" ref="E29" si="20">SUM(E18:E28)</f>
        <v>150.5</v>
      </c>
      <c r="F29" s="196">
        <f t="shared" ref="F29" si="21">SUM(F18:F28)</f>
        <v>261</v>
      </c>
      <c r="G29" s="196">
        <f t="shared" ref="G29" si="22">SUM(G18:G28)</f>
        <v>497</v>
      </c>
      <c r="H29" s="141"/>
      <c r="I29" s="355" t="s">
        <v>199</v>
      </c>
      <c r="J29" s="204">
        <f>SUM(J18:J28)</f>
        <v>126.5</v>
      </c>
      <c r="K29" s="204">
        <f t="shared" ref="K29:N29" si="23">SUM(K18:K28)</f>
        <v>356</v>
      </c>
      <c r="L29" s="204">
        <f t="shared" si="23"/>
        <v>445</v>
      </c>
      <c r="M29" s="204">
        <f t="shared" si="23"/>
        <v>303</v>
      </c>
      <c r="N29" s="204">
        <f t="shared" si="23"/>
        <v>309.5</v>
      </c>
      <c r="O29" s="14"/>
      <c r="P29" s="195" t="s">
        <v>199</v>
      </c>
      <c r="Q29" s="196">
        <f>SUM(Q18:Q28)</f>
        <v>432.5</v>
      </c>
      <c r="R29" s="196">
        <f t="shared" ref="R29" si="24">SUM(R18:R28)</f>
        <v>220</v>
      </c>
      <c r="S29" s="196">
        <f t="shared" ref="S29" si="25">SUM(S18:S28)</f>
        <v>246</v>
      </c>
      <c r="T29" s="196">
        <f t="shared" ref="T29" si="26">SUM(T18:T28)</f>
        <v>247.5</v>
      </c>
      <c r="U29" s="196">
        <f t="shared" ref="U29" si="27">SUM(U18:U28)</f>
        <v>394</v>
      </c>
      <c r="V29" s="47"/>
    </row>
    <row r="30" spans="1:22" s="290" customFormat="1">
      <c r="A30" s="141"/>
      <c r="B30" s="348" t="s">
        <v>200</v>
      </c>
      <c r="C30" s="337">
        <f>COUNT(C18:C28)</f>
        <v>11</v>
      </c>
      <c r="D30" s="337">
        <f t="shared" ref="D30:G30" si="28">COUNT(D18:D28)</f>
        <v>11</v>
      </c>
      <c r="E30" s="337">
        <f t="shared" si="28"/>
        <v>11</v>
      </c>
      <c r="F30" s="337">
        <f t="shared" si="28"/>
        <v>11</v>
      </c>
      <c r="G30" s="337">
        <f t="shared" si="28"/>
        <v>11</v>
      </c>
      <c r="H30" s="141"/>
      <c r="I30" s="356" t="s">
        <v>200</v>
      </c>
      <c r="J30" s="61">
        <f>COUNT(J18:J28)</f>
        <v>11</v>
      </c>
      <c r="K30" s="61">
        <f t="shared" ref="K30:N30" si="29">COUNT(K18:K28)</f>
        <v>11</v>
      </c>
      <c r="L30" s="61">
        <f t="shared" si="29"/>
        <v>11</v>
      </c>
      <c r="M30" s="61">
        <f t="shared" si="29"/>
        <v>11</v>
      </c>
      <c r="N30" s="61">
        <f t="shared" si="29"/>
        <v>11</v>
      </c>
      <c r="O30" s="14"/>
      <c r="P30" s="349" t="s">
        <v>200</v>
      </c>
      <c r="Q30" s="337">
        <f>COUNT(Q18:Q28)</f>
        <v>11</v>
      </c>
      <c r="R30" s="337">
        <f t="shared" ref="R30:U30" si="30">COUNT(R18:R28)</f>
        <v>11</v>
      </c>
      <c r="S30" s="337">
        <f t="shared" si="30"/>
        <v>11</v>
      </c>
      <c r="T30" s="337">
        <f t="shared" si="30"/>
        <v>11</v>
      </c>
      <c r="U30" s="337">
        <f t="shared" si="30"/>
        <v>11</v>
      </c>
      <c r="V30" s="47"/>
    </row>
    <row r="31" spans="1:22" s="290" customFormat="1">
      <c r="A31" s="141"/>
      <c r="B31" s="195" t="s">
        <v>201</v>
      </c>
      <c r="C31" s="338">
        <f>C29^2/C30</f>
        <v>20727.840909090908</v>
      </c>
      <c r="D31" s="338">
        <f t="shared" ref="D31" si="31">D29^2/D30</f>
        <v>2156</v>
      </c>
      <c r="E31" s="338">
        <f t="shared" ref="E31" si="32">E29^2/E30</f>
        <v>2059.1136363636365</v>
      </c>
      <c r="F31" s="338">
        <f t="shared" ref="F31" si="33">F29^2/F30</f>
        <v>6192.818181818182</v>
      </c>
      <c r="G31" s="338">
        <f t="shared" ref="G31" si="34">G29^2/G30</f>
        <v>22455.363636363636</v>
      </c>
      <c r="H31" s="141"/>
      <c r="I31" s="355" t="s">
        <v>201</v>
      </c>
      <c r="J31" s="339">
        <f>J29^2/J30</f>
        <v>1454.75</v>
      </c>
      <c r="K31" s="339">
        <f t="shared" ref="K31" si="35">K29^2/K30</f>
        <v>11521.454545454546</v>
      </c>
      <c r="L31" s="339">
        <f t="shared" ref="L31" si="36">L29^2/L30</f>
        <v>18002.272727272728</v>
      </c>
      <c r="M31" s="339">
        <f t="shared" ref="M31" si="37">M29^2/M30</f>
        <v>8346.2727272727279</v>
      </c>
      <c r="N31" s="339">
        <f t="shared" ref="N31" si="38">N29^2/N30</f>
        <v>8708.204545454546</v>
      </c>
      <c r="O31" s="14"/>
      <c r="P31" s="195" t="s">
        <v>201</v>
      </c>
      <c r="Q31" s="338">
        <f>Q29^2/Q30</f>
        <v>17005.113636363636</v>
      </c>
      <c r="R31" s="338">
        <f t="shared" ref="R31" si="39">R29^2/R30</f>
        <v>4400</v>
      </c>
      <c r="S31" s="338">
        <f t="shared" ref="S31" si="40">S29^2/S30</f>
        <v>5501.454545454545</v>
      </c>
      <c r="T31" s="338">
        <f t="shared" ref="T31" si="41">T29^2/T30</f>
        <v>5568.75</v>
      </c>
      <c r="U31" s="338">
        <f t="shared" ref="U31" si="42">U29^2/U30</f>
        <v>14112.363636363636</v>
      </c>
      <c r="V31" s="47"/>
    </row>
    <row r="32" spans="1:22" s="290" customFormat="1">
      <c r="A32" s="141"/>
      <c r="B32" s="350" t="s">
        <v>108</v>
      </c>
      <c r="C32" s="506">
        <f>SUM(C30:G30)</f>
        <v>55</v>
      </c>
      <c r="D32" s="506"/>
      <c r="E32" s="506"/>
      <c r="F32" s="506"/>
      <c r="G32" s="506"/>
      <c r="H32" s="141"/>
      <c r="I32" s="357" t="s">
        <v>108</v>
      </c>
      <c r="J32" s="509">
        <f>SUM(J30:N30)</f>
        <v>55</v>
      </c>
      <c r="K32" s="509"/>
      <c r="L32" s="509"/>
      <c r="M32" s="509"/>
      <c r="N32" s="509"/>
      <c r="O32" s="14"/>
      <c r="P32" s="350" t="s">
        <v>108</v>
      </c>
      <c r="Q32" s="506">
        <f>SUM(Q30:U30)</f>
        <v>55</v>
      </c>
      <c r="R32" s="506"/>
      <c r="S32" s="506"/>
      <c r="T32" s="506"/>
      <c r="U32" s="506"/>
      <c r="V32" s="47"/>
    </row>
    <row r="33" spans="1:22" s="290" customFormat="1">
      <c r="A33" s="141"/>
      <c r="B33" s="195" t="s">
        <v>202</v>
      </c>
      <c r="C33" s="507">
        <f>12/(C32*(C32+1))*SUM(C31:G31)-3*(C32+1)</f>
        <v>40.796635182998841</v>
      </c>
      <c r="D33" s="507"/>
      <c r="E33" s="507"/>
      <c r="F33" s="507"/>
      <c r="G33" s="507"/>
      <c r="H33" s="141"/>
      <c r="I33" s="355" t="s">
        <v>202</v>
      </c>
      <c r="J33" s="508">
        <f>12/(J32*(J32+1))*SUM(J31:N31)-3*(J32+1)</f>
        <v>19.141381345926789</v>
      </c>
      <c r="K33" s="508"/>
      <c r="L33" s="508"/>
      <c r="M33" s="508"/>
      <c r="N33" s="508"/>
      <c r="O33" s="14"/>
      <c r="P33" s="195" t="s">
        <v>202</v>
      </c>
      <c r="Q33" s="507">
        <f>12/(Q32*(Q32+1))*SUM(Q31:U31)-3*(Q32+1)</f>
        <v>13.510448642266823</v>
      </c>
      <c r="R33" s="507"/>
      <c r="S33" s="507"/>
      <c r="T33" s="507"/>
      <c r="U33" s="507"/>
      <c r="V33" s="47"/>
    </row>
    <row r="34" spans="1:22" s="290" customFormat="1">
      <c r="A34" s="141"/>
      <c r="B34" s="195" t="s">
        <v>203</v>
      </c>
      <c r="C34" s="495">
        <f>COUNTA(C17:G17)-1</f>
        <v>4</v>
      </c>
      <c r="D34" s="495"/>
      <c r="E34" s="495"/>
      <c r="F34" s="495"/>
      <c r="G34" s="495"/>
      <c r="H34" s="141"/>
      <c r="I34" s="355" t="s">
        <v>203</v>
      </c>
      <c r="J34" s="467">
        <f>COUNTA(J17:N17)-1</f>
        <v>4</v>
      </c>
      <c r="K34" s="467"/>
      <c r="L34" s="467"/>
      <c r="M34" s="467"/>
      <c r="N34" s="467"/>
      <c r="O34" s="14"/>
      <c r="P34" s="349" t="s">
        <v>203</v>
      </c>
      <c r="Q34" s="504">
        <v>4</v>
      </c>
      <c r="R34" s="504"/>
      <c r="S34" s="504"/>
      <c r="T34" s="504"/>
      <c r="U34" s="504"/>
      <c r="V34" s="47"/>
    </row>
    <row r="35" spans="1:22" s="290" customFormat="1">
      <c r="A35" s="141"/>
      <c r="B35" s="195" t="s">
        <v>204</v>
      </c>
      <c r="C35" s="501">
        <f>CHIDIST(C33,C34)</f>
        <v>2.961439459964681E-8</v>
      </c>
      <c r="D35" s="501"/>
      <c r="E35" s="501"/>
      <c r="F35" s="501"/>
      <c r="G35" s="501"/>
      <c r="H35" s="141"/>
      <c r="I35" s="355" t="s">
        <v>204</v>
      </c>
      <c r="J35" s="502">
        <f>CHIDIST(J33,J34)</f>
        <v>7.3723376432064639E-4</v>
      </c>
      <c r="K35" s="502"/>
      <c r="L35" s="502"/>
      <c r="M35" s="502"/>
      <c r="N35" s="502"/>
      <c r="O35" s="14"/>
      <c r="P35" s="349" t="s">
        <v>204</v>
      </c>
      <c r="Q35" s="505">
        <v>2.9609999999999998E-8</v>
      </c>
      <c r="R35" s="505"/>
      <c r="S35" s="505"/>
      <c r="T35" s="505"/>
      <c r="U35" s="505"/>
      <c r="V35" s="47"/>
    </row>
    <row r="36" spans="1:22" s="290" customFormat="1">
      <c r="A36" s="141"/>
      <c r="B36" s="195" t="s">
        <v>107</v>
      </c>
      <c r="C36" s="495">
        <v>0.05</v>
      </c>
      <c r="D36" s="495"/>
      <c r="E36" s="495"/>
      <c r="F36" s="495"/>
      <c r="G36" s="495"/>
      <c r="H36" s="141"/>
      <c r="I36" s="355" t="s">
        <v>107</v>
      </c>
      <c r="J36" s="467">
        <v>0.05</v>
      </c>
      <c r="K36" s="467"/>
      <c r="L36" s="467"/>
      <c r="M36" s="467"/>
      <c r="N36" s="467"/>
      <c r="O36" s="14"/>
      <c r="P36" s="349" t="s">
        <v>107</v>
      </c>
      <c r="Q36" s="504">
        <v>0.05</v>
      </c>
      <c r="R36" s="504"/>
      <c r="S36" s="504"/>
      <c r="T36" s="504"/>
      <c r="U36" s="504"/>
      <c r="V36" s="47"/>
    </row>
    <row r="37" spans="1:22" s="290" customFormat="1">
      <c r="A37" s="141"/>
      <c r="B37" s="195" t="s">
        <v>177</v>
      </c>
      <c r="C37" s="495" t="str">
        <f>IF(C35&lt;C36, "Yes", "No")</f>
        <v>Yes</v>
      </c>
      <c r="D37" s="495"/>
      <c r="E37" s="495"/>
      <c r="F37" s="495"/>
      <c r="G37" s="495"/>
      <c r="H37" s="141"/>
      <c r="I37" s="355" t="s">
        <v>177</v>
      </c>
      <c r="J37" s="467" t="str">
        <f>IF(J35&lt;J36, "Yes", "No")</f>
        <v>Yes</v>
      </c>
      <c r="K37" s="467"/>
      <c r="L37" s="467"/>
      <c r="M37" s="467"/>
      <c r="N37" s="467"/>
      <c r="O37" s="14"/>
      <c r="P37" s="195" t="s">
        <v>177</v>
      </c>
      <c r="Q37" s="495" t="str">
        <f>IF(Q35&lt;Q36, "Yes", "No")</f>
        <v>Yes</v>
      </c>
      <c r="R37" s="495"/>
      <c r="S37" s="495"/>
      <c r="T37" s="495"/>
      <c r="U37" s="495"/>
      <c r="V37" s="47"/>
    </row>
    <row r="38" spans="1:22" s="290" customFormat="1">
      <c r="A38" s="141"/>
      <c r="B38" s="291"/>
      <c r="C38" s="141"/>
      <c r="D38" s="141"/>
      <c r="E38" s="141"/>
      <c r="F38" s="141"/>
      <c r="G38" s="141"/>
      <c r="H38" s="141"/>
      <c r="I38" s="49"/>
      <c r="J38" s="13"/>
      <c r="K38" s="13"/>
      <c r="L38" s="13"/>
      <c r="M38" s="13"/>
      <c r="N38" s="13"/>
      <c r="O38" s="14"/>
      <c r="P38" s="141"/>
      <c r="Q38" s="141"/>
      <c r="R38" s="141"/>
      <c r="S38" s="141"/>
      <c r="T38" s="141"/>
      <c r="U38" s="141"/>
      <c r="V38" s="47"/>
    </row>
    <row r="39" spans="1:22" s="290" customFormat="1">
      <c r="A39" s="141"/>
      <c r="B39" s="291"/>
      <c r="C39" s="141"/>
      <c r="D39" s="141"/>
      <c r="E39" s="141"/>
      <c r="F39" s="141"/>
      <c r="G39" s="141"/>
      <c r="H39" s="141"/>
      <c r="I39" s="49"/>
      <c r="J39" s="13"/>
      <c r="K39" s="13"/>
      <c r="L39" s="13"/>
      <c r="M39" s="13"/>
      <c r="N39" s="13"/>
      <c r="O39" s="14"/>
      <c r="P39" s="141"/>
      <c r="Q39" s="141"/>
      <c r="R39" s="141"/>
      <c r="S39" s="141"/>
      <c r="T39" s="141"/>
      <c r="U39" s="141"/>
      <c r="V39" s="47"/>
    </row>
    <row r="40" spans="1:22" s="293" customFormat="1">
      <c r="B40" s="303"/>
      <c r="C40" s="474" t="s">
        <v>198</v>
      </c>
      <c r="D40" s="475"/>
      <c r="E40" s="475"/>
      <c r="F40" s="475"/>
      <c r="G40" s="476"/>
      <c r="H40" s="37"/>
      <c r="I40" s="230"/>
      <c r="J40" s="477" t="s">
        <v>198</v>
      </c>
      <c r="K40" s="478"/>
      <c r="L40" s="478"/>
      <c r="M40" s="478"/>
      <c r="N40" s="479"/>
      <c r="O40" s="37"/>
      <c r="P40" s="37"/>
      <c r="Q40" s="474" t="s">
        <v>198</v>
      </c>
      <c r="R40" s="475"/>
      <c r="S40" s="475"/>
      <c r="T40" s="475"/>
      <c r="U40" s="476"/>
      <c r="V40" s="95"/>
    </row>
    <row r="41" spans="1:22" s="303" customFormat="1">
      <c r="B41" s="304" t="s">
        <v>0</v>
      </c>
      <c r="C41" s="90" t="s">
        <v>28</v>
      </c>
      <c r="D41" s="90" t="s">
        <v>29</v>
      </c>
      <c r="E41" s="90" t="s">
        <v>30</v>
      </c>
      <c r="F41" s="90" t="s">
        <v>31</v>
      </c>
      <c r="G41" s="90" t="s">
        <v>32</v>
      </c>
      <c r="H41" s="305"/>
      <c r="I41" s="353"/>
      <c r="J41" s="312" t="s">
        <v>160</v>
      </c>
      <c r="K41" s="313" t="s">
        <v>161</v>
      </c>
      <c r="L41" s="313" t="s">
        <v>162</v>
      </c>
      <c r="M41" s="313" t="s">
        <v>163</v>
      </c>
      <c r="N41" s="314" t="s">
        <v>164</v>
      </c>
      <c r="O41" s="305"/>
      <c r="P41" s="305"/>
      <c r="Q41" s="89" t="s">
        <v>93</v>
      </c>
      <c r="R41" s="90" t="s">
        <v>94</v>
      </c>
      <c r="S41" s="90" t="s">
        <v>95</v>
      </c>
      <c r="T41" s="90" t="s">
        <v>96</v>
      </c>
      <c r="U41" s="91" t="s">
        <v>97</v>
      </c>
      <c r="V41" s="307"/>
    </row>
    <row r="42" spans="1:22" s="293" customFormat="1">
      <c r="A42" s="408" t="s">
        <v>104</v>
      </c>
      <c r="B42" s="308" t="s">
        <v>43</v>
      </c>
      <c r="C42" s="92">
        <v>9</v>
      </c>
      <c r="D42" s="93">
        <v>21</v>
      </c>
      <c r="E42" s="93">
        <v>38</v>
      </c>
      <c r="F42" s="93">
        <v>28</v>
      </c>
      <c r="G42" s="94">
        <v>57</v>
      </c>
      <c r="H42" s="37"/>
      <c r="I42" s="230"/>
      <c r="J42" s="315">
        <v>3.3</v>
      </c>
      <c r="K42" s="230">
        <v>4.9000000000000004</v>
      </c>
      <c r="L42" s="230">
        <v>6.2</v>
      </c>
      <c r="M42" s="230">
        <v>7.8</v>
      </c>
      <c r="N42" s="316">
        <v>6.2</v>
      </c>
      <c r="O42" s="37"/>
      <c r="P42" s="37"/>
      <c r="Q42" s="92">
        <v>268</v>
      </c>
      <c r="R42" s="93">
        <v>255</v>
      </c>
      <c r="S42" s="93">
        <v>190</v>
      </c>
      <c r="T42" s="93">
        <v>347</v>
      </c>
      <c r="U42" s="94">
        <v>323</v>
      </c>
      <c r="V42" s="95"/>
    </row>
    <row r="43" spans="1:22" s="293" customFormat="1">
      <c r="A43" s="409"/>
      <c r="B43" s="309" t="s">
        <v>44</v>
      </c>
      <c r="C43" s="38">
        <v>20</v>
      </c>
      <c r="D43" s="37">
        <v>25</v>
      </c>
      <c r="E43" s="37">
        <v>9</v>
      </c>
      <c r="F43" s="37">
        <v>20</v>
      </c>
      <c r="G43" s="39">
        <v>50</v>
      </c>
      <c r="H43" s="37"/>
      <c r="I43" s="230"/>
      <c r="J43" s="315">
        <v>4.8</v>
      </c>
      <c r="K43" s="230">
        <v>3.8</v>
      </c>
      <c r="L43" s="230">
        <v>5.9</v>
      </c>
      <c r="M43" s="230">
        <v>6.6</v>
      </c>
      <c r="N43" s="316">
        <v>7.5</v>
      </c>
      <c r="O43" s="37"/>
      <c r="P43" s="37"/>
      <c r="Q43" s="38">
        <v>179</v>
      </c>
      <c r="R43" s="37">
        <v>345</v>
      </c>
      <c r="S43" s="37">
        <v>447</v>
      </c>
      <c r="T43" s="37">
        <v>206</v>
      </c>
      <c r="U43" s="39">
        <v>320</v>
      </c>
      <c r="V43" s="95"/>
    </row>
    <row r="44" spans="1:22" s="293" customFormat="1">
      <c r="A44" s="409"/>
      <c r="B44" s="309" t="s">
        <v>45</v>
      </c>
      <c r="C44" s="38">
        <v>8</v>
      </c>
      <c r="D44" s="37">
        <v>6</v>
      </c>
      <c r="E44" s="37">
        <v>34</v>
      </c>
      <c r="F44" s="37">
        <v>24</v>
      </c>
      <c r="G44" s="39">
        <v>58</v>
      </c>
      <c r="H44" s="37"/>
      <c r="I44" s="230"/>
      <c r="J44" s="315">
        <v>8.1999999999999993</v>
      </c>
      <c r="K44" s="230">
        <v>9.4</v>
      </c>
      <c r="L44" s="230">
        <v>11.3</v>
      </c>
      <c r="M44" s="230">
        <v>10.7</v>
      </c>
      <c r="N44" s="316">
        <v>9.8000000000000007</v>
      </c>
      <c r="O44" s="37"/>
      <c r="P44" s="37"/>
      <c r="Q44" s="38">
        <v>306</v>
      </c>
      <c r="R44" s="37">
        <v>379</v>
      </c>
      <c r="S44" s="37">
        <v>323</v>
      </c>
      <c r="T44" s="37">
        <v>281</v>
      </c>
      <c r="U44" s="39">
        <v>419</v>
      </c>
      <c r="V44" s="95"/>
    </row>
    <row r="45" spans="1:22" s="293" customFormat="1">
      <c r="A45" s="409"/>
      <c r="B45" s="309" t="s">
        <v>46</v>
      </c>
      <c r="C45" s="38">
        <v>44</v>
      </c>
      <c r="D45" s="37">
        <v>24</v>
      </c>
      <c r="E45" s="37">
        <v>21</v>
      </c>
      <c r="F45" s="37">
        <v>29</v>
      </c>
      <c r="G45" s="39">
        <v>49</v>
      </c>
      <c r="H45" s="37"/>
      <c r="I45" s="230"/>
      <c r="J45" s="315">
        <v>8.1999999999999993</v>
      </c>
      <c r="K45" s="230">
        <v>4.4000000000000004</v>
      </c>
      <c r="L45" s="230">
        <v>6.5</v>
      </c>
      <c r="M45" s="230">
        <v>9.6</v>
      </c>
      <c r="N45" s="316">
        <v>7.3</v>
      </c>
      <c r="O45" s="37"/>
      <c r="P45" s="37"/>
      <c r="Q45" s="38">
        <v>327</v>
      </c>
      <c r="R45" s="37">
        <v>426</v>
      </c>
      <c r="S45" s="37">
        <v>203</v>
      </c>
      <c r="T45" s="37">
        <v>283</v>
      </c>
      <c r="U45" s="39">
        <v>480</v>
      </c>
      <c r="V45" s="95"/>
    </row>
    <row r="46" spans="1:22" s="293" customFormat="1">
      <c r="A46" s="409"/>
      <c r="B46" s="309" t="s">
        <v>47</v>
      </c>
      <c r="C46" s="38">
        <v>9</v>
      </c>
      <c r="D46" s="37">
        <v>42</v>
      </c>
      <c r="E46" s="37">
        <v>29</v>
      </c>
      <c r="F46" s="37">
        <v>27</v>
      </c>
      <c r="G46" s="39">
        <v>38</v>
      </c>
      <c r="H46" s="37"/>
      <c r="I46" s="230"/>
      <c r="J46" s="315">
        <v>7.7</v>
      </c>
      <c r="K46" s="230">
        <v>10.3</v>
      </c>
      <c r="L46" s="230">
        <v>9.1999999999999993</v>
      </c>
      <c r="M46" s="230">
        <v>9.1</v>
      </c>
      <c r="N46" s="316">
        <v>4.9000000000000004</v>
      </c>
      <c r="O46" s="37"/>
      <c r="P46" s="37"/>
      <c r="Q46" s="38">
        <v>260</v>
      </c>
      <c r="R46" s="37">
        <v>120</v>
      </c>
      <c r="S46" s="37">
        <v>293</v>
      </c>
      <c r="T46" s="37">
        <v>436</v>
      </c>
      <c r="U46" s="39">
        <v>232</v>
      </c>
      <c r="V46" s="95"/>
    </row>
    <row r="47" spans="1:22" s="293" customFormat="1">
      <c r="A47" s="409"/>
      <c r="B47" s="309" t="s">
        <v>48</v>
      </c>
      <c r="C47" s="38">
        <v>29</v>
      </c>
      <c r="D47" s="37">
        <v>35</v>
      </c>
      <c r="E47" s="37">
        <v>26</v>
      </c>
      <c r="F47" s="37">
        <v>28</v>
      </c>
      <c r="G47" s="39">
        <v>59</v>
      </c>
      <c r="H47" s="37"/>
      <c r="I47" s="230"/>
      <c r="J47" s="315">
        <v>5.2</v>
      </c>
      <c r="K47" s="230">
        <v>6</v>
      </c>
      <c r="L47" s="230">
        <v>6.6</v>
      </c>
      <c r="M47" s="230">
        <v>7.7</v>
      </c>
      <c r="N47" s="316">
        <v>5.9</v>
      </c>
      <c r="O47" s="37"/>
      <c r="P47" s="37"/>
      <c r="Q47" s="38">
        <v>356</v>
      </c>
      <c r="R47" s="37">
        <v>275</v>
      </c>
      <c r="S47" s="37">
        <v>279</v>
      </c>
      <c r="T47" s="37">
        <v>167</v>
      </c>
      <c r="U47" s="39">
        <v>209</v>
      </c>
      <c r="V47" s="95"/>
    </row>
    <row r="48" spans="1:22" s="293" customFormat="1">
      <c r="A48" s="409"/>
      <c r="B48" s="309" t="s">
        <v>49</v>
      </c>
      <c r="C48" s="38">
        <v>24</v>
      </c>
      <c r="D48" s="37">
        <v>46</v>
      </c>
      <c r="E48" s="37">
        <v>40</v>
      </c>
      <c r="F48" s="37">
        <v>51</v>
      </c>
      <c r="G48" s="39">
        <v>49</v>
      </c>
      <c r="H48" s="37"/>
      <c r="I48" s="230"/>
      <c r="J48" s="315">
        <v>6</v>
      </c>
      <c r="K48" s="230">
        <v>7.8</v>
      </c>
      <c r="L48" s="230">
        <v>4.9000000000000004</v>
      </c>
      <c r="M48" s="230">
        <v>8.3000000000000007</v>
      </c>
      <c r="N48" s="316">
        <v>7.1</v>
      </c>
      <c r="O48" s="37"/>
      <c r="P48" s="37"/>
      <c r="Q48" s="38">
        <v>263</v>
      </c>
      <c r="R48" s="37">
        <v>281</v>
      </c>
      <c r="S48" s="37">
        <v>243</v>
      </c>
      <c r="T48" s="37">
        <v>172</v>
      </c>
      <c r="U48" s="39">
        <v>313</v>
      </c>
      <c r="V48" s="95"/>
    </row>
    <row r="49" spans="1:22" s="293" customFormat="1">
      <c r="A49" s="409"/>
      <c r="B49" s="309" t="s">
        <v>50</v>
      </c>
      <c r="C49" s="38">
        <v>30</v>
      </c>
      <c r="D49" s="37">
        <v>6</v>
      </c>
      <c r="E49" s="37">
        <v>11</v>
      </c>
      <c r="F49" s="37">
        <v>40</v>
      </c>
      <c r="G49" s="39">
        <v>43</v>
      </c>
      <c r="H49" s="37"/>
      <c r="I49" s="230"/>
      <c r="J49" s="315">
        <v>6.9</v>
      </c>
      <c r="K49" s="230">
        <v>6.8</v>
      </c>
      <c r="L49" s="230">
        <v>3.3</v>
      </c>
      <c r="M49" s="230">
        <v>8.6</v>
      </c>
      <c r="N49" s="316">
        <v>9</v>
      </c>
      <c r="O49" s="37"/>
      <c r="P49" s="37"/>
      <c r="Q49" s="38">
        <v>266</v>
      </c>
      <c r="R49" s="37">
        <v>206</v>
      </c>
      <c r="S49" s="37">
        <v>229</v>
      </c>
      <c r="T49" s="37">
        <v>372</v>
      </c>
      <c r="U49" s="39">
        <v>338</v>
      </c>
      <c r="V49" s="95"/>
    </row>
    <row r="50" spans="1:22" s="293" customFormat="1">
      <c r="A50" s="409"/>
      <c r="B50" s="309" t="s">
        <v>51</v>
      </c>
      <c r="C50" s="38">
        <v>32</v>
      </c>
      <c r="D50" s="37">
        <v>22</v>
      </c>
      <c r="E50" s="37">
        <v>10</v>
      </c>
      <c r="F50" s="37">
        <v>39</v>
      </c>
      <c r="G50" s="39">
        <v>43</v>
      </c>
      <c r="H50" s="37"/>
      <c r="I50" s="230"/>
      <c r="J50" s="315">
        <v>4.4000000000000004</v>
      </c>
      <c r="K50" s="230">
        <v>9.6999999999999993</v>
      </c>
      <c r="L50" s="230">
        <v>6.3</v>
      </c>
      <c r="M50" s="230">
        <v>8.1</v>
      </c>
      <c r="N50" s="316">
        <v>2.9</v>
      </c>
      <c r="O50" s="37"/>
      <c r="P50" s="37"/>
      <c r="Q50" s="38">
        <v>297</v>
      </c>
      <c r="R50" s="37">
        <v>175</v>
      </c>
      <c r="S50" s="37">
        <v>151</v>
      </c>
      <c r="T50" s="37">
        <v>218</v>
      </c>
      <c r="U50" s="39">
        <v>274</v>
      </c>
      <c r="V50" s="95"/>
    </row>
    <row r="51" spans="1:22" s="293" customFormat="1">
      <c r="A51" s="409"/>
      <c r="B51" s="309" t="s">
        <v>52</v>
      </c>
      <c r="C51" s="38">
        <v>30</v>
      </c>
      <c r="D51" s="37">
        <v>24</v>
      </c>
      <c r="E51" s="37">
        <v>18</v>
      </c>
      <c r="F51" s="37">
        <v>30</v>
      </c>
      <c r="G51" s="39">
        <v>47</v>
      </c>
      <c r="H51" s="37"/>
      <c r="I51" s="230"/>
      <c r="J51" s="315">
        <v>8.1999999999999993</v>
      </c>
      <c r="K51" s="230">
        <v>5.6</v>
      </c>
      <c r="L51" s="230">
        <v>5.7</v>
      </c>
      <c r="M51" s="230">
        <v>6.9</v>
      </c>
      <c r="N51" s="316">
        <v>10</v>
      </c>
      <c r="O51" s="37"/>
      <c r="P51" s="37"/>
      <c r="Q51" s="38">
        <v>298</v>
      </c>
      <c r="R51" s="37">
        <v>241</v>
      </c>
      <c r="S51" s="37">
        <v>279</v>
      </c>
      <c r="T51" s="37">
        <v>279</v>
      </c>
      <c r="U51" s="39">
        <v>389</v>
      </c>
      <c r="V51" s="95"/>
    </row>
    <row r="52" spans="1:22" s="293" customFormat="1">
      <c r="A52" s="409"/>
      <c r="B52" s="309" t="s">
        <v>53</v>
      </c>
      <c r="C52" s="38">
        <v>20</v>
      </c>
      <c r="D52" s="37">
        <v>30</v>
      </c>
      <c r="E52" s="37">
        <v>11</v>
      </c>
      <c r="F52" s="37">
        <v>47</v>
      </c>
      <c r="G52" s="39">
        <v>50</v>
      </c>
      <c r="H52" s="37"/>
      <c r="I52" s="230"/>
      <c r="J52" s="315">
        <v>7.4</v>
      </c>
      <c r="K52" s="230">
        <v>8.1999999999999993</v>
      </c>
      <c r="L52" s="230">
        <v>6</v>
      </c>
      <c r="M52" s="230">
        <v>9.4</v>
      </c>
      <c r="N52" s="316">
        <v>8.6999999999999993</v>
      </c>
      <c r="O52" s="37"/>
      <c r="P52" s="37"/>
      <c r="Q52" s="38">
        <v>182</v>
      </c>
      <c r="R52" s="37">
        <v>263</v>
      </c>
      <c r="S52" s="37">
        <v>286</v>
      </c>
      <c r="T52" s="37">
        <v>315</v>
      </c>
      <c r="U52" s="39">
        <v>234</v>
      </c>
      <c r="V52" s="95"/>
    </row>
    <row r="53" spans="1:22" s="293" customFormat="1">
      <c r="A53" s="410"/>
      <c r="B53" s="310" t="s">
        <v>54</v>
      </c>
      <c r="C53" s="74">
        <v>20</v>
      </c>
      <c r="D53" s="72">
        <v>30</v>
      </c>
      <c r="E53" s="72">
        <v>26</v>
      </c>
      <c r="F53" s="72">
        <v>26</v>
      </c>
      <c r="G53" s="73">
        <v>50</v>
      </c>
      <c r="H53" s="37"/>
      <c r="I53" s="230"/>
      <c r="J53" s="317">
        <v>7.3</v>
      </c>
      <c r="K53" s="311">
        <v>6.7</v>
      </c>
      <c r="L53" s="311">
        <v>9.4</v>
      </c>
      <c r="M53" s="311">
        <v>8.5</v>
      </c>
      <c r="N53" s="318">
        <v>8.1</v>
      </c>
      <c r="O53" s="37"/>
      <c r="P53" s="37"/>
      <c r="Q53" s="74">
        <v>264</v>
      </c>
      <c r="R53" s="72">
        <v>334</v>
      </c>
      <c r="S53" s="72">
        <v>113</v>
      </c>
      <c r="T53" s="72">
        <v>307</v>
      </c>
      <c r="U53" s="73">
        <v>455</v>
      </c>
      <c r="V53" s="95"/>
    </row>
    <row r="54" spans="1:22" s="293" customFormat="1">
      <c r="A54" s="37"/>
      <c r="B54" s="351" t="s">
        <v>174</v>
      </c>
      <c r="C54" s="37">
        <f>MEDIAN(C42:C53)</f>
        <v>22</v>
      </c>
      <c r="D54" s="37">
        <f t="shared" ref="D54:G54" si="43">MEDIAN(D42:D53)</f>
        <v>24.5</v>
      </c>
      <c r="E54" s="37">
        <f t="shared" si="43"/>
        <v>23.5</v>
      </c>
      <c r="F54" s="37">
        <f t="shared" si="43"/>
        <v>28.5</v>
      </c>
      <c r="G54" s="37">
        <f t="shared" si="43"/>
        <v>49.5</v>
      </c>
      <c r="H54" s="37"/>
      <c r="I54" s="354" t="s">
        <v>174</v>
      </c>
      <c r="J54" s="230">
        <f>MEDIAN(J42:J53)</f>
        <v>7.1</v>
      </c>
      <c r="K54" s="230">
        <f t="shared" ref="K54:N54" si="44">MEDIAN(K42:K53)</f>
        <v>6.75</v>
      </c>
      <c r="L54" s="230">
        <f t="shared" si="44"/>
        <v>6.25</v>
      </c>
      <c r="M54" s="230">
        <f t="shared" si="44"/>
        <v>8.4</v>
      </c>
      <c r="N54" s="230">
        <f t="shared" si="44"/>
        <v>7.4</v>
      </c>
      <c r="O54" s="37"/>
      <c r="P54" s="351" t="s">
        <v>174</v>
      </c>
      <c r="Q54" s="37">
        <f>MEDIAN(Q42:Q53)</f>
        <v>267</v>
      </c>
      <c r="R54" s="37">
        <f t="shared" ref="R54" si="45">MEDIAN(R42:R53)</f>
        <v>269</v>
      </c>
      <c r="S54" s="37">
        <f t="shared" ref="S54" si="46">MEDIAN(S42:S53)</f>
        <v>261</v>
      </c>
      <c r="T54" s="37">
        <f t="shared" ref="T54" si="47">MEDIAN(T42:T53)</f>
        <v>282</v>
      </c>
      <c r="U54" s="37">
        <f t="shared" ref="U54" si="48">MEDIAN(U42:U53)</f>
        <v>321.5</v>
      </c>
      <c r="V54" s="95"/>
    </row>
    <row r="55" spans="1:22" s="290" customFormat="1">
      <c r="A55" s="141"/>
      <c r="B55" s="183"/>
      <c r="C55" s="141"/>
      <c r="D55" s="141"/>
      <c r="E55" s="141"/>
      <c r="F55" s="141"/>
      <c r="G55" s="141"/>
      <c r="H55" s="141"/>
      <c r="I55" s="49"/>
      <c r="J55" s="13"/>
      <c r="K55" s="13"/>
      <c r="L55" s="13"/>
      <c r="M55" s="13"/>
      <c r="N55" s="13"/>
      <c r="O55" s="14"/>
      <c r="P55" s="141"/>
      <c r="Q55" s="141"/>
      <c r="R55" s="141"/>
      <c r="S55" s="141"/>
      <c r="T55" s="141"/>
      <c r="U55" s="141"/>
      <c r="V55" s="47"/>
    </row>
    <row r="56" spans="1:22" s="290" customFormat="1">
      <c r="A56" s="141"/>
      <c r="B56" s="183"/>
      <c r="C56" s="414" t="s">
        <v>197</v>
      </c>
      <c r="D56" s="415"/>
      <c r="E56" s="415"/>
      <c r="F56" s="415"/>
      <c r="G56" s="416"/>
      <c r="H56" s="141"/>
      <c r="I56" s="49"/>
      <c r="J56" s="424" t="s">
        <v>197</v>
      </c>
      <c r="K56" s="425"/>
      <c r="L56" s="425"/>
      <c r="M56" s="425"/>
      <c r="N56" s="426"/>
      <c r="O56" s="14"/>
      <c r="P56" s="141"/>
      <c r="Q56" s="414" t="s">
        <v>197</v>
      </c>
      <c r="R56" s="415"/>
      <c r="S56" s="415"/>
      <c r="T56" s="415"/>
      <c r="U56" s="416"/>
      <c r="V56" s="47"/>
    </row>
    <row r="57" spans="1:22" s="290" customFormat="1">
      <c r="A57" s="141"/>
      <c r="C57" s="41" t="s">
        <v>28</v>
      </c>
      <c r="D57" s="34" t="s">
        <v>29</v>
      </c>
      <c r="E57" s="34" t="s">
        <v>30</v>
      </c>
      <c r="F57" s="34" t="s">
        <v>31</v>
      </c>
      <c r="G57" s="35" t="s">
        <v>32</v>
      </c>
      <c r="H57" s="32"/>
      <c r="I57" s="202"/>
      <c r="J57" s="295" t="s">
        <v>160</v>
      </c>
      <c r="K57" s="294" t="s">
        <v>161</v>
      </c>
      <c r="L57" s="294" t="s">
        <v>162</v>
      </c>
      <c r="M57" s="294" t="s">
        <v>163</v>
      </c>
      <c r="N57" s="296" t="s">
        <v>164</v>
      </c>
      <c r="O57" s="32"/>
      <c r="P57" s="32"/>
      <c r="Q57" s="41" t="s">
        <v>93</v>
      </c>
      <c r="R57" s="34" t="s">
        <v>94</v>
      </c>
      <c r="S57" s="34" t="s">
        <v>95</v>
      </c>
      <c r="T57" s="34" t="s">
        <v>96</v>
      </c>
      <c r="U57" s="35" t="s">
        <v>97</v>
      </c>
      <c r="V57" s="47"/>
    </row>
    <row r="58" spans="1:22" s="290" customFormat="1">
      <c r="A58" s="141"/>
      <c r="C58" s="70">
        <f>_xlfn.RANK.AVG(C42,$C$42:$G$53,1)</f>
        <v>5</v>
      </c>
      <c r="D58" s="45">
        <f t="shared" ref="D58:G58" si="49">_xlfn.RANK.AVG(D42,$C$42:$G$53,1)</f>
        <v>15.5</v>
      </c>
      <c r="E58" s="45">
        <f t="shared" si="49"/>
        <v>40.5</v>
      </c>
      <c r="F58" s="45">
        <f t="shared" si="49"/>
        <v>27.5</v>
      </c>
      <c r="G58" s="46">
        <f t="shared" si="49"/>
        <v>58</v>
      </c>
      <c r="H58" s="141"/>
      <c r="I58" s="49"/>
      <c r="J58" s="43">
        <f t="shared" ref="J58:N68" si="50">_xlfn.RANK.AVG(J42,$J$42:$N$53,1)</f>
        <v>2.5</v>
      </c>
      <c r="K58" s="44">
        <f t="shared" si="50"/>
        <v>9</v>
      </c>
      <c r="L58" s="44">
        <f t="shared" si="50"/>
        <v>19.5</v>
      </c>
      <c r="M58" s="44">
        <f t="shared" si="50"/>
        <v>36.5</v>
      </c>
      <c r="N58" s="78">
        <f t="shared" si="50"/>
        <v>19.5</v>
      </c>
      <c r="O58" s="14"/>
      <c r="P58" s="141"/>
      <c r="Q58" s="70">
        <f>_xlfn.RANK.AVG(Q42,$Q$42:$U$53,1)</f>
        <v>26</v>
      </c>
      <c r="R58" s="45">
        <f t="shared" ref="R58:U58" si="51">_xlfn.RANK.AVG(R42,$Q$42:$U$53,1)</f>
        <v>20</v>
      </c>
      <c r="S58" s="45">
        <f t="shared" si="51"/>
        <v>9</v>
      </c>
      <c r="T58" s="45">
        <f t="shared" si="51"/>
        <v>50</v>
      </c>
      <c r="U58" s="46">
        <f t="shared" si="51"/>
        <v>44.5</v>
      </c>
      <c r="V58" s="47"/>
    </row>
    <row r="59" spans="1:22" s="290" customFormat="1">
      <c r="A59" s="141"/>
      <c r="C59" s="71">
        <f t="shared" ref="C59:G69" si="52">_xlfn.RANK.AVG(C43,$C$42:$G$53,1)</f>
        <v>12.5</v>
      </c>
      <c r="D59" s="141">
        <f t="shared" si="52"/>
        <v>22</v>
      </c>
      <c r="E59" s="141">
        <f t="shared" si="52"/>
        <v>5</v>
      </c>
      <c r="F59" s="141">
        <f t="shared" si="52"/>
        <v>12.5</v>
      </c>
      <c r="G59" s="51">
        <f t="shared" si="52"/>
        <v>55</v>
      </c>
      <c r="H59" s="141"/>
      <c r="I59" s="49"/>
      <c r="J59" s="48">
        <f t="shared" si="50"/>
        <v>7</v>
      </c>
      <c r="K59" s="49">
        <f t="shared" si="50"/>
        <v>4</v>
      </c>
      <c r="L59" s="49">
        <f t="shared" si="50"/>
        <v>14.5</v>
      </c>
      <c r="M59" s="49">
        <f t="shared" si="50"/>
        <v>23.5</v>
      </c>
      <c r="N59" s="57">
        <f t="shared" si="50"/>
        <v>33</v>
      </c>
      <c r="O59" s="14"/>
      <c r="P59" s="141"/>
      <c r="Q59" s="71">
        <f t="shared" ref="Q59:U69" si="53">_xlfn.RANK.AVG(Q43,$Q$42:$U$53,1)</f>
        <v>7</v>
      </c>
      <c r="R59" s="141">
        <f t="shared" si="53"/>
        <v>49</v>
      </c>
      <c r="S59" s="141">
        <f t="shared" si="53"/>
        <v>58</v>
      </c>
      <c r="T59" s="141">
        <f t="shared" si="53"/>
        <v>11.5</v>
      </c>
      <c r="U59" s="51">
        <f t="shared" si="53"/>
        <v>43</v>
      </c>
      <c r="V59" s="47"/>
    </row>
    <row r="60" spans="1:22" s="290" customFormat="1">
      <c r="A60" s="141"/>
      <c r="C60" s="71">
        <f t="shared" si="52"/>
        <v>3</v>
      </c>
      <c r="D60" s="141">
        <f t="shared" si="52"/>
        <v>1.5</v>
      </c>
      <c r="E60" s="141">
        <f t="shared" si="52"/>
        <v>38</v>
      </c>
      <c r="F60" s="141">
        <f t="shared" si="52"/>
        <v>19.5</v>
      </c>
      <c r="G60" s="51">
        <f t="shared" si="52"/>
        <v>59</v>
      </c>
      <c r="H60" s="141"/>
      <c r="I60" s="49"/>
      <c r="J60" s="48">
        <f t="shared" si="50"/>
        <v>41.5</v>
      </c>
      <c r="K60" s="49">
        <f t="shared" si="50"/>
        <v>52</v>
      </c>
      <c r="L60" s="49">
        <f t="shared" si="50"/>
        <v>60</v>
      </c>
      <c r="M60" s="49">
        <f t="shared" si="50"/>
        <v>59</v>
      </c>
      <c r="N60" s="57">
        <f t="shared" si="50"/>
        <v>56</v>
      </c>
      <c r="O60" s="14"/>
      <c r="P60" s="141"/>
      <c r="Q60" s="71">
        <f t="shared" si="53"/>
        <v>39</v>
      </c>
      <c r="R60" s="141">
        <f t="shared" si="53"/>
        <v>53</v>
      </c>
      <c r="S60" s="141">
        <f t="shared" si="53"/>
        <v>44.5</v>
      </c>
      <c r="T60" s="141">
        <f t="shared" si="53"/>
        <v>32.5</v>
      </c>
      <c r="U60" s="51">
        <f t="shared" si="53"/>
        <v>55</v>
      </c>
      <c r="V60" s="47"/>
    </row>
    <row r="61" spans="1:22" s="290" customFormat="1">
      <c r="A61" s="141"/>
      <c r="C61" s="71">
        <f t="shared" si="52"/>
        <v>48</v>
      </c>
      <c r="D61" s="141">
        <f t="shared" si="52"/>
        <v>19.5</v>
      </c>
      <c r="E61" s="141">
        <f t="shared" si="52"/>
        <v>15.5</v>
      </c>
      <c r="F61" s="141">
        <f t="shared" si="52"/>
        <v>30</v>
      </c>
      <c r="G61" s="51">
        <f t="shared" si="52"/>
        <v>52.5</v>
      </c>
      <c r="H61" s="141"/>
      <c r="I61" s="49"/>
      <c r="J61" s="48">
        <f t="shared" si="50"/>
        <v>41.5</v>
      </c>
      <c r="K61" s="49">
        <f t="shared" si="50"/>
        <v>5.5</v>
      </c>
      <c r="L61" s="49">
        <f t="shared" si="50"/>
        <v>22</v>
      </c>
      <c r="M61" s="49">
        <f t="shared" si="50"/>
        <v>54</v>
      </c>
      <c r="N61" s="57">
        <f t="shared" si="50"/>
        <v>30.5</v>
      </c>
      <c r="O61" s="14"/>
      <c r="P61" s="141"/>
      <c r="Q61" s="71">
        <f t="shared" si="53"/>
        <v>46</v>
      </c>
      <c r="R61" s="141">
        <f t="shared" si="53"/>
        <v>56</v>
      </c>
      <c r="S61" s="141">
        <f t="shared" si="53"/>
        <v>10</v>
      </c>
      <c r="T61" s="141">
        <f t="shared" si="53"/>
        <v>34</v>
      </c>
      <c r="U61" s="51">
        <f t="shared" si="53"/>
        <v>60</v>
      </c>
      <c r="V61" s="47"/>
    </row>
    <row r="62" spans="1:22" s="290" customFormat="1">
      <c r="A62" s="141"/>
      <c r="C62" s="71">
        <f t="shared" si="52"/>
        <v>5</v>
      </c>
      <c r="D62" s="141">
        <f t="shared" si="52"/>
        <v>45</v>
      </c>
      <c r="E62" s="141">
        <f t="shared" si="52"/>
        <v>30</v>
      </c>
      <c r="F62" s="141">
        <f t="shared" si="52"/>
        <v>26</v>
      </c>
      <c r="G62" s="51">
        <f t="shared" si="52"/>
        <v>40.5</v>
      </c>
      <c r="H62" s="141"/>
      <c r="I62" s="49"/>
      <c r="J62" s="48">
        <f t="shared" si="50"/>
        <v>34.5</v>
      </c>
      <c r="K62" s="49">
        <f t="shared" si="50"/>
        <v>58</v>
      </c>
      <c r="L62" s="49">
        <f t="shared" si="50"/>
        <v>50</v>
      </c>
      <c r="M62" s="49">
        <f t="shared" si="50"/>
        <v>49</v>
      </c>
      <c r="N62" s="57">
        <f t="shared" si="50"/>
        <v>9</v>
      </c>
      <c r="O62" s="14"/>
      <c r="P62" s="141"/>
      <c r="Q62" s="71">
        <f t="shared" si="53"/>
        <v>21</v>
      </c>
      <c r="R62" s="141">
        <f t="shared" si="53"/>
        <v>2</v>
      </c>
      <c r="S62" s="141">
        <f t="shared" si="53"/>
        <v>36</v>
      </c>
      <c r="T62" s="141">
        <f t="shared" si="53"/>
        <v>57</v>
      </c>
      <c r="U62" s="51">
        <f t="shared" si="53"/>
        <v>16</v>
      </c>
      <c r="V62" s="47"/>
    </row>
    <row r="63" spans="1:22" s="290" customFormat="1">
      <c r="A63" s="141"/>
      <c r="C63" s="71">
        <f t="shared" si="52"/>
        <v>30</v>
      </c>
      <c r="D63" s="141">
        <f t="shared" si="52"/>
        <v>39</v>
      </c>
      <c r="E63" s="141">
        <f t="shared" si="52"/>
        <v>24</v>
      </c>
      <c r="F63" s="141">
        <f t="shared" si="52"/>
        <v>27.5</v>
      </c>
      <c r="G63" s="51">
        <f t="shared" si="52"/>
        <v>60</v>
      </c>
      <c r="H63" s="141"/>
      <c r="I63" s="49"/>
      <c r="J63" s="48">
        <f t="shared" si="50"/>
        <v>11</v>
      </c>
      <c r="K63" s="49">
        <f t="shared" si="50"/>
        <v>17</v>
      </c>
      <c r="L63" s="49">
        <f t="shared" si="50"/>
        <v>23.5</v>
      </c>
      <c r="M63" s="49">
        <f t="shared" si="50"/>
        <v>34.5</v>
      </c>
      <c r="N63" s="57">
        <f t="shared" si="50"/>
        <v>14.5</v>
      </c>
      <c r="O63" s="14"/>
      <c r="P63" s="141"/>
      <c r="Q63" s="71">
        <f t="shared" si="53"/>
        <v>51</v>
      </c>
      <c r="R63" s="141">
        <f t="shared" si="53"/>
        <v>28</v>
      </c>
      <c r="S63" s="141">
        <f t="shared" si="53"/>
        <v>30</v>
      </c>
      <c r="T63" s="141">
        <f t="shared" si="53"/>
        <v>4</v>
      </c>
      <c r="U63" s="51">
        <f t="shared" si="53"/>
        <v>13</v>
      </c>
      <c r="V63" s="47"/>
    </row>
    <row r="64" spans="1:22" s="290" customFormat="1">
      <c r="A64" s="141"/>
      <c r="C64" s="71">
        <f t="shared" si="52"/>
        <v>19.5</v>
      </c>
      <c r="D64" s="141">
        <f t="shared" si="52"/>
        <v>49</v>
      </c>
      <c r="E64" s="141">
        <f t="shared" si="52"/>
        <v>43.5</v>
      </c>
      <c r="F64" s="141">
        <f t="shared" si="52"/>
        <v>57</v>
      </c>
      <c r="G64" s="51">
        <f t="shared" si="52"/>
        <v>52.5</v>
      </c>
      <c r="H64" s="141"/>
      <c r="I64" s="49"/>
      <c r="J64" s="48">
        <f t="shared" si="50"/>
        <v>17</v>
      </c>
      <c r="K64" s="49">
        <f t="shared" si="50"/>
        <v>36.5</v>
      </c>
      <c r="L64" s="49">
        <f t="shared" si="50"/>
        <v>9</v>
      </c>
      <c r="M64" s="49">
        <f t="shared" si="50"/>
        <v>44</v>
      </c>
      <c r="N64" s="57">
        <f t="shared" si="50"/>
        <v>29</v>
      </c>
      <c r="O64" s="14"/>
      <c r="P64" s="141"/>
      <c r="Q64" s="71">
        <f t="shared" si="53"/>
        <v>22.5</v>
      </c>
      <c r="R64" s="141">
        <f t="shared" si="53"/>
        <v>32.5</v>
      </c>
      <c r="S64" s="141">
        <f t="shared" si="53"/>
        <v>19</v>
      </c>
      <c r="T64" s="141">
        <f t="shared" si="53"/>
        <v>5</v>
      </c>
      <c r="U64" s="51">
        <f t="shared" si="53"/>
        <v>41</v>
      </c>
      <c r="V64" s="47"/>
    </row>
    <row r="65" spans="1:22" s="290" customFormat="1">
      <c r="A65" s="141"/>
      <c r="C65" s="71">
        <f t="shared" si="52"/>
        <v>34</v>
      </c>
      <c r="D65" s="141">
        <f t="shared" si="52"/>
        <v>1.5</v>
      </c>
      <c r="E65" s="141">
        <f t="shared" si="52"/>
        <v>8.5</v>
      </c>
      <c r="F65" s="141">
        <f t="shared" si="52"/>
        <v>43.5</v>
      </c>
      <c r="G65" s="51">
        <f t="shared" si="52"/>
        <v>46.5</v>
      </c>
      <c r="H65" s="141"/>
      <c r="I65" s="49"/>
      <c r="J65" s="48">
        <f t="shared" si="50"/>
        <v>27.5</v>
      </c>
      <c r="K65" s="49">
        <f t="shared" si="50"/>
        <v>26</v>
      </c>
      <c r="L65" s="49">
        <f t="shared" si="50"/>
        <v>2.5</v>
      </c>
      <c r="M65" s="49">
        <f t="shared" si="50"/>
        <v>46</v>
      </c>
      <c r="N65" s="57">
        <f t="shared" si="50"/>
        <v>48</v>
      </c>
      <c r="O65" s="14"/>
      <c r="P65" s="141"/>
      <c r="Q65" s="71">
        <f t="shared" si="53"/>
        <v>25</v>
      </c>
      <c r="R65" s="141">
        <f t="shared" si="53"/>
        <v>11.5</v>
      </c>
      <c r="S65" s="141">
        <f t="shared" si="53"/>
        <v>15</v>
      </c>
      <c r="T65" s="141">
        <f t="shared" si="53"/>
        <v>52</v>
      </c>
      <c r="U65" s="51">
        <f t="shared" si="53"/>
        <v>48</v>
      </c>
      <c r="V65" s="47"/>
    </row>
    <row r="66" spans="1:22" s="290" customFormat="1">
      <c r="A66" s="141"/>
      <c r="C66" s="71">
        <f t="shared" si="52"/>
        <v>37</v>
      </c>
      <c r="D66" s="141">
        <f t="shared" si="52"/>
        <v>17</v>
      </c>
      <c r="E66" s="141">
        <f t="shared" si="52"/>
        <v>7</v>
      </c>
      <c r="F66" s="141">
        <f t="shared" si="52"/>
        <v>42</v>
      </c>
      <c r="G66" s="51">
        <f t="shared" si="52"/>
        <v>46.5</v>
      </c>
      <c r="H66" s="141"/>
      <c r="I66" s="49"/>
      <c r="J66" s="48">
        <f t="shared" si="50"/>
        <v>5.5</v>
      </c>
      <c r="K66" s="49">
        <f t="shared" si="50"/>
        <v>55</v>
      </c>
      <c r="L66" s="49">
        <f t="shared" si="50"/>
        <v>21</v>
      </c>
      <c r="M66" s="49">
        <f t="shared" si="50"/>
        <v>38.5</v>
      </c>
      <c r="N66" s="57">
        <f t="shared" si="50"/>
        <v>1</v>
      </c>
      <c r="O66" s="14"/>
      <c r="P66" s="141"/>
      <c r="Q66" s="71">
        <f t="shared" si="53"/>
        <v>37</v>
      </c>
      <c r="R66" s="141">
        <f t="shared" si="53"/>
        <v>6</v>
      </c>
      <c r="S66" s="141">
        <f t="shared" si="53"/>
        <v>3</v>
      </c>
      <c r="T66" s="141">
        <f t="shared" si="53"/>
        <v>14</v>
      </c>
      <c r="U66" s="51">
        <f t="shared" si="53"/>
        <v>27</v>
      </c>
      <c r="V66" s="47"/>
    </row>
    <row r="67" spans="1:22" s="290" customFormat="1">
      <c r="A67" s="141"/>
      <c r="C67" s="71">
        <f t="shared" si="52"/>
        <v>34</v>
      </c>
      <c r="D67" s="141">
        <f t="shared" si="52"/>
        <v>19.5</v>
      </c>
      <c r="E67" s="141">
        <f t="shared" si="52"/>
        <v>10</v>
      </c>
      <c r="F67" s="141">
        <f t="shared" si="52"/>
        <v>34</v>
      </c>
      <c r="G67" s="51">
        <f t="shared" si="52"/>
        <v>50.5</v>
      </c>
      <c r="H67" s="141"/>
      <c r="I67" s="49"/>
      <c r="J67" s="48">
        <f t="shared" si="50"/>
        <v>41.5</v>
      </c>
      <c r="K67" s="49">
        <f t="shared" si="50"/>
        <v>12</v>
      </c>
      <c r="L67" s="49">
        <f t="shared" si="50"/>
        <v>13</v>
      </c>
      <c r="M67" s="49">
        <f t="shared" si="50"/>
        <v>27.5</v>
      </c>
      <c r="N67" s="57">
        <f t="shared" si="50"/>
        <v>57</v>
      </c>
      <c r="O67" s="14"/>
      <c r="P67" s="141"/>
      <c r="Q67" s="71">
        <f t="shared" si="53"/>
        <v>38</v>
      </c>
      <c r="R67" s="141">
        <f t="shared" si="53"/>
        <v>18</v>
      </c>
      <c r="S67" s="141">
        <f t="shared" si="53"/>
        <v>30</v>
      </c>
      <c r="T67" s="141">
        <f t="shared" si="53"/>
        <v>30</v>
      </c>
      <c r="U67" s="51">
        <f t="shared" si="53"/>
        <v>54</v>
      </c>
      <c r="V67" s="47"/>
    </row>
    <row r="68" spans="1:22" s="290" customFormat="1">
      <c r="A68" s="141"/>
      <c r="C68" s="71">
        <f t="shared" si="52"/>
        <v>12.5</v>
      </c>
      <c r="D68" s="141">
        <f t="shared" si="52"/>
        <v>34</v>
      </c>
      <c r="E68" s="141">
        <f t="shared" si="52"/>
        <v>8.5</v>
      </c>
      <c r="F68" s="141">
        <f t="shared" si="52"/>
        <v>50.5</v>
      </c>
      <c r="G68" s="51">
        <f t="shared" si="52"/>
        <v>55</v>
      </c>
      <c r="H68" s="141"/>
      <c r="I68" s="49"/>
      <c r="J68" s="48">
        <f t="shared" si="50"/>
        <v>32</v>
      </c>
      <c r="K68" s="49">
        <f t="shared" si="50"/>
        <v>41.5</v>
      </c>
      <c r="L68" s="49">
        <f t="shared" si="50"/>
        <v>17</v>
      </c>
      <c r="M68" s="49">
        <f t="shared" si="50"/>
        <v>52</v>
      </c>
      <c r="N68" s="57">
        <f t="shared" si="50"/>
        <v>47</v>
      </c>
      <c r="O68" s="14"/>
      <c r="P68" s="141"/>
      <c r="Q68" s="71">
        <f t="shared" si="53"/>
        <v>8</v>
      </c>
      <c r="R68" s="141">
        <f t="shared" si="53"/>
        <v>22.5</v>
      </c>
      <c r="S68" s="141">
        <f t="shared" si="53"/>
        <v>35</v>
      </c>
      <c r="T68" s="141">
        <f t="shared" si="53"/>
        <v>42</v>
      </c>
      <c r="U68" s="51">
        <f t="shared" si="53"/>
        <v>17</v>
      </c>
      <c r="V68" s="47"/>
    </row>
    <row r="69" spans="1:22" s="290" customFormat="1">
      <c r="A69" s="141"/>
      <c r="B69" s="291"/>
      <c r="C69" s="59">
        <f t="shared" si="52"/>
        <v>12.5</v>
      </c>
      <c r="D69" s="54">
        <f t="shared" si="52"/>
        <v>34</v>
      </c>
      <c r="E69" s="54">
        <f t="shared" si="52"/>
        <v>24</v>
      </c>
      <c r="F69" s="54">
        <f t="shared" si="52"/>
        <v>24</v>
      </c>
      <c r="G69" s="55">
        <f t="shared" si="52"/>
        <v>55</v>
      </c>
      <c r="H69" s="141"/>
      <c r="I69" s="49"/>
      <c r="J69" s="52">
        <f>_xlfn.RANK.AVG(J53,$J$42:$N$53,1)</f>
        <v>30.5</v>
      </c>
      <c r="K69" s="53">
        <f t="shared" ref="K69:N69" si="54">_xlfn.RANK.AVG(K53,$J$42:$N$53,1)</f>
        <v>25</v>
      </c>
      <c r="L69" s="53">
        <f t="shared" si="54"/>
        <v>52</v>
      </c>
      <c r="M69" s="53">
        <f t="shared" si="54"/>
        <v>45</v>
      </c>
      <c r="N69" s="79">
        <f t="shared" si="54"/>
        <v>38.5</v>
      </c>
      <c r="O69" s="14"/>
      <c r="P69" s="141"/>
      <c r="Q69" s="59">
        <f t="shared" si="53"/>
        <v>24</v>
      </c>
      <c r="R69" s="54">
        <f t="shared" si="53"/>
        <v>47</v>
      </c>
      <c r="S69" s="54">
        <f t="shared" si="53"/>
        <v>1</v>
      </c>
      <c r="T69" s="54">
        <f t="shared" si="53"/>
        <v>40</v>
      </c>
      <c r="U69" s="55">
        <f t="shared" si="53"/>
        <v>59</v>
      </c>
      <c r="V69" s="47"/>
    </row>
    <row r="70" spans="1:22" s="290" customFormat="1">
      <c r="A70" s="141"/>
      <c r="B70" s="195" t="s">
        <v>199</v>
      </c>
      <c r="C70" s="196">
        <f>SUM(C58:C69)</f>
        <v>253</v>
      </c>
      <c r="D70" s="196">
        <f t="shared" ref="D70" si="55">SUM(D58:D69)</f>
        <v>297.5</v>
      </c>
      <c r="E70" s="196">
        <f t="shared" ref="E70" si="56">SUM(E58:E69)</f>
        <v>254.5</v>
      </c>
      <c r="F70" s="196">
        <f t="shared" ref="F70" si="57">SUM(F58:F69)</f>
        <v>394</v>
      </c>
      <c r="G70" s="196">
        <f t="shared" ref="G70" si="58">SUM(G58:G69)</f>
        <v>631</v>
      </c>
      <c r="H70" s="141"/>
      <c r="I70" s="355" t="s">
        <v>199</v>
      </c>
      <c r="J70" s="211">
        <f>SUM(J58:J69)</f>
        <v>292</v>
      </c>
      <c r="K70" s="211">
        <f t="shared" ref="K70:N70" si="59">SUM(K58:K69)</f>
        <v>341.5</v>
      </c>
      <c r="L70" s="211">
        <f t="shared" si="59"/>
        <v>304</v>
      </c>
      <c r="M70" s="211">
        <f t="shared" si="59"/>
        <v>509.5</v>
      </c>
      <c r="N70" s="211">
        <f t="shared" si="59"/>
        <v>383</v>
      </c>
      <c r="O70" s="14"/>
      <c r="P70" s="195" t="s">
        <v>199</v>
      </c>
      <c r="Q70" s="196">
        <f>SUM(Q58:Q69)</f>
        <v>344.5</v>
      </c>
      <c r="R70" s="196">
        <f t="shared" ref="R70" si="60">SUM(R58:R69)</f>
        <v>345.5</v>
      </c>
      <c r="S70" s="196">
        <f t="shared" ref="S70" si="61">SUM(S58:S69)</f>
        <v>290.5</v>
      </c>
      <c r="T70" s="196">
        <f t="shared" ref="T70" si="62">SUM(T58:T69)</f>
        <v>372</v>
      </c>
      <c r="U70" s="196">
        <f t="shared" ref="U70" si="63">SUM(U58:U69)</f>
        <v>477.5</v>
      </c>
      <c r="V70" s="47"/>
    </row>
    <row r="71" spans="1:22" s="290" customFormat="1">
      <c r="A71" s="141"/>
      <c r="B71" s="348" t="s">
        <v>200</v>
      </c>
      <c r="C71" s="337">
        <f>COUNT(C58:C69)</f>
        <v>12</v>
      </c>
      <c r="D71" s="337">
        <f t="shared" ref="D71:G71" si="64">COUNT(D58:D69)</f>
        <v>12</v>
      </c>
      <c r="E71" s="337">
        <f t="shared" si="64"/>
        <v>12</v>
      </c>
      <c r="F71" s="337">
        <f t="shared" si="64"/>
        <v>12</v>
      </c>
      <c r="G71" s="337">
        <f t="shared" si="64"/>
        <v>12</v>
      </c>
      <c r="H71" s="141"/>
      <c r="I71" s="356" t="s">
        <v>200</v>
      </c>
      <c r="J71" s="211">
        <f>COUNT(J58:J69)</f>
        <v>12</v>
      </c>
      <c r="K71" s="211">
        <f t="shared" ref="K71:N71" si="65">COUNT(K58:K69)</f>
        <v>12</v>
      </c>
      <c r="L71" s="211">
        <f t="shared" si="65"/>
        <v>12</v>
      </c>
      <c r="M71" s="211">
        <f t="shared" si="65"/>
        <v>12</v>
      </c>
      <c r="N71" s="211">
        <f t="shared" si="65"/>
        <v>12</v>
      </c>
      <c r="O71" s="14"/>
      <c r="P71" s="349" t="s">
        <v>200</v>
      </c>
      <c r="Q71" s="337">
        <f>COUNT(Q58:Q69)</f>
        <v>12</v>
      </c>
      <c r="R71" s="337">
        <f t="shared" ref="R71:U71" si="66">COUNT(R58:R69)</f>
        <v>12</v>
      </c>
      <c r="S71" s="337">
        <f t="shared" si="66"/>
        <v>12</v>
      </c>
      <c r="T71" s="337">
        <f t="shared" si="66"/>
        <v>12</v>
      </c>
      <c r="U71" s="337">
        <f t="shared" si="66"/>
        <v>12</v>
      </c>
      <c r="V71" s="47"/>
    </row>
    <row r="72" spans="1:22" s="290" customFormat="1">
      <c r="A72" s="141"/>
      <c r="B72" s="195" t="s">
        <v>201</v>
      </c>
      <c r="C72" s="338">
        <f>C70^2/C71</f>
        <v>5334.083333333333</v>
      </c>
      <c r="D72" s="338">
        <f t="shared" ref="D72" si="67">D70^2/D71</f>
        <v>7375.520833333333</v>
      </c>
      <c r="E72" s="338">
        <f t="shared" ref="E72" si="68">E70^2/E71</f>
        <v>5397.520833333333</v>
      </c>
      <c r="F72" s="338">
        <f t="shared" ref="F72" si="69">F70^2/F71</f>
        <v>12936.333333333334</v>
      </c>
      <c r="G72" s="338">
        <f t="shared" ref="G72" si="70">G70^2/G71</f>
        <v>33180.083333333336</v>
      </c>
      <c r="H72" s="141"/>
      <c r="I72" s="355" t="s">
        <v>201</v>
      </c>
      <c r="J72" s="341">
        <f>J70^2/J71</f>
        <v>7105.333333333333</v>
      </c>
      <c r="K72" s="341">
        <f t="shared" ref="K72" si="71">K70^2/K71</f>
        <v>9718.5208333333339</v>
      </c>
      <c r="L72" s="341">
        <f t="shared" ref="L72" si="72">L70^2/L71</f>
        <v>7701.333333333333</v>
      </c>
      <c r="M72" s="341">
        <f t="shared" ref="M72" si="73">M70^2/M71</f>
        <v>21632.520833333332</v>
      </c>
      <c r="N72" s="341">
        <f t="shared" ref="N72" si="74">N70^2/N71</f>
        <v>12224.083333333334</v>
      </c>
      <c r="O72" s="14"/>
      <c r="P72" s="195" t="s">
        <v>201</v>
      </c>
      <c r="Q72" s="338">
        <f>Q70^2/Q71</f>
        <v>9890.0208333333339</v>
      </c>
      <c r="R72" s="338">
        <f t="shared" ref="R72" si="75">R70^2/R71</f>
        <v>9947.5208333333339</v>
      </c>
      <c r="S72" s="338">
        <f t="shared" ref="S72" si="76">S70^2/S71</f>
        <v>7032.520833333333</v>
      </c>
      <c r="T72" s="338">
        <f t="shared" ref="T72" si="77">T70^2/T71</f>
        <v>11532</v>
      </c>
      <c r="U72" s="338">
        <f t="shared" ref="U72" si="78">U70^2/U71</f>
        <v>19000.520833333332</v>
      </c>
      <c r="V72" s="47"/>
    </row>
    <row r="73" spans="1:22" s="290" customFormat="1">
      <c r="A73" s="141"/>
      <c r="B73" s="350" t="s">
        <v>108</v>
      </c>
      <c r="C73" s="506">
        <f>SUM(C71:G71)</f>
        <v>60</v>
      </c>
      <c r="D73" s="506"/>
      <c r="E73" s="506"/>
      <c r="F73" s="506"/>
      <c r="G73" s="506"/>
      <c r="H73" s="141"/>
      <c r="I73" s="357" t="s">
        <v>108</v>
      </c>
      <c r="J73" s="517">
        <f>SUM(J71:N71)</f>
        <v>60</v>
      </c>
      <c r="K73" s="517"/>
      <c r="L73" s="517"/>
      <c r="M73" s="517"/>
      <c r="N73" s="517"/>
      <c r="O73" s="14"/>
      <c r="P73" s="350" t="s">
        <v>108</v>
      </c>
      <c r="Q73" s="506">
        <f>SUM(Q71:U71)</f>
        <v>60</v>
      </c>
      <c r="R73" s="506"/>
      <c r="S73" s="506"/>
      <c r="T73" s="506"/>
      <c r="U73" s="506"/>
      <c r="V73" s="47"/>
    </row>
    <row r="74" spans="1:22" s="290" customFormat="1">
      <c r="A74" s="141"/>
      <c r="B74" s="195" t="s">
        <v>202</v>
      </c>
      <c r="C74" s="507">
        <f>12/(C73*(C73+1))*SUM(C72:G72)-3*(C73+1)</f>
        <v>27.56898907103826</v>
      </c>
      <c r="D74" s="507"/>
      <c r="E74" s="507"/>
      <c r="F74" s="507"/>
      <c r="G74" s="507"/>
      <c r="H74" s="141"/>
      <c r="I74" s="355" t="s">
        <v>202</v>
      </c>
      <c r="J74" s="518">
        <f>12/(J73*(J73+1))*SUM(J72:N72)-3*(J73+1)</f>
        <v>8.4157103825136517</v>
      </c>
      <c r="K74" s="518"/>
      <c r="L74" s="518"/>
      <c r="M74" s="518"/>
      <c r="N74" s="518"/>
      <c r="O74" s="14"/>
      <c r="P74" s="195" t="s">
        <v>202</v>
      </c>
      <c r="Q74" s="507">
        <f>12/(Q73*(Q73+1))*SUM(Q72:U72)-3*(Q73+1)</f>
        <v>5.2051912568305738</v>
      </c>
      <c r="R74" s="507"/>
      <c r="S74" s="507"/>
      <c r="T74" s="507"/>
      <c r="U74" s="507"/>
      <c r="V74" s="47"/>
    </row>
    <row r="75" spans="1:22" s="290" customFormat="1">
      <c r="A75" s="141"/>
      <c r="B75" s="195" t="s">
        <v>203</v>
      </c>
      <c r="C75" s="495">
        <f>COUNTA(C57:G57)-1</f>
        <v>4</v>
      </c>
      <c r="D75" s="495"/>
      <c r="E75" s="495"/>
      <c r="F75" s="495"/>
      <c r="G75" s="495"/>
      <c r="H75" s="141"/>
      <c r="I75" s="355" t="s">
        <v>203</v>
      </c>
      <c r="J75" s="496">
        <f>COUNTA(J57:N57)-1</f>
        <v>4</v>
      </c>
      <c r="K75" s="496"/>
      <c r="L75" s="496"/>
      <c r="M75" s="496"/>
      <c r="N75" s="496"/>
      <c r="O75" s="14"/>
      <c r="P75" s="349" t="s">
        <v>203</v>
      </c>
      <c r="Q75" s="504">
        <v>4</v>
      </c>
      <c r="R75" s="504"/>
      <c r="S75" s="504"/>
      <c r="T75" s="504"/>
      <c r="U75" s="504"/>
      <c r="V75" s="47"/>
    </row>
    <row r="76" spans="1:22" s="290" customFormat="1">
      <c r="A76" s="141"/>
      <c r="B76" s="195" t="s">
        <v>204</v>
      </c>
      <c r="C76" s="501">
        <f>CHIDIST(C74,C75)</f>
        <v>1.5250236139791977E-5</v>
      </c>
      <c r="D76" s="501"/>
      <c r="E76" s="501"/>
      <c r="F76" s="501"/>
      <c r="G76" s="501"/>
      <c r="H76" s="141"/>
      <c r="I76" s="355" t="s">
        <v>204</v>
      </c>
      <c r="J76" s="503">
        <f>CHIDIST(J74,J75)</f>
        <v>7.7483746143807056E-2</v>
      </c>
      <c r="K76" s="503"/>
      <c r="L76" s="503"/>
      <c r="M76" s="503"/>
      <c r="N76" s="503"/>
      <c r="O76" s="14"/>
      <c r="P76" s="349" t="s">
        <v>204</v>
      </c>
      <c r="Q76" s="505">
        <v>1.525E-5</v>
      </c>
      <c r="R76" s="505"/>
      <c r="S76" s="505"/>
      <c r="T76" s="505"/>
      <c r="U76" s="505"/>
      <c r="V76" s="47"/>
    </row>
    <row r="77" spans="1:22" s="290" customFormat="1">
      <c r="A77" s="141"/>
      <c r="B77" s="195" t="s">
        <v>107</v>
      </c>
      <c r="C77" s="495">
        <v>0.05</v>
      </c>
      <c r="D77" s="495"/>
      <c r="E77" s="495"/>
      <c r="F77" s="495"/>
      <c r="G77" s="495"/>
      <c r="H77" s="141"/>
      <c r="I77" s="355" t="s">
        <v>107</v>
      </c>
      <c r="J77" s="496">
        <v>0.05</v>
      </c>
      <c r="K77" s="496"/>
      <c r="L77" s="496"/>
      <c r="M77" s="496"/>
      <c r="N77" s="496"/>
      <c r="O77" s="14"/>
      <c r="P77" s="349" t="s">
        <v>107</v>
      </c>
      <c r="Q77" s="504">
        <v>0.05</v>
      </c>
      <c r="R77" s="504"/>
      <c r="S77" s="504"/>
      <c r="T77" s="504"/>
      <c r="U77" s="504"/>
      <c r="V77" s="47"/>
    </row>
    <row r="78" spans="1:22" s="290" customFormat="1">
      <c r="A78" s="141"/>
      <c r="B78" s="195" t="s">
        <v>177</v>
      </c>
      <c r="C78" s="495" t="str">
        <f>IF(C76&lt;C77, "Yes", "No")</f>
        <v>Yes</v>
      </c>
      <c r="D78" s="495"/>
      <c r="E78" s="495"/>
      <c r="F78" s="495"/>
      <c r="G78" s="495"/>
      <c r="H78" s="141"/>
      <c r="I78" s="355" t="s">
        <v>177</v>
      </c>
      <c r="J78" s="496" t="str">
        <f>IF(J76&lt;J77, "Yes", "No")</f>
        <v>No</v>
      </c>
      <c r="K78" s="496"/>
      <c r="L78" s="496"/>
      <c r="M78" s="496"/>
      <c r="N78" s="496"/>
      <c r="O78" s="14"/>
      <c r="P78" s="195" t="s">
        <v>177</v>
      </c>
      <c r="Q78" s="495" t="str">
        <f>IF(Q76&lt;Q77, "Yes", "No")</f>
        <v>Yes</v>
      </c>
      <c r="R78" s="495"/>
      <c r="S78" s="495"/>
      <c r="T78" s="495"/>
      <c r="U78" s="495"/>
      <c r="V78" s="47"/>
    </row>
    <row r="79" spans="1:22" s="290" customFormat="1">
      <c r="A79" s="141"/>
      <c r="B79" s="289"/>
      <c r="C79" s="198"/>
      <c r="D79" s="198"/>
      <c r="E79" s="198"/>
      <c r="F79" s="198"/>
      <c r="G79" s="198"/>
      <c r="H79" s="141"/>
      <c r="I79" s="358"/>
      <c r="J79" s="344"/>
      <c r="K79" s="344"/>
      <c r="L79" s="344"/>
      <c r="M79" s="344"/>
      <c r="N79" s="344"/>
      <c r="O79" s="14"/>
      <c r="P79" s="289"/>
      <c r="Q79" s="198"/>
      <c r="R79" s="198"/>
      <c r="S79" s="198"/>
      <c r="T79" s="198"/>
      <c r="U79" s="198"/>
      <c r="V79" s="47"/>
    </row>
    <row r="80" spans="1:22" s="290" customFormat="1">
      <c r="B80" s="188"/>
      <c r="C80" s="47"/>
      <c r="D80" s="47"/>
      <c r="E80" s="47"/>
      <c r="F80" s="47"/>
      <c r="G80" s="47"/>
      <c r="H80" s="141"/>
      <c r="I80" s="49"/>
      <c r="J80" s="13"/>
      <c r="K80" s="13"/>
      <c r="L80" s="13"/>
      <c r="M80" s="13"/>
      <c r="N80" s="13"/>
      <c r="O80" s="14"/>
      <c r="P80" s="141"/>
      <c r="Q80" s="47"/>
      <c r="R80" s="47"/>
      <c r="S80" s="47"/>
      <c r="T80" s="47"/>
      <c r="U80" s="47"/>
      <c r="V80" s="47"/>
    </row>
    <row r="81" spans="1:22" s="293" customFormat="1">
      <c r="B81" s="303"/>
      <c r="C81" s="474" t="s">
        <v>198</v>
      </c>
      <c r="D81" s="475"/>
      <c r="E81" s="475"/>
      <c r="F81" s="475"/>
      <c r="G81" s="476"/>
      <c r="H81" s="37"/>
      <c r="I81" s="230"/>
      <c r="J81" s="477" t="s">
        <v>198</v>
      </c>
      <c r="K81" s="478"/>
      <c r="L81" s="478"/>
      <c r="M81" s="478"/>
      <c r="N81" s="479"/>
      <c r="O81" s="37"/>
      <c r="P81" s="37"/>
      <c r="Q81" s="474" t="s">
        <v>198</v>
      </c>
      <c r="R81" s="475"/>
      <c r="S81" s="475"/>
      <c r="T81" s="475"/>
      <c r="U81" s="476"/>
      <c r="V81" s="95"/>
    </row>
    <row r="82" spans="1:22" s="303" customFormat="1">
      <c r="B82" s="304" t="s">
        <v>0</v>
      </c>
      <c r="C82" s="89" t="s">
        <v>69</v>
      </c>
      <c r="D82" s="90" t="s">
        <v>70</v>
      </c>
      <c r="E82" s="90" t="s">
        <v>71</v>
      </c>
      <c r="F82" s="90" t="s">
        <v>72</v>
      </c>
      <c r="G82" s="91" t="s">
        <v>73</v>
      </c>
      <c r="H82" s="305"/>
      <c r="I82" s="353"/>
      <c r="J82" s="312" t="s">
        <v>165</v>
      </c>
      <c r="K82" s="313" t="s">
        <v>166</v>
      </c>
      <c r="L82" s="313" t="s">
        <v>167</v>
      </c>
      <c r="M82" s="313" t="s">
        <v>168</v>
      </c>
      <c r="N82" s="314" t="s">
        <v>169</v>
      </c>
      <c r="O82" s="305"/>
      <c r="P82" s="305"/>
      <c r="Q82" s="89" t="s">
        <v>98</v>
      </c>
      <c r="R82" s="90" t="s">
        <v>99</v>
      </c>
      <c r="S82" s="90" t="s">
        <v>100</v>
      </c>
      <c r="T82" s="90" t="s">
        <v>101</v>
      </c>
      <c r="U82" s="91" t="s">
        <v>102</v>
      </c>
      <c r="V82" s="307"/>
    </row>
    <row r="83" spans="1:22" s="293" customFormat="1">
      <c r="A83" s="408" t="s">
        <v>105</v>
      </c>
      <c r="B83" s="308" t="s">
        <v>55</v>
      </c>
      <c r="C83" s="92">
        <v>0</v>
      </c>
      <c r="D83" s="93">
        <v>15</v>
      </c>
      <c r="E83" s="93">
        <v>26</v>
      </c>
      <c r="F83" s="93">
        <v>28</v>
      </c>
      <c r="G83" s="94">
        <v>34</v>
      </c>
      <c r="H83" s="37"/>
      <c r="I83" s="230"/>
      <c r="J83" s="342">
        <v>10.1</v>
      </c>
      <c r="K83" s="331">
        <v>4.2</v>
      </c>
      <c r="L83" s="331">
        <v>7.3</v>
      </c>
      <c r="M83" s="331">
        <v>4.2</v>
      </c>
      <c r="N83" s="343">
        <v>7.3</v>
      </c>
      <c r="O83" s="37"/>
      <c r="P83" s="37"/>
      <c r="Q83" s="92">
        <v>153</v>
      </c>
      <c r="R83" s="93">
        <v>176</v>
      </c>
      <c r="S83" s="93">
        <v>239</v>
      </c>
      <c r="T83" s="93">
        <v>230</v>
      </c>
      <c r="U83" s="94">
        <v>246</v>
      </c>
      <c r="V83" s="95"/>
    </row>
    <row r="84" spans="1:22" s="293" customFormat="1">
      <c r="A84" s="409"/>
      <c r="B84" s="309" t="s">
        <v>56</v>
      </c>
      <c r="C84" s="38">
        <v>7</v>
      </c>
      <c r="D84" s="37">
        <v>16</v>
      </c>
      <c r="E84" s="37">
        <v>20</v>
      </c>
      <c r="F84" s="37">
        <v>14</v>
      </c>
      <c r="G84" s="39">
        <v>32</v>
      </c>
      <c r="H84" s="37"/>
      <c r="I84" s="230"/>
      <c r="J84" s="315">
        <v>3.5</v>
      </c>
      <c r="K84" s="230">
        <v>5.6</v>
      </c>
      <c r="L84" s="230">
        <v>7.7</v>
      </c>
      <c r="M84" s="230">
        <v>7.1</v>
      </c>
      <c r="N84" s="316">
        <v>8.1</v>
      </c>
      <c r="O84" s="37"/>
      <c r="P84" s="37"/>
      <c r="Q84" s="38">
        <v>212</v>
      </c>
      <c r="R84" s="37">
        <v>221</v>
      </c>
      <c r="S84" s="37">
        <v>223</v>
      </c>
      <c r="T84" s="37">
        <v>181</v>
      </c>
      <c r="U84" s="39">
        <v>261</v>
      </c>
      <c r="V84" s="95"/>
    </row>
    <row r="85" spans="1:22" s="293" customFormat="1">
      <c r="A85" s="409"/>
      <c r="B85" s="309" t="s">
        <v>57</v>
      </c>
      <c r="C85" s="38">
        <v>12</v>
      </c>
      <c r="D85" s="37">
        <v>24</v>
      </c>
      <c r="E85" s="37">
        <v>19</v>
      </c>
      <c r="F85" s="37">
        <v>21</v>
      </c>
      <c r="G85" s="39">
        <v>29</v>
      </c>
      <c r="H85" s="37"/>
      <c r="I85" s="230"/>
      <c r="J85" s="315">
        <v>8.6999999999999993</v>
      </c>
      <c r="K85" s="230">
        <v>7.7</v>
      </c>
      <c r="L85" s="230">
        <v>8.3000000000000007</v>
      </c>
      <c r="M85" s="230">
        <v>7.8</v>
      </c>
      <c r="N85" s="316">
        <v>6.9</v>
      </c>
      <c r="O85" s="37"/>
      <c r="P85" s="37"/>
      <c r="Q85" s="38">
        <v>201</v>
      </c>
      <c r="R85" s="37">
        <v>274</v>
      </c>
      <c r="S85" s="37">
        <v>228</v>
      </c>
      <c r="T85" s="37">
        <v>320</v>
      </c>
      <c r="U85" s="39">
        <v>313</v>
      </c>
      <c r="V85" s="95"/>
    </row>
    <row r="86" spans="1:22" s="95" customFormat="1">
      <c r="A86" s="409"/>
      <c r="B86" s="309" t="s">
        <v>58</v>
      </c>
      <c r="C86" s="38">
        <v>2</v>
      </c>
      <c r="D86" s="37">
        <v>23</v>
      </c>
      <c r="E86" s="37">
        <v>28</v>
      </c>
      <c r="F86" s="37">
        <v>40</v>
      </c>
      <c r="G86" s="39">
        <v>37</v>
      </c>
      <c r="H86" s="37"/>
      <c r="I86" s="230"/>
      <c r="J86" s="315">
        <v>9.1999999999999993</v>
      </c>
      <c r="K86" s="230">
        <v>6.1</v>
      </c>
      <c r="L86" s="230">
        <v>8.4</v>
      </c>
      <c r="M86" s="230">
        <v>6.4</v>
      </c>
      <c r="N86" s="316">
        <v>8.3000000000000007</v>
      </c>
      <c r="O86" s="37"/>
      <c r="P86" s="37"/>
      <c r="Q86" s="38">
        <v>61</v>
      </c>
      <c r="R86" s="37">
        <v>138</v>
      </c>
      <c r="S86" s="37">
        <v>218</v>
      </c>
      <c r="T86" s="37">
        <v>331</v>
      </c>
      <c r="U86" s="39">
        <v>234</v>
      </c>
    </row>
    <row r="87" spans="1:22" s="95" customFormat="1">
      <c r="A87" s="409"/>
      <c r="B87" s="309" t="s">
        <v>59</v>
      </c>
      <c r="C87" s="38">
        <v>18</v>
      </c>
      <c r="D87" s="37">
        <v>4</v>
      </c>
      <c r="E87" s="37">
        <v>31</v>
      </c>
      <c r="F87" s="37">
        <v>37</v>
      </c>
      <c r="G87" s="39">
        <v>20</v>
      </c>
      <c r="H87" s="37"/>
      <c r="I87" s="230"/>
      <c r="J87" s="315">
        <v>6.5</v>
      </c>
      <c r="K87" s="230">
        <v>7.3</v>
      </c>
      <c r="L87" s="230">
        <v>9.1</v>
      </c>
      <c r="M87" s="230">
        <v>6.7</v>
      </c>
      <c r="N87" s="316">
        <v>7.2</v>
      </c>
      <c r="O87" s="37"/>
      <c r="P87" s="37"/>
      <c r="Q87" s="38">
        <v>238</v>
      </c>
      <c r="R87" s="37">
        <v>31</v>
      </c>
      <c r="S87" s="37">
        <v>338</v>
      </c>
      <c r="T87" s="37">
        <v>194</v>
      </c>
      <c r="U87" s="39">
        <v>238</v>
      </c>
    </row>
    <row r="88" spans="1:22" s="95" customFormat="1">
      <c r="A88" s="409"/>
      <c r="B88" s="309" t="s">
        <v>60</v>
      </c>
      <c r="C88" s="38">
        <v>14</v>
      </c>
      <c r="D88" s="37">
        <v>20</v>
      </c>
      <c r="E88" s="37">
        <v>22</v>
      </c>
      <c r="F88" s="37">
        <v>56</v>
      </c>
      <c r="G88" s="39">
        <v>52</v>
      </c>
      <c r="H88" s="37"/>
      <c r="I88" s="230"/>
      <c r="J88" s="315">
        <v>6.4</v>
      </c>
      <c r="K88" s="230">
        <v>8</v>
      </c>
      <c r="L88" s="230">
        <v>8.1999999999999993</v>
      </c>
      <c r="M88" s="230">
        <v>8.1</v>
      </c>
      <c r="N88" s="316">
        <v>6.4</v>
      </c>
      <c r="O88" s="37"/>
      <c r="P88" s="37"/>
      <c r="Q88" s="38">
        <v>193</v>
      </c>
      <c r="R88" s="37">
        <v>375</v>
      </c>
      <c r="S88" s="37">
        <v>216</v>
      </c>
      <c r="T88" s="37">
        <v>236</v>
      </c>
      <c r="U88" s="39">
        <v>205</v>
      </c>
    </row>
    <row r="89" spans="1:22" s="95" customFormat="1">
      <c r="A89" s="409"/>
      <c r="B89" s="309" t="s">
        <v>61</v>
      </c>
      <c r="C89" s="38">
        <v>22</v>
      </c>
      <c r="D89" s="37">
        <v>31</v>
      </c>
      <c r="E89" s="37">
        <v>26</v>
      </c>
      <c r="F89" s="37">
        <v>27</v>
      </c>
      <c r="G89" s="39">
        <v>40</v>
      </c>
      <c r="H89" s="37"/>
      <c r="I89" s="230"/>
      <c r="J89" s="315">
        <v>4</v>
      </c>
      <c r="K89" s="230">
        <v>3.2</v>
      </c>
      <c r="L89" s="230">
        <v>4.7</v>
      </c>
      <c r="M89" s="230">
        <v>5.8</v>
      </c>
      <c r="N89" s="316">
        <v>6.5</v>
      </c>
      <c r="O89" s="37"/>
      <c r="P89" s="37"/>
      <c r="Q89" s="38">
        <v>66</v>
      </c>
      <c r="R89" s="37">
        <v>326</v>
      </c>
      <c r="S89" s="37">
        <v>217</v>
      </c>
      <c r="T89" s="37">
        <v>316</v>
      </c>
      <c r="U89" s="39">
        <v>364</v>
      </c>
    </row>
    <row r="90" spans="1:22" s="95" customFormat="1">
      <c r="A90" s="409"/>
      <c r="B90" s="309" t="s">
        <v>62</v>
      </c>
      <c r="C90" s="38">
        <v>17</v>
      </c>
      <c r="D90" s="37">
        <v>11</v>
      </c>
      <c r="E90" s="37">
        <v>16</v>
      </c>
      <c r="F90" s="37">
        <v>19</v>
      </c>
      <c r="G90" s="39">
        <v>23</v>
      </c>
      <c r="H90" s="37"/>
      <c r="I90" s="230"/>
      <c r="J90" s="315">
        <v>8.8000000000000007</v>
      </c>
      <c r="K90" s="230">
        <v>5.7</v>
      </c>
      <c r="L90" s="230">
        <v>8.1999999999999993</v>
      </c>
      <c r="M90" s="230">
        <v>6.7</v>
      </c>
      <c r="N90" s="316">
        <v>7.4</v>
      </c>
      <c r="O90" s="37"/>
      <c r="P90" s="37"/>
      <c r="Q90" s="38">
        <v>167</v>
      </c>
      <c r="R90" s="37">
        <v>150</v>
      </c>
      <c r="S90" s="37">
        <v>204</v>
      </c>
      <c r="T90" s="37">
        <v>283</v>
      </c>
      <c r="U90" s="39">
        <v>378</v>
      </c>
    </row>
    <row r="91" spans="1:22" s="95" customFormat="1">
      <c r="A91" s="409"/>
      <c r="B91" s="309" t="s">
        <v>63</v>
      </c>
      <c r="C91" s="38">
        <v>0</v>
      </c>
      <c r="D91" s="37">
        <v>16</v>
      </c>
      <c r="E91" s="37">
        <v>30</v>
      </c>
      <c r="F91" s="37">
        <v>27</v>
      </c>
      <c r="G91" s="39">
        <v>39</v>
      </c>
      <c r="H91" s="37"/>
      <c r="I91" s="230"/>
      <c r="J91" s="315">
        <v>6.5</v>
      </c>
      <c r="K91" s="230">
        <v>2.2000000000000002</v>
      </c>
      <c r="L91" s="230">
        <v>11.7</v>
      </c>
      <c r="M91" s="230">
        <v>7.8</v>
      </c>
      <c r="N91" s="316">
        <v>6.6</v>
      </c>
      <c r="O91" s="37"/>
      <c r="P91" s="37"/>
      <c r="Q91" s="38">
        <v>289</v>
      </c>
      <c r="R91" s="37">
        <v>367</v>
      </c>
      <c r="S91" s="37">
        <v>405</v>
      </c>
      <c r="T91" s="37">
        <v>189</v>
      </c>
      <c r="U91" s="39">
        <v>133</v>
      </c>
    </row>
    <row r="92" spans="1:22" s="95" customFormat="1">
      <c r="A92" s="409"/>
      <c r="B92" s="309" t="s">
        <v>64</v>
      </c>
      <c r="C92" s="38">
        <v>11</v>
      </c>
      <c r="D92" s="37">
        <v>27</v>
      </c>
      <c r="E92" s="37">
        <v>7</v>
      </c>
      <c r="F92" s="37">
        <v>45</v>
      </c>
      <c r="G92" s="39">
        <v>20</v>
      </c>
      <c r="H92" s="37"/>
      <c r="I92" s="230"/>
      <c r="J92" s="315">
        <v>6.5</v>
      </c>
      <c r="K92" s="230">
        <v>8.1999999999999993</v>
      </c>
      <c r="L92" s="230">
        <v>6.9</v>
      </c>
      <c r="M92" s="230">
        <v>5.4</v>
      </c>
      <c r="N92" s="316">
        <v>8.1</v>
      </c>
      <c r="O92" s="37"/>
      <c r="P92" s="37"/>
      <c r="Q92" s="38">
        <v>297</v>
      </c>
      <c r="R92" s="37">
        <v>253</v>
      </c>
      <c r="S92" s="37">
        <v>199</v>
      </c>
      <c r="T92" s="37">
        <v>405</v>
      </c>
      <c r="U92" s="39">
        <v>302</v>
      </c>
    </row>
    <row r="93" spans="1:22" s="95" customFormat="1">
      <c r="A93" s="409"/>
      <c r="B93" s="309" t="s">
        <v>65</v>
      </c>
      <c r="C93" s="38">
        <v>6</v>
      </c>
      <c r="D93" s="37">
        <v>25</v>
      </c>
      <c r="E93" s="37">
        <v>6</v>
      </c>
      <c r="F93" s="37">
        <v>15</v>
      </c>
      <c r="G93" s="39">
        <v>15</v>
      </c>
      <c r="H93" s="37"/>
      <c r="I93" s="230"/>
      <c r="J93" s="315">
        <v>7.9</v>
      </c>
      <c r="K93" s="230">
        <v>6.8</v>
      </c>
      <c r="L93" s="230">
        <v>8.6</v>
      </c>
      <c r="M93" s="230">
        <v>6.3</v>
      </c>
      <c r="N93" s="316">
        <v>9</v>
      </c>
      <c r="O93" s="37"/>
      <c r="P93" s="37"/>
      <c r="Q93" s="38">
        <v>385</v>
      </c>
      <c r="R93" s="37">
        <v>288</v>
      </c>
      <c r="S93" s="37">
        <v>215</v>
      </c>
      <c r="T93" s="37">
        <v>229</v>
      </c>
      <c r="U93" s="39">
        <v>260</v>
      </c>
    </row>
    <row r="94" spans="1:22" s="95" customFormat="1">
      <c r="A94" s="409"/>
      <c r="B94" s="309" t="s">
        <v>66</v>
      </c>
      <c r="C94" s="38">
        <v>1</v>
      </c>
      <c r="D94" s="37">
        <v>15</v>
      </c>
      <c r="E94" s="37">
        <v>24</v>
      </c>
      <c r="F94" s="37">
        <v>24</v>
      </c>
      <c r="G94" s="39">
        <v>27</v>
      </c>
      <c r="H94" s="37"/>
      <c r="I94" s="230"/>
      <c r="J94" s="315">
        <v>6.3</v>
      </c>
      <c r="K94" s="230">
        <v>4.7</v>
      </c>
      <c r="L94" s="230">
        <v>8.6999999999999993</v>
      </c>
      <c r="M94" s="230">
        <v>7.9</v>
      </c>
      <c r="N94" s="316">
        <v>5.9</v>
      </c>
      <c r="O94" s="37"/>
      <c r="P94" s="37"/>
      <c r="Q94" s="38">
        <v>462</v>
      </c>
      <c r="R94" s="37">
        <v>273</v>
      </c>
      <c r="S94" s="37">
        <v>237</v>
      </c>
      <c r="T94" s="37">
        <v>230</v>
      </c>
      <c r="U94" s="39">
        <v>341</v>
      </c>
    </row>
    <row r="95" spans="1:22" s="95" customFormat="1">
      <c r="A95" s="409"/>
      <c r="B95" s="309" t="s">
        <v>67</v>
      </c>
      <c r="C95" s="38">
        <v>5</v>
      </c>
      <c r="D95" s="37">
        <v>11</v>
      </c>
      <c r="E95" s="37">
        <v>5</v>
      </c>
      <c r="F95" s="37">
        <v>41</v>
      </c>
      <c r="G95" s="39">
        <v>51</v>
      </c>
      <c r="H95" s="37"/>
      <c r="I95" s="230"/>
      <c r="J95" s="315">
        <v>7.4</v>
      </c>
      <c r="K95" s="230">
        <v>4.8</v>
      </c>
      <c r="L95" s="230">
        <v>5.2</v>
      </c>
      <c r="M95" s="230">
        <v>7.2</v>
      </c>
      <c r="N95" s="316">
        <v>7.5</v>
      </c>
      <c r="O95" s="37"/>
      <c r="P95" s="37"/>
      <c r="Q95" s="38">
        <v>266</v>
      </c>
      <c r="R95" s="37">
        <v>242</v>
      </c>
      <c r="S95" s="37">
        <v>237</v>
      </c>
      <c r="T95" s="37">
        <v>253</v>
      </c>
      <c r="U95" s="39">
        <v>328</v>
      </c>
    </row>
    <row r="96" spans="1:22" s="95" customFormat="1">
      <c r="A96" s="410"/>
      <c r="B96" s="310" t="s">
        <v>68</v>
      </c>
      <c r="C96" s="74">
        <v>9</v>
      </c>
      <c r="D96" s="72">
        <v>16</v>
      </c>
      <c r="E96" s="72">
        <v>14</v>
      </c>
      <c r="F96" s="72">
        <v>31</v>
      </c>
      <c r="G96" s="73">
        <v>29</v>
      </c>
      <c r="H96" s="37"/>
      <c r="I96" s="230"/>
      <c r="J96" s="317">
        <v>7.2</v>
      </c>
      <c r="K96" s="311">
        <v>6.9</v>
      </c>
      <c r="L96" s="311">
        <v>7.6</v>
      </c>
      <c r="M96" s="311">
        <v>6.4</v>
      </c>
      <c r="N96" s="318">
        <v>10</v>
      </c>
      <c r="O96" s="37"/>
      <c r="P96" s="37"/>
      <c r="Q96" s="74">
        <v>15</v>
      </c>
      <c r="R96" s="72">
        <v>323</v>
      </c>
      <c r="S96" s="72">
        <v>237</v>
      </c>
      <c r="T96" s="72">
        <v>220</v>
      </c>
      <c r="U96" s="73">
        <v>258</v>
      </c>
    </row>
    <row r="97" spans="2:21" s="293" customFormat="1">
      <c r="B97" s="351" t="s">
        <v>174</v>
      </c>
      <c r="C97" s="293">
        <f>MEDIAN(C83:C96)</f>
        <v>8</v>
      </c>
      <c r="D97" s="293">
        <f t="shared" ref="D97:G97" si="79">MEDIAN(D83:D96)</f>
        <v>16</v>
      </c>
      <c r="E97" s="293">
        <f t="shared" si="79"/>
        <v>21</v>
      </c>
      <c r="F97" s="293">
        <f t="shared" si="79"/>
        <v>27.5</v>
      </c>
      <c r="G97" s="293">
        <f t="shared" si="79"/>
        <v>30.5</v>
      </c>
      <c r="H97" s="298"/>
      <c r="I97" s="354" t="s">
        <v>174</v>
      </c>
      <c r="J97" s="299">
        <f>MEDIAN(J83:J96)</f>
        <v>6.85</v>
      </c>
      <c r="K97" s="299">
        <f t="shared" ref="K97" si="80">MEDIAN(K83:K96)</f>
        <v>5.9</v>
      </c>
      <c r="L97" s="299">
        <f t="shared" ref="L97" si="81">MEDIAN(L83:L96)</f>
        <v>8.1999999999999993</v>
      </c>
      <c r="M97" s="299">
        <f t="shared" ref="M97" si="82">MEDIAN(M83:M96)</f>
        <v>6.7</v>
      </c>
      <c r="N97" s="299">
        <f t="shared" ref="N97" si="83">MEDIAN(N83:N96)</f>
        <v>7.35</v>
      </c>
      <c r="O97" s="298"/>
      <c r="P97" s="351" t="s">
        <v>174</v>
      </c>
      <c r="Q97" s="293">
        <f>MEDIAN(Q83:Q96)</f>
        <v>206.5</v>
      </c>
      <c r="R97" s="293">
        <f t="shared" ref="R97" si="84">MEDIAN(R83:R96)</f>
        <v>263</v>
      </c>
      <c r="S97" s="293">
        <f t="shared" ref="S97" si="85">MEDIAN(S83:S96)</f>
        <v>225.5</v>
      </c>
      <c r="T97" s="293">
        <f t="shared" ref="T97" si="86">MEDIAN(T83:T96)</f>
        <v>233</v>
      </c>
      <c r="U97" s="293">
        <f t="shared" ref="U97" si="87">MEDIAN(U83:U96)</f>
        <v>260.5</v>
      </c>
    </row>
    <row r="98" spans="2:21">
      <c r="B98" s="185"/>
    </row>
    <row r="99" spans="2:21">
      <c r="C99" s="414" t="s">
        <v>197</v>
      </c>
      <c r="D99" s="415"/>
      <c r="E99" s="415"/>
      <c r="F99" s="415"/>
      <c r="G99" s="416"/>
      <c r="J99" s="424" t="s">
        <v>197</v>
      </c>
      <c r="K99" s="425"/>
      <c r="L99" s="425"/>
      <c r="M99" s="425"/>
      <c r="N99" s="426"/>
      <c r="Q99" s="414" t="s">
        <v>197</v>
      </c>
      <c r="R99" s="415"/>
      <c r="S99" s="415"/>
      <c r="T99" s="415"/>
      <c r="U99" s="416"/>
    </row>
    <row r="100" spans="2:21">
      <c r="B100" s="183"/>
      <c r="C100" s="41" t="s">
        <v>69</v>
      </c>
      <c r="D100" s="34" t="s">
        <v>70</v>
      </c>
      <c r="E100" s="34" t="s">
        <v>71</v>
      </c>
      <c r="F100" s="34" t="s">
        <v>72</v>
      </c>
      <c r="G100" s="35" t="s">
        <v>73</v>
      </c>
      <c r="H100" s="32"/>
      <c r="I100" s="202"/>
      <c r="J100" s="139" t="s">
        <v>165</v>
      </c>
      <c r="K100" s="24" t="s">
        <v>166</v>
      </c>
      <c r="L100" s="24" t="s">
        <v>167</v>
      </c>
      <c r="M100" s="24" t="s">
        <v>168</v>
      </c>
      <c r="N100" s="140" t="s">
        <v>169</v>
      </c>
      <c r="O100" s="32"/>
      <c r="P100" s="32"/>
      <c r="Q100" s="41" t="s">
        <v>98</v>
      </c>
      <c r="R100" s="34" t="s">
        <v>99</v>
      </c>
      <c r="S100" s="34" t="s">
        <v>100</v>
      </c>
      <c r="T100" s="34" t="s">
        <v>101</v>
      </c>
      <c r="U100" s="35" t="s">
        <v>102</v>
      </c>
    </row>
    <row r="101" spans="2:21">
      <c r="C101" s="70">
        <f t="shared" ref="C101:C114" si="88">_xlfn.RANK.AVG(C83,$C$83:$G$96,1)</f>
        <v>1.5</v>
      </c>
      <c r="D101" s="45">
        <f t="shared" ref="D101:G101" si="89">_xlfn.RANK.AVG(D83,$C$83:$G$96,1)</f>
        <v>21.5</v>
      </c>
      <c r="E101" s="45">
        <f t="shared" si="89"/>
        <v>45.5</v>
      </c>
      <c r="F101" s="45">
        <f t="shared" si="89"/>
        <v>51.5</v>
      </c>
      <c r="G101" s="46">
        <f t="shared" si="89"/>
        <v>60</v>
      </c>
      <c r="J101" s="43">
        <f t="shared" ref="J101:J114" si="90">_xlfn.RANK.AVG(J83,$J$83:$N$96,1)</f>
        <v>69</v>
      </c>
      <c r="K101" s="44">
        <f t="shared" ref="K101:N101" si="91">_xlfn.RANK.AVG(K83,$J$83:$N$96,1)</f>
        <v>5.5</v>
      </c>
      <c r="L101" s="44">
        <f t="shared" si="91"/>
        <v>39</v>
      </c>
      <c r="M101" s="44">
        <f t="shared" si="91"/>
        <v>5.5</v>
      </c>
      <c r="N101" s="78">
        <f t="shared" si="91"/>
        <v>39</v>
      </c>
      <c r="Q101" s="71">
        <f>_xlfn.RANK.AVG(Q83,$Q$83:$U$96,1)</f>
        <v>8</v>
      </c>
      <c r="R101" s="141">
        <f t="shared" ref="R101:U101" si="92">_xlfn.RANK.AVG(R83,$Q$83:$U$96,1)</f>
        <v>10</v>
      </c>
      <c r="S101" s="141">
        <f t="shared" si="92"/>
        <v>38</v>
      </c>
      <c r="T101" s="141">
        <f t="shared" si="92"/>
        <v>29.5</v>
      </c>
      <c r="U101" s="51">
        <f t="shared" si="92"/>
        <v>40</v>
      </c>
    </row>
    <row r="102" spans="2:21">
      <c r="C102" s="71">
        <f t="shared" si="88"/>
        <v>10.5</v>
      </c>
      <c r="D102" s="141">
        <f t="shared" ref="D102:G114" si="93">_xlfn.RANK.AVG(D84,$C$83:$G$96,1)</f>
        <v>25.5</v>
      </c>
      <c r="E102" s="141">
        <f t="shared" si="93"/>
        <v>33.5</v>
      </c>
      <c r="F102" s="141">
        <f t="shared" si="93"/>
        <v>18</v>
      </c>
      <c r="G102" s="51">
        <f t="shared" si="93"/>
        <v>59</v>
      </c>
      <c r="J102" s="48">
        <f t="shared" si="90"/>
        <v>3</v>
      </c>
      <c r="K102" s="49">
        <f t="shared" ref="K102:N114" si="94">_xlfn.RANK.AVG(K84,$J$83:$N$96,1)</f>
        <v>12</v>
      </c>
      <c r="L102" s="49">
        <f t="shared" si="94"/>
        <v>45.5</v>
      </c>
      <c r="M102" s="49">
        <f t="shared" si="94"/>
        <v>34</v>
      </c>
      <c r="N102" s="57">
        <f t="shared" si="94"/>
        <v>53</v>
      </c>
      <c r="Q102" s="71">
        <f t="shared" ref="Q102:U114" si="95">_xlfn.RANK.AVG(Q84,$Q$83:$U$96,1)</f>
        <v>19</v>
      </c>
      <c r="R102" s="141">
        <f t="shared" si="95"/>
        <v>25</v>
      </c>
      <c r="S102" s="141">
        <f t="shared" si="95"/>
        <v>26</v>
      </c>
      <c r="T102" s="141">
        <f t="shared" si="95"/>
        <v>11</v>
      </c>
      <c r="U102" s="51">
        <f t="shared" si="95"/>
        <v>45</v>
      </c>
    </row>
    <row r="103" spans="2:21">
      <c r="C103" s="71">
        <f t="shared" si="88"/>
        <v>16</v>
      </c>
      <c r="D103" s="141">
        <f t="shared" si="93"/>
        <v>42</v>
      </c>
      <c r="E103" s="141">
        <f t="shared" si="93"/>
        <v>30.5</v>
      </c>
      <c r="F103" s="141">
        <f t="shared" si="93"/>
        <v>36</v>
      </c>
      <c r="G103" s="51">
        <f t="shared" si="93"/>
        <v>53.5</v>
      </c>
      <c r="J103" s="48">
        <f t="shared" si="90"/>
        <v>62.5</v>
      </c>
      <c r="K103" s="49">
        <f t="shared" si="94"/>
        <v>45.5</v>
      </c>
      <c r="L103" s="49">
        <f t="shared" si="94"/>
        <v>58.5</v>
      </c>
      <c r="M103" s="49">
        <f t="shared" si="94"/>
        <v>47.5</v>
      </c>
      <c r="N103" s="57">
        <f t="shared" si="94"/>
        <v>32</v>
      </c>
      <c r="Q103" s="71">
        <f t="shared" si="95"/>
        <v>16</v>
      </c>
      <c r="R103" s="141">
        <f t="shared" si="95"/>
        <v>48</v>
      </c>
      <c r="S103" s="141">
        <f t="shared" si="95"/>
        <v>27</v>
      </c>
      <c r="T103" s="141">
        <f t="shared" si="95"/>
        <v>56</v>
      </c>
      <c r="U103" s="51">
        <f t="shared" si="95"/>
        <v>54</v>
      </c>
    </row>
    <row r="104" spans="2:21">
      <c r="C104" s="71">
        <f t="shared" si="88"/>
        <v>4</v>
      </c>
      <c r="D104" s="141">
        <f t="shared" si="93"/>
        <v>39.5</v>
      </c>
      <c r="E104" s="141">
        <f t="shared" si="93"/>
        <v>51.5</v>
      </c>
      <c r="F104" s="141">
        <f t="shared" si="93"/>
        <v>64.5</v>
      </c>
      <c r="G104" s="51">
        <f t="shared" si="93"/>
        <v>61.5</v>
      </c>
      <c r="J104" s="48">
        <f t="shared" si="90"/>
        <v>67</v>
      </c>
      <c r="K104" s="49">
        <f t="shared" si="94"/>
        <v>16</v>
      </c>
      <c r="L104" s="49">
        <f t="shared" si="94"/>
        <v>60</v>
      </c>
      <c r="M104" s="49">
        <f t="shared" si="94"/>
        <v>20.5</v>
      </c>
      <c r="N104" s="57">
        <f t="shared" si="94"/>
        <v>58.5</v>
      </c>
      <c r="Q104" s="71">
        <f t="shared" si="95"/>
        <v>3</v>
      </c>
      <c r="R104" s="141">
        <f t="shared" si="95"/>
        <v>6</v>
      </c>
      <c r="S104" s="141">
        <f t="shared" si="95"/>
        <v>23</v>
      </c>
      <c r="T104" s="141">
        <f t="shared" si="95"/>
        <v>60</v>
      </c>
      <c r="U104" s="51">
        <f t="shared" si="95"/>
        <v>31</v>
      </c>
    </row>
    <row r="105" spans="2:21">
      <c r="C105" s="71">
        <f t="shared" si="88"/>
        <v>29</v>
      </c>
      <c r="D105" s="141">
        <f t="shared" si="93"/>
        <v>5</v>
      </c>
      <c r="E105" s="141">
        <f t="shared" si="93"/>
        <v>57</v>
      </c>
      <c r="F105" s="141">
        <f t="shared" si="93"/>
        <v>61.5</v>
      </c>
      <c r="G105" s="51">
        <f t="shared" si="93"/>
        <v>33.5</v>
      </c>
      <c r="J105" s="48">
        <f t="shared" si="90"/>
        <v>24.5</v>
      </c>
      <c r="K105" s="49">
        <f t="shared" si="94"/>
        <v>39</v>
      </c>
      <c r="L105" s="49">
        <f t="shared" si="94"/>
        <v>66</v>
      </c>
      <c r="M105" s="49">
        <f t="shared" si="94"/>
        <v>28.5</v>
      </c>
      <c r="N105" s="57">
        <f t="shared" si="94"/>
        <v>36</v>
      </c>
      <c r="Q105" s="71">
        <f t="shared" si="95"/>
        <v>36.5</v>
      </c>
      <c r="R105" s="141">
        <f t="shared" si="95"/>
        <v>2</v>
      </c>
      <c r="S105" s="141">
        <f t="shared" si="95"/>
        <v>61</v>
      </c>
      <c r="T105" s="141">
        <f t="shared" si="95"/>
        <v>14</v>
      </c>
      <c r="U105" s="51">
        <f t="shared" si="95"/>
        <v>36.5</v>
      </c>
    </row>
    <row r="106" spans="2:21">
      <c r="C106" s="71">
        <f t="shared" si="88"/>
        <v>18</v>
      </c>
      <c r="D106" s="141">
        <f t="shared" si="93"/>
        <v>33.5</v>
      </c>
      <c r="E106" s="141">
        <f t="shared" si="93"/>
        <v>37.5</v>
      </c>
      <c r="F106" s="141">
        <f t="shared" si="93"/>
        <v>70</v>
      </c>
      <c r="G106" s="51">
        <f t="shared" si="93"/>
        <v>69</v>
      </c>
      <c r="J106" s="48">
        <f t="shared" si="90"/>
        <v>20.5</v>
      </c>
      <c r="K106" s="49">
        <f t="shared" si="94"/>
        <v>51</v>
      </c>
      <c r="L106" s="49">
        <f t="shared" si="94"/>
        <v>56</v>
      </c>
      <c r="M106" s="49">
        <f t="shared" si="94"/>
        <v>53</v>
      </c>
      <c r="N106" s="57">
        <f t="shared" si="94"/>
        <v>20.5</v>
      </c>
      <c r="Q106" s="71">
        <f t="shared" si="95"/>
        <v>13</v>
      </c>
      <c r="R106" s="141">
        <f t="shared" si="95"/>
        <v>65</v>
      </c>
      <c r="S106" s="141">
        <f t="shared" si="95"/>
        <v>21</v>
      </c>
      <c r="T106" s="141">
        <f t="shared" si="95"/>
        <v>32</v>
      </c>
      <c r="U106" s="51">
        <f t="shared" si="95"/>
        <v>18</v>
      </c>
    </row>
    <row r="107" spans="2:21">
      <c r="C107" s="71">
        <f t="shared" si="88"/>
        <v>37.5</v>
      </c>
      <c r="D107" s="141">
        <f t="shared" si="93"/>
        <v>57</v>
      </c>
      <c r="E107" s="141">
        <f t="shared" si="93"/>
        <v>45.5</v>
      </c>
      <c r="F107" s="141">
        <f t="shared" si="93"/>
        <v>48.5</v>
      </c>
      <c r="G107" s="51">
        <f t="shared" si="93"/>
        <v>64.5</v>
      </c>
      <c r="J107" s="48">
        <f t="shared" si="90"/>
        <v>4</v>
      </c>
      <c r="K107" s="49">
        <f t="shared" si="94"/>
        <v>2</v>
      </c>
      <c r="L107" s="49">
        <f t="shared" si="94"/>
        <v>7.5</v>
      </c>
      <c r="M107" s="49">
        <f t="shared" si="94"/>
        <v>14</v>
      </c>
      <c r="N107" s="57">
        <f t="shared" si="94"/>
        <v>24.5</v>
      </c>
      <c r="Q107" s="71">
        <f t="shared" si="95"/>
        <v>4</v>
      </c>
      <c r="R107" s="141">
        <f t="shared" si="95"/>
        <v>58</v>
      </c>
      <c r="S107" s="141">
        <f t="shared" si="95"/>
        <v>22</v>
      </c>
      <c r="T107" s="141">
        <f t="shared" si="95"/>
        <v>55</v>
      </c>
      <c r="U107" s="51">
        <f t="shared" si="95"/>
        <v>63</v>
      </c>
    </row>
    <row r="108" spans="2:21">
      <c r="C108" s="71">
        <f t="shared" si="88"/>
        <v>28</v>
      </c>
      <c r="D108" s="141">
        <f t="shared" si="93"/>
        <v>14</v>
      </c>
      <c r="E108" s="141">
        <f t="shared" si="93"/>
        <v>25.5</v>
      </c>
      <c r="F108" s="141">
        <f t="shared" si="93"/>
        <v>30.5</v>
      </c>
      <c r="G108" s="51">
        <f t="shared" si="93"/>
        <v>39.5</v>
      </c>
      <c r="J108" s="48">
        <f t="shared" si="90"/>
        <v>64</v>
      </c>
      <c r="K108" s="49">
        <f t="shared" si="94"/>
        <v>13</v>
      </c>
      <c r="L108" s="49">
        <f t="shared" si="94"/>
        <v>56</v>
      </c>
      <c r="M108" s="49">
        <f t="shared" si="94"/>
        <v>28.5</v>
      </c>
      <c r="N108" s="57">
        <f t="shared" si="94"/>
        <v>41.5</v>
      </c>
      <c r="Q108" s="71">
        <f t="shared" si="95"/>
        <v>9</v>
      </c>
      <c r="R108" s="141">
        <f t="shared" si="95"/>
        <v>7</v>
      </c>
      <c r="S108" s="141">
        <f t="shared" si="95"/>
        <v>17</v>
      </c>
      <c r="T108" s="141">
        <f t="shared" si="95"/>
        <v>49</v>
      </c>
      <c r="U108" s="51">
        <f t="shared" si="95"/>
        <v>66</v>
      </c>
    </row>
    <row r="109" spans="2:21">
      <c r="C109" s="71">
        <f t="shared" si="88"/>
        <v>1.5</v>
      </c>
      <c r="D109" s="141">
        <f t="shared" si="93"/>
        <v>25.5</v>
      </c>
      <c r="E109" s="141">
        <f t="shared" si="93"/>
        <v>55</v>
      </c>
      <c r="F109" s="141">
        <f t="shared" si="93"/>
        <v>48.5</v>
      </c>
      <c r="G109" s="51">
        <f t="shared" si="93"/>
        <v>63</v>
      </c>
      <c r="J109" s="48">
        <f t="shared" si="90"/>
        <v>24.5</v>
      </c>
      <c r="K109" s="49">
        <f t="shared" si="94"/>
        <v>1</v>
      </c>
      <c r="L109" s="49">
        <f t="shared" si="94"/>
        <v>70</v>
      </c>
      <c r="M109" s="49">
        <f t="shared" si="94"/>
        <v>47.5</v>
      </c>
      <c r="N109" s="57">
        <f t="shared" si="94"/>
        <v>27</v>
      </c>
      <c r="Q109" s="71">
        <f t="shared" si="95"/>
        <v>51</v>
      </c>
      <c r="R109" s="141">
        <f t="shared" si="95"/>
        <v>64</v>
      </c>
      <c r="S109" s="141">
        <f t="shared" si="95"/>
        <v>68.5</v>
      </c>
      <c r="T109" s="141">
        <f t="shared" si="95"/>
        <v>12</v>
      </c>
      <c r="U109" s="51">
        <f t="shared" si="95"/>
        <v>5</v>
      </c>
    </row>
    <row r="110" spans="2:21">
      <c r="C110" s="71">
        <f t="shared" si="88"/>
        <v>14</v>
      </c>
      <c r="D110" s="141">
        <f t="shared" si="93"/>
        <v>48.5</v>
      </c>
      <c r="E110" s="141">
        <f t="shared" si="93"/>
        <v>10.5</v>
      </c>
      <c r="F110" s="141">
        <f t="shared" si="93"/>
        <v>67</v>
      </c>
      <c r="G110" s="51">
        <f t="shared" si="93"/>
        <v>33.5</v>
      </c>
      <c r="J110" s="48">
        <f t="shared" si="90"/>
        <v>24.5</v>
      </c>
      <c r="K110" s="49">
        <f t="shared" si="94"/>
        <v>56</v>
      </c>
      <c r="L110" s="49">
        <f t="shared" si="94"/>
        <v>32</v>
      </c>
      <c r="M110" s="49">
        <f t="shared" si="94"/>
        <v>11</v>
      </c>
      <c r="N110" s="57">
        <f t="shared" si="94"/>
        <v>53</v>
      </c>
      <c r="Q110" s="71">
        <f t="shared" si="95"/>
        <v>52</v>
      </c>
      <c r="R110" s="141">
        <f t="shared" si="95"/>
        <v>41.5</v>
      </c>
      <c r="S110" s="141">
        <f t="shared" si="95"/>
        <v>15</v>
      </c>
      <c r="T110" s="141">
        <f t="shared" si="95"/>
        <v>68.5</v>
      </c>
      <c r="U110" s="51">
        <f t="shared" si="95"/>
        <v>53</v>
      </c>
    </row>
    <row r="111" spans="2:21">
      <c r="C111" s="71">
        <f t="shared" si="88"/>
        <v>8.5</v>
      </c>
      <c r="D111" s="141">
        <f t="shared" si="93"/>
        <v>44</v>
      </c>
      <c r="E111" s="141">
        <f t="shared" si="93"/>
        <v>8.5</v>
      </c>
      <c r="F111" s="141">
        <f t="shared" si="93"/>
        <v>21.5</v>
      </c>
      <c r="G111" s="51">
        <f t="shared" si="93"/>
        <v>21.5</v>
      </c>
      <c r="J111" s="48">
        <f t="shared" si="90"/>
        <v>49.5</v>
      </c>
      <c r="K111" s="49">
        <f t="shared" si="94"/>
        <v>30</v>
      </c>
      <c r="L111" s="49">
        <f t="shared" si="94"/>
        <v>61</v>
      </c>
      <c r="M111" s="49">
        <f t="shared" si="94"/>
        <v>17.5</v>
      </c>
      <c r="N111" s="57">
        <f t="shared" si="94"/>
        <v>65</v>
      </c>
      <c r="Q111" s="71">
        <f t="shared" si="95"/>
        <v>67</v>
      </c>
      <c r="R111" s="141">
        <f t="shared" si="95"/>
        <v>50</v>
      </c>
      <c r="S111" s="141">
        <f t="shared" si="95"/>
        <v>20</v>
      </c>
      <c r="T111" s="141">
        <f t="shared" si="95"/>
        <v>28</v>
      </c>
      <c r="U111" s="51">
        <f t="shared" si="95"/>
        <v>44</v>
      </c>
    </row>
    <row r="112" spans="2:21">
      <c r="C112" s="71">
        <f t="shared" si="88"/>
        <v>3</v>
      </c>
      <c r="D112" s="141">
        <f t="shared" si="93"/>
        <v>21.5</v>
      </c>
      <c r="E112" s="141">
        <f t="shared" si="93"/>
        <v>42</v>
      </c>
      <c r="F112" s="141">
        <f t="shared" si="93"/>
        <v>42</v>
      </c>
      <c r="G112" s="51">
        <f t="shared" si="93"/>
        <v>48.5</v>
      </c>
      <c r="J112" s="48">
        <f t="shared" si="90"/>
        <v>17.5</v>
      </c>
      <c r="K112" s="49">
        <f t="shared" si="94"/>
        <v>7.5</v>
      </c>
      <c r="L112" s="49">
        <f t="shared" si="94"/>
        <v>62.5</v>
      </c>
      <c r="M112" s="49">
        <f t="shared" si="94"/>
        <v>49.5</v>
      </c>
      <c r="N112" s="57">
        <f t="shared" si="94"/>
        <v>15</v>
      </c>
      <c r="Q112" s="71">
        <f t="shared" si="95"/>
        <v>70</v>
      </c>
      <c r="R112" s="141">
        <f t="shared" si="95"/>
        <v>47</v>
      </c>
      <c r="S112" s="141">
        <f t="shared" si="95"/>
        <v>34</v>
      </c>
      <c r="T112" s="141">
        <f t="shared" si="95"/>
        <v>29.5</v>
      </c>
      <c r="U112" s="51">
        <f t="shared" si="95"/>
        <v>62</v>
      </c>
    </row>
    <row r="113" spans="2:21">
      <c r="C113" s="71">
        <f t="shared" si="88"/>
        <v>6.5</v>
      </c>
      <c r="D113" s="141">
        <f t="shared" si="93"/>
        <v>14</v>
      </c>
      <c r="E113" s="141">
        <f t="shared" si="93"/>
        <v>6.5</v>
      </c>
      <c r="F113" s="141">
        <f t="shared" si="93"/>
        <v>66</v>
      </c>
      <c r="G113" s="51">
        <f t="shared" si="93"/>
        <v>68</v>
      </c>
      <c r="J113" s="48">
        <f t="shared" si="90"/>
        <v>41.5</v>
      </c>
      <c r="K113" s="49">
        <f t="shared" si="94"/>
        <v>9</v>
      </c>
      <c r="L113" s="49">
        <f t="shared" si="94"/>
        <v>10</v>
      </c>
      <c r="M113" s="49">
        <f t="shared" si="94"/>
        <v>36</v>
      </c>
      <c r="N113" s="57">
        <f t="shared" si="94"/>
        <v>43</v>
      </c>
      <c r="Q113" s="71">
        <f t="shared" si="95"/>
        <v>46</v>
      </c>
      <c r="R113" s="141">
        <f t="shared" si="95"/>
        <v>39</v>
      </c>
      <c r="S113" s="141">
        <f t="shared" si="95"/>
        <v>34</v>
      </c>
      <c r="T113" s="141">
        <f t="shared" si="95"/>
        <v>41.5</v>
      </c>
      <c r="U113" s="51">
        <f t="shared" si="95"/>
        <v>59</v>
      </c>
    </row>
    <row r="114" spans="2:21">
      <c r="C114" s="59">
        <f t="shared" si="88"/>
        <v>12</v>
      </c>
      <c r="D114" s="54">
        <f t="shared" si="93"/>
        <v>25.5</v>
      </c>
      <c r="E114" s="54">
        <f t="shared" si="93"/>
        <v>18</v>
      </c>
      <c r="F114" s="54">
        <f t="shared" si="93"/>
        <v>57</v>
      </c>
      <c r="G114" s="55">
        <f t="shared" si="93"/>
        <v>53.5</v>
      </c>
      <c r="J114" s="52">
        <f t="shared" si="90"/>
        <v>36</v>
      </c>
      <c r="K114" s="53">
        <f t="shared" si="94"/>
        <v>32</v>
      </c>
      <c r="L114" s="53">
        <f t="shared" si="94"/>
        <v>44</v>
      </c>
      <c r="M114" s="53">
        <f t="shared" si="94"/>
        <v>20.5</v>
      </c>
      <c r="N114" s="79">
        <f t="shared" si="94"/>
        <v>68</v>
      </c>
      <c r="Q114" s="59">
        <f t="shared" si="95"/>
        <v>1</v>
      </c>
      <c r="R114" s="54">
        <f t="shared" si="95"/>
        <v>57</v>
      </c>
      <c r="S114" s="54">
        <f t="shared" si="95"/>
        <v>34</v>
      </c>
      <c r="T114" s="54">
        <f t="shared" si="95"/>
        <v>24</v>
      </c>
      <c r="U114" s="55">
        <f t="shared" si="95"/>
        <v>43</v>
      </c>
    </row>
    <row r="115" spans="2:21">
      <c r="B115" s="195" t="s">
        <v>199</v>
      </c>
      <c r="C115" s="203">
        <f>SUM(C101:C114)</f>
        <v>190</v>
      </c>
      <c r="D115" s="203">
        <f t="shared" ref="D115" si="96">SUM(D101:D114)</f>
        <v>417</v>
      </c>
      <c r="E115" s="203">
        <f t="shared" ref="E115" si="97">SUM(E101:E114)</f>
        <v>467</v>
      </c>
      <c r="F115" s="203">
        <f t="shared" ref="F115" si="98">SUM(F101:F114)</f>
        <v>682.5</v>
      </c>
      <c r="G115" s="203">
        <f t="shared" ref="G115" si="99">SUM(G101:G114)</f>
        <v>728.5</v>
      </c>
      <c r="I115" s="355" t="s">
        <v>199</v>
      </c>
      <c r="J115" s="340">
        <f>SUM(J101:J114)</f>
        <v>508</v>
      </c>
      <c r="K115" s="340">
        <f t="shared" ref="K115:N115" si="100">SUM(K101:K114)</f>
        <v>319.5</v>
      </c>
      <c r="L115" s="340">
        <f t="shared" si="100"/>
        <v>668</v>
      </c>
      <c r="M115" s="340">
        <f t="shared" si="100"/>
        <v>413.5</v>
      </c>
      <c r="N115" s="340">
        <f t="shared" si="100"/>
        <v>576</v>
      </c>
      <c r="P115" s="195" t="s">
        <v>199</v>
      </c>
      <c r="Q115" s="203">
        <f>SUM(Q101:Q114)</f>
        <v>395.5</v>
      </c>
      <c r="R115" s="203">
        <f t="shared" ref="R115" si="101">SUM(R101:R114)</f>
        <v>519.5</v>
      </c>
      <c r="S115" s="203">
        <f t="shared" ref="S115" si="102">SUM(S101:S114)</f>
        <v>440.5</v>
      </c>
      <c r="T115" s="203">
        <f t="shared" ref="T115" si="103">SUM(T101:T114)</f>
        <v>510</v>
      </c>
      <c r="U115" s="203">
        <f t="shared" ref="U115" si="104">SUM(U101:U114)</f>
        <v>619.5</v>
      </c>
    </row>
    <row r="116" spans="2:21">
      <c r="B116" s="348" t="s">
        <v>200</v>
      </c>
      <c r="C116" s="203">
        <f>COUNT(C101:C114)</f>
        <v>14</v>
      </c>
      <c r="D116" s="203">
        <f t="shared" ref="D116:G116" si="105">COUNT(D101:D114)</f>
        <v>14</v>
      </c>
      <c r="E116" s="203">
        <f t="shared" si="105"/>
        <v>14</v>
      </c>
      <c r="F116" s="203">
        <f t="shared" si="105"/>
        <v>14</v>
      </c>
      <c r="G116" s="203">
        <f t="shared" si="105"/>
        <v>14</v>
      </c>
      <c r="I116" s="356" t="s">
        <v>200</v>
      </c>
      <c r="J116" s="340">
        <f>COUNT(J101:J114)</f>
        <v>14</v>
      </c>
      <c r="K116" s="340">
        <f t="shared" ref="K116:N116" si="106">COUNT(K101:K114)</f>
        <v>14</v>
      </c>
      <c r="L116" s="340">
        <f t="shared" si="106"/>
        <v>14</v>
      </c>
      <c r="M116" s="340">
        <f t="shared" si="106"/>
        <v>14</v>
      </c>
      <c r="N116" s="340">
        <f t="shared" si="106"/>
        <v>14</v>
      </c>
      <c r="P116" s="349" t="s">
        <v>200</v>
      </c>
      <c r="Q116" s="203">
        <f>COUNT(Q101:Q114)</f>
        <v>14</v>
      </c>
      <c r="R116" s="203">
        <f t="shared" ref="R116:U116" si="107">COUNT(R101:R114)</f>
        <v>14</v>
      </c>
      <c r="S116" s="203">
        <f t="shared" si="107"/>
        <v>14</v>
      </c>
      <c r="T116" s="203">
        <f t="shared" si="107"/>
        <v>14</v>
      </c>
      <c r="U116" s="203">
        <f t="shared" si="107"/>
        <v>14</v>
      </c>
    </row>
    <row r="117" spans="2:21">
      <c r="B117" s="195" t="s">
        <v>201</v>
      </c>
      <c r="C117" s="338">
        <f>C115^2/C116</f>
        <v>2578.5714285714284</v>
      </c>
      <c r="D117" s="338">
        <f t="shared" ref="D117:G117" si="108">D115^2/D116</f>
        <v>12420.642857142857</v>
      </c>
      <c r="E117" s="338">
        <f t="shared" si="108"/>
        <v>15577.785714285714</v>
      </c>
      <c r="F117" s="338">
        <f t="shared" si="108"/>
        <v>33271.875</v>
      </c>
      <c r="G117" s="338">
        <f t="shared" si="108"/>
        <v>37908.017857142855</v>
      </c>
      <c r="I117" s="355" t="s">
        <v>201</v>
      </c>
      <c r="J117" s="339">
        <f>J115^2/J116</f>
        <v>18433.142857142859</v>
      </c>
      <c r="K117" s="339">
        <f t="shared" ref="K117" si="109">K115^2/K116</f>
        <v>7291.4464285714284</v>
      </c>
      <c r="L117" s="339">
        <f t="shared" ref="L117" si="110">L115^2/L116</f>
        <v>31873.142857142859</v>
      </c>
      <c r="M117" s="339">
        <f t="shared" ref="M117" si="111">M115^2/M116</f>
        <v>12213.017857142857</v>
      </c>
      <c r="N117" s="339">
        <f t="shared" ref="N117" si="112">N115^2/N116</f>
        <v>23698.285714285714</v>
      </c>
      <c r="P117" s="195" t="s">
        <v>201</v>
      </c>
      <c r="Q117" s="338">
        <f>Q115^2/Q116</f>
        <v>11172.875</v>
      </c>
      <c r="R117" s="338">
        <f t="shared" ref="R117" si="113">R115^2/R116</f>
        <v>19277.160714285714</v>
      </c>
      <c r="S117" s="338">
        <f t="shared" ref="S117" si="114">S115^2/S116</f>
        <v>13860.017857142857</v>
      </c>
      <c r="T117" s="338">
        <f t="shared" ref="T117" si="115">T115^2/T116</f>
        <v>18578.571428571428</v>
      </c>
      <c r="U117" s="338">
        <f t="shared" ref="U117" si="116">U115^2/U116</f>
        <v>27412.875</v>
      </c>
    </row>
    <row r="118" spans="2:21">
      <c r="B118" s="350" t="s">
        <v>108</v>
      </c>
      <c r="C118" s="506">
        <f>SUM(C116:G116)</f>
        <v>70</v>
      </c>
      <c r="D118" s="506"/>
      <c r="E118" s="506"/>
      <c r="F118" s="506"/>
      <c r="G118" s="506"/>
      <c r="I118" s="357" t="s">
        <v>108</v>
      </c>
      <c r="J118" s="509">
        <f>SUM(J116:N116)</f>
        <v>70</v>
      </c>
      <c r="K118" s="509"/>
      <c r="L118" s="509"/>
      <c r="M118" s="509"/>
      <c r="N118" s="509"/>
      <c r="P118" s="350" t="s">
        <v>108</v>
      </c>
      <c r="Q118" s="506">
        <f>SUM(Q116:U116)</f>
        <v>70</v>
      </c>
      <c r="R118" s="506"/>
      <c r="S118" s="506"/>
      <c r="T118" s="506"/>
      <c r="U118" s="506"/>
    </row>
    <row r="119" spans="2:21">
      <c r="B119" s="195" t="s">
        <v>202</v>
      </c>
      <c r="C119" s="507">
        <f>12/(C118*(C118+1))*SUM(C117:G117)-3*(C118+1)</f>
        <v>32.690686979016959</v>
      </c>
      <c r="D119" s="507"/>
      <c r="E119" s="507"/>
      <c r="F119" s="507"/>
      <c r="G119" s="507"/>
      <c r="I119" s="355" t="s">
        <v>202</v>
      </c>
      <c r="J119" s="508">
        <f>12/(J118*(J118+1))*SUM(J117:N117)-3*(J118+1)</f>
        <v>12.776343776947385</v>
      </c>
      <c r="K119" s="508"/>
      <c r="L119" s="508"/>
      <c r="M119" s="508"/>
      <c r="N119" s="508"/>
      <c r="P119" s="349" t="s">
        <v>202</v>
      </c>
      <c r="Q119" s="510">
        <v>32.691000000000003</v>
      </c>
      <c r="R119" s="510"/>
      <c r="S119" s="510"/>
      <c r="T119" s="510"/>
      <c r="U119" s="510"/>
    </row>
    <row r="120" spans="2:21">
      <c r="B120" s="195" t="s">
        <v>203</v>
      </c>
      <c r="C120" s="495">
        <f>COUNTA(C100:G100)-1</f>
        <v>4</v>
      </c>
      <c r="D120" s="495"/>
      <c r="E120" s="495"/>
      <c r="F120" s="495"/>
      <c r="G120" s="495"/>
      <c r="I120" s="355" t="s">
        <v>203</v>
      </c>
      <c r="J120" s="467">
        <f>COUNTA(J100:N100)-1</f>
        <v>4</v>
      </c>
      <c r="K120" s="467"/>
      <c r="L120" s="467"/>
      <c r="M120" s="467"/>
      <c r="N120" s="467"/>
      <c r="P120" s="195" t="s">
        <v>203</v>
      </c>
      <c r="Q120" s="495">
        <f>COUNTA(Q100:U100)-1</f>
        <v>4</v>
      </c>
      <c r="R120" s="495"/>
      <c r="S120" s="495"/>
      <c r="T120" s="495"/>
      <c r="U120" s="495"/>
    </row>
    <row r="121" spans="2:21">
      <c r="B121" s="195" t="s">
        <v>204</v>
      </c>
      <c r="C121" s="501">
        <f>CHIDIST(C119,C120)</f>
        <v>1.3819439288495676E-6</v>
      </c>
      <c r="D121" s="501"/>
      <c r="E121" s="501"/>
      <c r="F121" s="501"/>
      <c r="G121" s="501"/>
      <c r="I121" s="355" t="s">
        <v>204</v>
      </c>
      <c r="J121" s="502">
        <f>CHIDIST(J119,J120)</f>
        <v>1.2421933223709696E-2</v>
      </c>
      <c r="K121" s="502"/>
      <c r="L121" s="502"/>
      <c r="M121" s="502"/>
      <c r="N121" s="502"/>
      <c r="P121" s="195" t="s">
        <v>204</v>
      </c>
      <c r="Q121" s="501">
        <f>CHIDIST(Q119,Q120)</f>
        <v>1.3817401246549033E-6</v>
      </c>
      <c r="R121" s="501"/>
      <c r="S121" s="501"/>
      <c r="T121" s="501"/>
      <c r="U121" s="501"/>
    </row>
    <row r="122" spans="2:21">
      <c r="B122" s="195" t="s">
        <v>107</v>
      </c>
      <c r="C122" s="495">
        <v>0.05</v>
      </c>
      <c r="D122" s="495"/>
      <c r="E122" s="495"/>
      <c r="F122" s="495"/>
      <c r="G122" s="495"/>
      <c r="I122" s="355" t="s">
        <v>107</v>
      </c>
      <c r="J122" s="467">
        <v>0.05</v>
      </c>
      <c r="K122" s="467"/>
      <c r="L122" s="467"/>
      <c r="M122" s="467"/>
      <c r="N122" s="467"/>
      <c r="P122" s="195" t="s">
        <v>107</v>
      </c>
      <c r="Q122" s="495">
        <v>0.05</v>
      </c>
      <c r="R122" s="495"/>
      <c r="S122" s="495"/>
      <c r="T122" s="495"/>
      <c r="U122" s="495"/>
    </row>
    <row r="123" spans="2:21">
      <c r="B123" s="195" t="s">
        <v>177</v>
      </c>
      <c r="C123" s="499" t="str">
        <f>IF(C121&lt;C122, "Yes", "No")</f>
        <v>Yes</v>
      </c>
      <c r="D123" s="499"/>
      <c r="E123" s="499"/>
      <c r="F123" s="499"/>
      <c r="G123" s="499"/>
      <c r="I123" s="355" t="s">
        <v>177</v>
      </c>
      <c r="J123" s="500" t="str">
        <f>IF(J121&lt;J122, "Yes", "No")</f>
        <v>Yes</v>
      </c>
      <c r="K123" s="500"/>
      <c r="L123" s="500"/>
      <c r="M123" s="500"/>
      <c r="N123" s="500"/>
      <c r="P123" s="195" t="s">
        <v>177</v>
      </c>
      <c r="Q123" s="499" t="str">
        <f>IF(Q121&lt;Q122, "Yes", "No")</f>
        <v>Yes</v>
      </c>
      <c r="R123" s="499"/>
      <c r="S123" s="499"/>
      <c r="T123" s="499"/>
      <c r="U123" s="499"/>
    </row>
    <row r="131" spans="2:2">
      <c r="B131" s="185" t="s">
        <v>233</v>
      </c>
    </row>
  </sheetData>
  <mergeCells count="75">
    <mergeCell ref="Q32:U32"/>
    <mergeCell ref="A3:A13"/>
    <mergeCell ref="A42:A53"/>
    <mergeCell ref="A83:A96"/>
    <mergeCell ref="C56:G56"/>
    <mergeCell ref="J56:N56"/>
    <mergeCell ref="Q56:U56"/>
    <mergeCell ref="J32:N32"/>
    <mergeCell ref="C32:G32"/>
    <mergeCell ref="J74:N74"/>
    <mergeCell ref="Q74:U74"/>
    <mergeCell ref="C33:G33"/>
    <mergeCell ref="J33:N33"/>
    <mergeCell ref="Q33:U33"/>
    <mergeCell ref="C37:G37"/>
    <mergeCell ref="C78:G78"/>
    <mergeCell ref="Q1:U1"/>
    <mergeCell ref="J1:N1"/>
    <mergeCell ref="C1:G1"/>
    <mergeCell ref="C40:G40"/>
    <mergeCell ref="C81:G81"/>
    <mergeCell ref="J81:N81"/>
    <mergeCell ref="J40:N40"/>
    <mergeCell ref="Q40:U40"/>
    <mergeCell ref="Q81:U81"/>
    <mergeCell ref="C74:G74"/>
    <mergeCell ref="C16:G16"/>
    <mergeCell ref="J16:N16"/>
    <mergeCell ref="Q16:U16"/>
    <mergeCell ref="C73:G73"/>
    <mergeCell ref="J73:N73"/>
    <mergeCell ref="Q73:U73"/>
    <mergeCell ref="J37:N37"/>
    <mergeCell ref="Q37:U37"/>
    <mergeCell ref="C118:G118"/>
    <mergeCell ref="C119:G119"/>
    <mergeCell ref="J119:N119"/>
    <mergeCell ref="J118:N118"/>
    <mergeCell ref="Q119:U119"/>
    <mergeCell ref="Q118:U118"/>
    <mergeCell ref="Q34:U34"/>
    <mergeCell ref="Q35:U35"/>
    <mergeCell ref="Q36:U36"/>
    <mergeCell ref="Q75:U75"/>
    <mergeCell ref="Q76:U76"/>
    <mergeCell ref="C34:G34"/>
    <mergeCell ref="C35:G35"/>
    <mergeCell ref="C36:G36"/>
    <mergeCell ref="J34:N34"/>
    <mergeCell ref="J35:N35"/>
    <mergeCell ref="J36:N36"/>
    <mergeCell ref="Q77:U77"/>
    <mergeCell ref="J78:N78"/>
    <mergeCell ref="J99:N99"/>
    <mergeCell ref="Q99:U99"/>
    <mergeCell ref="C99:G99"/>
    <mergeCell ref="J75:N75"/>
    <mergeCell ref="J76:N76"/>
    <mergeCell ref="J77:N77"/>
    <mergeCell ref="C75:G75"/>
    <mergeCell ref="C76:G76"/>
    <mergeCell ref="C77:G77"/>
    <mergeCell ref="C123:G123"/>
    <mergeCell ref="J123:N123"/>
    <mergeCell ref="Q78:U78"/>
    <mergeCell ref="Q123:U123"/>
    <mergeCell ref="Q121:U121"/>
    <mergeCell ref="Q122:U122"/>
    <mergeCell ref="C121:G121"/>
    <mergeCell ref="C122:G122"/>
    <mergeCell ref="J121:N121"/>
    <mergeCell ref="J122:N122"/>
    <mergeCell ref="Q120:U120"/>
    <mergeCell ref="C120:G120"/>
    <mergeCell ref="J120:N1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 A raw data</vt:lpstr>
      <vt:lpstr>CI plots</vt:lpstr>
      <vt:lpstr>Test Normality</vt:lpstr>
      <vt:lpstr>Test Homoscedasticity variance</vt:lpstr>
      <vt:lpstr>Kruskal + Post Hoc - Vertical</vt:lpstr>
      <vt:lpstr>Kruskal -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dcterms:created xsi:type="dcterms:W3CDTF">2017-11-25T20:48:47Z</dcterms:created>
  <dcterms:modified xsi:type="dcterms:W3CDTF">2017-12-10T23:32:43Z</dcterms:modified>
</cp:coreProperties>
</file>