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drawings/drawing7.xml" ContentType="application/vnd.openxmlformats-officedocument.drawingml.chartshapes+xml"/>
  <Override PartName="/xl/charts/chart4.xml" ContentType="application/vnd.openxmlformats-officedocument.drawingml.chart+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F:\Excel\"/>
    </mc:Choice>
  </mc:AlternateContent>
  <xr:revisionPtr revIDLastSave="0" documentId="13_ncr:1_{5205B4EB-C3C1-4400-9592-3ACD7EF1F318}" xr6:coauthVersionLast="47" xr6:coauthVersionMax="47" xr10:uidLastSave="{00000000-0000-0000-0000-000000000000}"/>
  <workbookProtection workbookAlgorithmName="SHA-512" workbookHashValue="nkWYrR5TUOt+OJU4Mu99h2YcVWRF3dB7WPfBgbHCubJbCj3RFM2664LUisBPdj7Vs0PEhZ2HiAYLh36NVXaEKw==" workbookSaltValue="BExVMOFBPVhN3hGh406fpw==" workbookSpinCount="100000" lockStructure="1"/>
  <bookViews>
    <workbookView xWindow="-120" yWindow="-120" windowWidth="20730" windowHeight="11160" activeTab="3" xr2:uid="{26D4546B-D2A1-4444-8EAF-A6228F96F0C1}"/>
  </bookViews>
  <sheets>
    <sheet name="DATA" sheetId="1" r:id="rId1"/>
    <sheet name="Assets" sheetId="4" r:id="rId2"/>
    <sheet name="Calculations" sheetId="7" r:id="rId3"/>
    <sheet name="Dashboard" sheetId="6" r:id="rId4"/>
  </sheets>
  <definedNames>
    <definedName name="_xlcn.WorksheetConnection_dashboardexercise.xlsxlocations1" hidden="1">locations[]</definedName>
    <definedName name="_xlcn.WorksheetConnection_dashboardexercise.xlsxpeople1" hidden="1">people[]</definedName>
    <definedName name="_xlcn.WorksheetConnection_dashboardexercise.xlsxproducts1" hidden="1">products[]</definedName>
    <definedName name="_xlcn.WorksheetConnection_dashboardexercise.xlsxsales1" hidden="1">sales[]</definedName>
    <definedName name="country.maps">Assets!$B$44:$B$49</definedName>
    <definedName name="country.names">Assets!$C$44:$C$49</definedName>
    <definedName name="graph.options">Calculations!$Q$79:$Q$82</definedName>
    <definedName name="map.1">INDEX(country.maps,Calculations!$AC$51)</definedName>
    <definedName name="map.2">INDEX(country.maps,Calculations!$AC$52)</definedName>
    <definedName name="map.3">INDEX(country.maps,Calculations!$AC$53)</definedName>
    <definedName name="map.4">INDEX(country.maps,Calculations!$AC$54)</definedName>
    <definedName name="map.5">INDEX(country.maps,Calculations!$AC$55)</definedName>
    <definedName name="map.6">INDEX(country.maps,Calculations!$AC$56)</definedName>
    <definedName name="max.amount.limit">Calculations!$K$75</definedName>
    <definedName name="profit.icon.status">Calculations!$K$5</definedName>
    <definedName name="selected.team">Calculations!$P$64</definedName>
    <definedName name="Slicer_Category">#N/A</definedName>
    <definedName name="sort.options.country.list">Calculations!$L$51:$L$52</definedName>
    <definedName name="sort.options.for.peoples.table">Calculations!$Q$93:$Q$96</definedName>
    <definedName name="sort.options.product.table">Calculations!$K$126:$K$130</definedName>
    <definedName name="sortoptions.country.list">Calculations!$L$51:$L$52</definedName>
    <definedName name="starting.date.for.trend">Calculations!$K$9</definedName>
    <definedName name="team.names">_xlfn.ANCHORARRAY(Calculations!$O$93)</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 - exercise.xlsx!sales"/>
          <x15:modelTable id="products" name="products" connection="WorksheetConnection_dashboard - exercise.xlsx!products"/>
          <x15:modelTable id="people" name="people" connection="WorksheetConnection_dashboard - exercise.xlsx!people"/>
          <x15:modelTable id="locations" name="locations" connection="WorksheetConnection_dashboard - exercise.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7" l="1"/>
  <c r="L137" i="7"/>
  <c r="L132" i="7"/>
  <c r="L129" i="7" s="1"/>
  <c r="AI122" i="7"/>
  <c r="AI123" i="7" s="1"/>
  <c r="AF116" i="7" a="1"/>
  <c r="AF116" i="7" s="1"/>
  <c r="E123" i="7"/>
  <c r="O126" i="7" a="1"/>
  <c r="O126" i="7" s="1"/>
  <c r="N126" i="7" s="1"/>
  <c r="P109" i="7"/>
  <c r="S109" i="7" s="1"/>
  <c r="P110" i="7"/>
  <c r="S110" i="7" s="1"/>
  <c r="P111" i="7"/>
  <c r="S111" i="7" s="1"/>
  <c r="O110" i="7"/>
  <c r="R110" i="7" s="1"/>
  <c r="O111" i="7"/>
  <c r="R111" i="7" s="1"/>
  <c r="O109" i="7"/>
  <c r="R109" i="7" s="1"/>
  <c r="M109" i="7"/>
  <c r="N109" i="7" s="1"/>
  <c r="M110" i="7"/>
  <c r="N110" i="7" s="1"/>
  <c r="M111" i="7"/>
  <c r="N111" i="7" s="1"/>
  <c r="J110" i="7"/>
  <c r="K110" i="7" s="1"/>
  <c r="J111" i="7"/>
  <c r="K111" i="7" s="1"/>
  <c r="J109" i="7"/>
  <c r="K109" i="7" s="1"/>
  <c r="Q99" i="7"/>
  <c r="Q100" i="7" s="1"/>
  <c r="Q103" i="7" s="1"/>
  <c r="P64" i="7"/>
  <c r="O93" i="7" a="1"/>
  <c r="O93" i="7" s="1"/>
  <c r="Q86" i="7"/>
  <c r="Q87" i="7" s="1"/>
  <c r="K8" i="7"/>
  <c r="K9" i="7" s="1"/>
  <c r="U78" i="7" s="1"/>
  <c r="I69" i="7"/>
  <c r="I70" i="7"/>
  <c r="I71" i="7"/>
  <c r="I68" i="7"/>
  <c r="K69" i="7"/>
  <c r="Q69" i="7" s="1"/>
  <c r="K70" i="7"/>
  <c r="Q70" i="7" s="1"/>
  <c r="K71" i="7"/>
  <c r="Q71" i="7" s="1"/>
  <c r="K68" i="7"/>
  <c r="Q68" i="7" s="1"/>
  <c r="J69" i="7"/>
  <c r="N69" i="7" s="1"/>
  <c r="J70" i="7"/>
  <c r="N70" i="7" s="1"/>
  <c r="J71" i="7"/>
  <c r="N71" i="7" s="1"/>
  <c r="J68" i="7"/>
  <c r="N68" i="7" s="1"/>
  <c r="L55" i="7"/>
  <c r="AE60" i="7" s="1"/>
  <c r="R51" i="7" a="1"/>
  <c r="R51" i="7" s="1"/>
  <c r="O51" i="7" a="1"/>
  <c r="O51" i="7" s="1"/>
  <c r="F6" i="7"/>
  <c r="G6" i="7" s="1"/>
  <c r="W22" i="7"/>
  <c r="W23" i="7"/>
  <c r="W24" i="7"/>
  <c r="W25" i="7"/>
  <c r="W26" i="7"/>
  <c r="W21" i="7"/>
  <c r="V22" i="7"/>
  <c r="Z22" i="7" s="1"/>
  <c r="V23" i="7"/>
  <c r="Z23" i="7" s="1"/>
  <c r="V24" i="7"/>
  <c r="Z24" i="7" s="1"/>
  <c r="V25" i="7"/>
  <c r="Z25" i="7" s="1"/>
  <c r="V26" i="7"/>
  <c r="Z26" i="7" s="1"/>
  <c r="V21" i="7"/>
  <c r="Z21" i="7" s="1"/>
  <c r="S26" i="7"/>
  <c r="S25" i="7"/>
  <c r="S24" i="7"/>
  <c r="S23" i="7"/>
  <c r="Q26" i="7"/>
  <c r="T26" i="7" s="1"/>
  <c r="E37" i="6" s="1"/>
  <c r="E38" i="6" s="1"/>
  <c r="Q25" i="7"/>
  <c r="Q24" i="7"/>
  <c r="T24" i="7" s="1"/>
  <c r="E25" i="6" s="1"/>
  <c r="E26" i="6" s="1"/>
  <c r="Q23" i="7"/>
  <c r="S22" i="7"/>
  <c r="Q22" i="7"/>
  <c r="S21" i="7"/>
  <c r="Q21" i="7"/>
  <c r="N147" i="7" l="1"/>
  <c r="N131" i="7"/>
  <c r="N143" i="7"/>
  <c r="N127" i="7"/>
  <c r="N139" i="7"/>
  <c r="N135" i="7"/>
  <c r="N146" i="7"/>
  <c r="N142" i="7"/>
  <c r="N138" i="7"/>
  <c r="N134" i="7"/>
  <c r="N130" i="7"/>
  <c r="N145" i="7"/>
  <c r="N141" i="7"/>
  <c r="N137" i="7"/>
  <c r="N133" i="7"/>
  <c r="N129" i="7"/>
  <c r="AG125" i="7"/>
  <c r="AH125" i="7" s="1"/>
  <c r="AI125" i="7" s="1"/>
  <c r="AJ125" i="7" s="1"/>
  <c r="AK125" i="7" s="1"/>
  <c r="AL125" i="7" s="1"/>
  <c r="AM125" i="7" s="1"/>
  <c r="AN125" i="7" s="1"/>
  <c r="AO125" i="7" s="1"/>
  <c r="AP125" i="7" s="1"/>
  <c r="AQ125" i="7" s="1"/>
  <c r="AR125" i="7" s="1"/>
  <c r="AS125" i="7" s="1"/>
  <c r="AT125" i="7" s="1"/>
  <c r="AU125" i="7" s="1"/>
  <c r="AV125" i="7" s="1"/>
  <c r="AW125" i="7" s="1"/>
  <c r="AX125" i="7" s="1"/>
  <c r="AY125" i="7" s="1"/>
  <c r="AZ125" i="7" s="1"/>
  <c r="BA125" i="7" s="1"/>
  <c r="BB125" i="7" s="1"/>
  <c r="BC125" i="7" s="1"/>
  <c r="BD125" i="7" s="1"/>
  <c r="BE125" i="7" s="1"/>
  <c r="BF125" i="7" s="1"/>
  <c r="BG125" i="7" s="1"/>
  <c r="BH125" i="7" s="1"/>
  <c r="N144" i="7"/>
  <c r="N140" i="7"/>
  <c r="N136" i="7"/>
  <c r="N132" i="7"/>
  <c r="N128" i="7"/>
  <c r="L130" i="7"/>
  <c r="L128" i="7"/>
  <c r="L133" i="7"/>
  <c r="L135" i="7" s="1"/>
  <c r="L126" i="7"/>
  <c r="L127" i="7"/>
  <c r="T109" i="7"/>
  <c r="T110" i="7"/>
  <c r="T111" i="7"/>
  <c r="O71" i="7"/>
  <c r="S93" i="7"/>
  <c r="K24" i="6" s="1"/>
  <c r="S96" i="7"/>
  <c r="N24" i="6" s="1"/>
  <c r="S95" i="7"/>
  <c r="M24" i="6" s="1"/>
  <c r="S94" i="7"/>
  <c r="L24" i="6" s="1"/>
  <c r="O68" i="7"/>
  <c r="O69" i="7"/>
  <c r="O70" i="7"/>
  <c r="J79" i="7" a="1"/>
  <c r="P69" i="7"/>
  <c r="S69" i="7" s="1"/>
  <c r="L56" i="7"/>
  <c r="P68" i="7"/>
  <c r="S68" i="7" s="1"/>
  <c r="P70" i="7"/>
  <c r="S70" i="7" s="1"/>
  <c r="P71" i="7"/>
  <c r="S71" i="7" s="1"/>
  <c r="AA26" i="7"/>
  <c r="AA25" i="7"/>
  <c r="AA24" i="7"/>
  <c r="AA21" i="7"/>
  <c r="AA23" i="7"/>
  <c r="AA22" i="7"/>
  <c r="T23" i="7"/>
  <c r="E19" i="6" s="1"/>
  <c r="E20" i="6" s="1"/>
  <c r="T22" i="7"/>
  <c r="E13" i="6" s="1"/>
  <c r="E14" i="6" s="1"/>
  <c r="T21" i="7"/>
  <c r="E7" i="6" s="1"/>
  <c r="E8" i="6" s="1"/>
  <c r="T25" i="7"/>
  <c r="E31" i="6" s="1"/>
  <c r="E32" i="6" s="1"/>
  <c r="W51" i="7" l="1" a="1"/>
  <c r="W51" i="7" s="1"/>
  <c r="W125" i="7" a="1"/>
  <c r="W125" i="7" s="1"/>
  <c r="R15" i="6" s="1"/>
  <c r="W126" i="7" a="1"/>
  <c r="S22" i="6" s="1"/>
  <c r="AB126" i="7" a="1"/>
  <c r="Q35" i="6" s="1"/>
  <c r="J79" i="7"/>
  <c r="K75" i="7"/>
  <c r="V78" i="7"/>
  <c r="W78" i="7" s="1"/>
  <c r="X78" i="7" s="1"/>
  <c r="Y78" i="7" s="1"/>
  <c r="Z78" i="7" s="1"/>
  <c r="AA78" i="7" s="1"/>
  <c r="AB78" i="7" s="1"/>
  <c r="AC78" i="7" s="1"/>
  <c r="AD78" i="7" s="1"/>
  <c r="AE78" i="7" s="1"/>
  <c r="AF78" i="7" s="1"/>
  <c r="AG78" i="7" s="1"/>
  <c r="AH78" i="7" s="1"/>
  <c r="AI78" i="7" s="1"/>
  <c r="AJ78" i="7" s="1"/>
  <c r="AK78" i="7" s="1"/>
  <c r="AL78" i="7" s="1"/>
  <c r="AM78" i="7" s="1"/>
  <c r="AN78" i="7" s="1"/>
  <c r="AO78" i="7" s="1"/>
  <c r="AP78" i="7" s="1"/>
  <c r="AQ78" i="7" s="1"/>
  <c r="AR78" i="7" s="1"/>
  <c r="AS78" i="7" s="1"/>
  <c r="AT78" i="7" s="1"/>
  <c r="AU78" i="7" s="1"/>
  <c r="AV78" i="7" s="1"/>
  <c r="AF51" i="7" l="1" a="1"/>
  <c r="AF51" i="7" s="1"/>
  <c r="G8" i="6" s="1"/>
  <c r="AG51" i="7" a="1"/>
  <c r="AG51" i="7" s="1"/>
  <c r="AC52" i="7"/>
  <c r="AC56" i="7"/>
  <c r="AC51" i="7"/>
  <c r="AC55" i="7"/>
  <c r="AC54" i="7"/>
  <c r="AC53" i="7"/>
  <c r="T15" i="6"/>
  <c r="V15" i="6"/>
  <c r="U15" i="6"/>
  <c r="S15" i="6"/>
  <c r="U18" i="6"/>
  <c r="R18" i="6"/>
  <c r="S17" i="6"/>
  <c r="V18" i="6"/>
  <c r="S28" i="6"/>
  <c r="V28" i="6"/>
  <c r="R17" i="6"/>
  <c r="T17" i="6"/>
  <c r="V23" i="6"/>
  <c r="U24" i="6"/>
  <c r="R33" i="6"/>
  <c r="R29" i="6"/>
  <c r="V37" i="6"/>
  <c r="V32" i="6"/>
  <c r="V27" i="6"/>
  <c r="V21" i="6"/>
  <c r="V17" i="6"/>
  <c r="S24" i="6"/>
  <c r="R28" i="6"/>
  <c r="S21" i="6"/>
  <c r="U33" i="6"/>
  <c r="U28" i="6"/>
  <c r="U22" i="6"/>
  <c r="U17" i="6"/>
  <c r="S23" i="6"/>
  <c r="R23" i="6"/>
  <c r="T37" i="6"/>
  <c r="T32" i="6"/>
  <c r="T26" i="6"/>
  <c r="T21" i="6"/>
  <c r="T16" i="6"/>
  <c r="S18" i="6"/>
  <c r="R24" i="6"/>
  <c r="V36" i="6"/>
  <c r="V31" i="6"/>
  <c r="V25" i="6"/>
  <c r="V20" i="6"/>
  <c r="V16" i="6"/>
  <c r="S20" i="6"/>
  <c r="R22" i="6"/>
  <c r="U37" i="6"/>
  <c r="U32" i="6"/>
  <c r="U26" i="6"/>
  <c r="U21" i="6"/>
  <c r="U16" i="6"/>
  <c r="R35" i="6"/>
  <c r="R21" i="6"/>
  <c r="T36" i="6"/>
  <c r="T30" i="6"/>
  <c r="T25" i="6"/>
  <c r="T20" i="6"/>
  <c r="S34" i="6"/>
  <c r="W126" i="7"/>
  <c r="AF126" i="7" s="1" a="1"/>
  <c r="AF126" i="7" s="1"/>
  <c r="R36" i="6"/>
  <c r="R20" i="6"/>
  <c r="V35" i="6"/>
  <c r="V29" i="6"/>
  <c r="V24" i="6"/>
  <c r="V19" i="6"/>
  <c r="S36" i="6"/>
  <c r="R34" i="6"/>
  <c r="R19" i="6"/>
  <c r="U36" i="6"/>
  <c r="U30" i="6"/>
  <c r="U25" i="6"/>
  <c r="U20" i="6"/>
  <c r="S31" i="6"/>
  <c r="R32" i="6"/>
  <c r="S33" i="6"/>
  <c r="T34" i="6"/>
  <c r="T29" i="6"/>
  <c r="T24" i="6"/>
  <c r="T18" i="6"/>
  <c r="S30" i="6"/>
  <c r="V33" i="6"/>
  <c r="R31" i="6"/>
  <c r="U34" i="6"/>
  <c r="U29" i="6"/>
  <c r="S27" i="6"/>
  <c r="R30" i="6"/>
  <c r="T33" i="6"/>
  <c r="T28" i="6"/>
  <c r="T22" i="6"/>
  <c r="S26" i="6"/>
  <c r="R27" i="6"/>
  <c r="S37" i="6"/>
  <c r="V34" i="6"/>
  <c r="V30" i="6"/>
  <c r="V26" i="6"/>
  <c r="V22" i="6"/>
  <c r="S32" i="6"/>
  <c r="R37" i="6"/>
  <c r="R25" i="6"/>
  <c r="S29" i="6"/>
  <c r="U35" i="6"/>
  <c r="U31" i="6"/>
  <c r="U27" i="6"/>
  <c r="U23" i="6"/>
  <c r="U19" i="6"/>
  <c r="S35" i="6"/>
  <c r="S19" i="6"/>
  <c r="R26" i="6"/>
  <c r="S25" i="6"/>
  <c r="T35" i="6"/>
  <c r="T31" i="6"/>
  <c r="T27" i="6"/>
  <c r="T23" i="6"/>
  <c r="T19" i="6"/>
  <c r="S16" i="6"/>
  <c r="Q18" i="6"/>
  <c r="Q20" i="6"/>
  <c r="Q25" i="6"/>
  <c r="Q37" i="6"/>
  <c r="Q32" i="6"/>
  <c r="Q27" i="6"/>
  <c r="Q22" i="6"/>
  <c r="Q26" i="6"/>
  <c r="Q30" i="6"/>
  <c r="Q36" i="6"/>
  <c r="Q31" i="6"/>
  <c r="Q19" i="6"/>
  <c r="Q23" i="6"/>
  <c r="Q24" i="6"/>
  <c r="Q33" i="6"/>
  <c r="Q28" i="6"/>
  <c r="AB126" i="7"/>
  <c r="Q16" i="6" s="1"/>
  <c r="Q17" i="6"/>
  <c r="Q21" i="6"/>
  <c r="Q34" i="6"/>
  <c r="Q29" i="6"/>
  <c r="K25" i="6" a="1"/>
  <c r="K25" i="6" s="1"/>
  <c r="T79" i="7" a="1"/>
  <c r="T79" i="7" s="1"/>
  <c r="AH54" i="7" l="1"/>
  <c r="G26" i="6" s="1"/>
  <c r="AH53" i="7"/>
  <c r="G20" i="6" s="1"/>
  <c r="AH56" i="7"/>
  <c r="G38" i="6" s="1"/>
  <c r="AH55" i="7"/>
  <c r="G32" i="6" s="1"/>
  <c r="AH52" i="7"/>
  <c r="G14" i="6" s="1"/>
  <c r="G25" i="6"/>
  <c r="AE51" i="7" a="1"/>
  <c r="G24" i="6" s="1"/>
  <c r="AH51" i="7"/>
  <c r="G9" i="6" s="1"/>
  <c r="G13" i="6"/>
  <c r="G19" i="6"/>
  <c r="G37" i="6"/>
  <c r="G31" i="6"/>
  <c r="R16" i="6"/>
  <c r="BH126" i="7" a="1"/>
  <c r="BH126" i="7" s="1"/>
  <c r="AK126" i="7" a="1"/>
  <c r="AK126" i="7" s="1"/>
  <c r="BE126" i="7" a="1"/>
  <c r="BE126" i="7" s="1"/>
  <c r="AT126" i="7" a="1"/>
  <c r="AT126" i="7" s="1"/>
  <c r="AI126" i="7" a="1"/>
  <c r="AI126" i="7" s="1"/>
  <c r="AY126" i="7" a="1"/>
  <c r="AY126" i="7" s="1"/>
  <c r="AO126" i="7" a="1"/>
  <c r="AO126" i="7" s="1"/>
  <c r="AV126" i="7" a="1"/>
  <c r="AV126" i="7" s="1"/>
  <c r="AW126" i="7" a="1"/>
  <c r="AW126" i="7" s="1"/>
  <c r="AL126" i="7" a="1"/>
  <c r="AL126" i="7" s="1"/>
  <c r="BB126" i="7" a="1"/>
  <c r="BB126" i="7" s="1"/>
  <c r="AQ126" i="7" a="1"/>
  <c r="AQ126" i="7" s="1"/>
  <c r="BG126" i="7" a="1"/>
  <c r="BG126" i="7" s="1"/>
  <c r="AN126" i="7" a="1"/>
  <c r="AN126" i="7" s="1"/>
  <c r="BD126" i="7" a="1"/>
  <c r="BD126" i="7" s="1"/>
  <c r="BA126" i="7" a="1"/>
  <c r="BA126" i="7" s="1"/>
  <c r="AP126" i="7" a="1"/>
  <c r="AP126" i="7" s="1"/>
  <c r="BF126" i="7" a="1"/>
  <c r="BF126" i="7" s="1"/>
  <c r="AU126" i="7" a="1"/>
  <c r="AU126" i="7" s="1"/>
  <c r="AG126" i="7" a="1"/>
  <c r="AG126" i="7" s="1"/>
  <c r="AR126" i="7" a="1"/>
  <c r="AR126" i="7" s="1"/>
  <c r="AS126" i="7" a="1"/>
  <c r="AS126" i="7" s="1"/>
  <c r="AH126" i="7" a="1"/>
  <c r="AH126" i="7" s="1"/>
  <c r="AX126" i="7" a="1"/>
  <c r="AX126" i="7" s="1"/>
  <c r="AM126" i="7" a="1"/>
  <c r="AM126" i="7" s="1"/>
  <c r="BC126" i="7" a="1"/>
  <c r="BC126" i="7" s="1"/>
  <c r="AJ126" i="7" a="1"/>
  <c r="AJ126" i="7" s="1"/>
  <c r="AZ126" i="7" a="1"/>
  <c r="AZ126" i="7" s="1"/>
  <c r="AQ79" i="7" a="1"/>
  <c r="AQ79" i="7" s="1"/>
  <c r="AS79" i="7" a="1"/>
  <c r="AS79" i="7" s="1"/>
  <c r="AU79" i="7" a="1"/>
  <c r="AU79" i="7" s="1"/>
  <c r="AI79" i="7" a="1"/>
  <c r="AI79" i="7" s="1"/>
  <c r="AH79" i="7" a="1"/>
  <c r="AH79" i="7" s="1"/>
  <c r="AG79" i="7" a="1"/>
  <c r="AG79" i="7" s="1"/>
  <c r="AP79" i="7" a="1"/>
  <c r="AP79" i="7" s="1"/>
  <c r="AD79" i="7" a="1"/>
  <c r="AD79" i="7" s="1"/>
  <c r="U79" i="7" a="1"/>
  <c r="U79" i="7" s="1"/>
  <c r="AK79" i="7" a="1"/>
  <c r="AK79" i="7" s="1"/>
  <c r="AV79" i="7" a="1"/>
  <c r="AV79" i="7" s="1"/>
  <c r="AN79" i="7" a="1"/>
  <c r="AN79" i="7" s="1"/>
  <c r="X79" i="7" a="1"/>
  <c r="X79" i="7" s="1"/>
  <c r="AT79" i="7" a="1"/>
  <c r="AT79" i="7" s="1"/>
  <c r="AB79" i="7" a="1"/>
  <c r="AB79" i="7" s="1"/>
  <c r="W79" i="7" a="1"/>
  <c r="W79" i="7" s="1"/>
  <c r="V79" i="7" a="1"/>
  <c r="V79" i="7" s="1"/>
  <c r="AL79" i="7" a="1"/>
  <c r="AL79" i="7" s="1"/>
  <c r="AC79" i="7" a="1"/>
  <c r="AC79" i="7" s="1"/>
  <c r="Z79" i="7" a="1"/>
  <c r="Z79" i="7" s="1"/>
  <c r="AO79" i="7" a="1"/>
  <c r="AO79" i="7" s="1"/>
  <c r="AR79" i="7" a="1"/>
  <c r="AR79" i="7" s="1"/>
  <c r="AM79" i="7" a="1"/>
  <c r="AM79" i="7" s="1"/>
  <c r="AA79" i="7" a="1"/>
  <c r="AA79" i="7" s="1"/>
  <c r="AJ79" i="7" a="1"/>
  <c r="AJ79" i="7" s="1"/>
  <c r="Y79" i="7" a="1"/>
  <c r="Y79" i="7" s="1"/>
  <c r="AF79" i="7" a="1"/>
  <c r="AF79" i="7" s="1"/>
  <c r="AE79" i="7" a="1"/>
  <c r="AE79" i="7" s="1"/>
  <c r="G30" i="6" l="1"/>
  <c r="G36" i="6"/>
  <c r="G12" i="6"/>
  <c r="AE51" i="7"/>
  <c r="G7" i="6" s="1"/>
  <c r="G1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61601-78F9-43C3-A42C-F5C544EA57C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11C3CCC-69F2-461E-AB23-0500D186A0D4}" name="WorksheetConnection_dashboard - exercise.xlsx!locations" type="102" refreshedVersion="8" minRefreshableVersion="5">
    <extLst>
      <ext xmlns:x15="http://schemas.microsoft.com/office/spreadsheetml/2010/11/main" uri="{DE250136-89BD-433C-8126-D09CA5730AF9}">
        <x15:connection id="locations">
          <x15:rangePr sourceName="_xlcn.WorksheetConnection_dashboardexercise.xlsxlocations1"/>
        </x15:connection>
      </ext>
    </extLst>
  </connection>
  <connection id="3" xr16:uid="{AD15070F-4B88-4BB8-9CAF-B87E012E6A5C}" name="WorksheetConnection_dashboard - exercise.xlsx!people" type="102" refreshedVersion="8" minRefreshableVersion="5">
    <extLst>
      <ext xmlns:x15="http://schemas.microsoft.com/office/spreadsheetml/2010/11/main" uri="{DE250136-89BD-433C-8126-D09CA5730AF9}">
        <x15:connection id="people">
          <x15:rangePr sourceName="_xlcn.WorksheetConnection_dashboardexercise.xlsxpeople1"/>
        </x15:connection>
      </ext>
    </extLst>
  </connection>
  <connection id="4" xr16:uid="{70238197-DFFF-4FB7-92E8-87813D83A476}" name="WorksheetConnection_dashboard - exercise.xlsx!products" type="102" refreshedVersion="8" minRefreshableVersion="5">
    <extLst>
      <ext xmlns:x15="http://schemas.microsoft.com/office/spreadsheetml/2010/11/main" uri="{DE250136-89BD-433C-8126-D09CA5730AF9}">
        <x15:connection id="products">
          <x15:rangePr sourceName="_xlcn.WorksheetConnection_dashboardexercise.xlsxproducts1"/>
        </x15:connection>
      </ext>
    </extLst>
  </connection>
  <connection id="5" xr16:uid="{50F9C378-B811-4193-9E3D-056DAD84F1FC}" name="WorksheetConnection_dashboard - exercise.xlsx!sales" type="102" refreshedVersion="8" minRefreshableVersion="5">
    <extLst>
      <ext xmlns:x15="http://schemas.microsoft.com/office/spreadsheetml/2010/11/main" uri="{DE250136-89BD-433C-8126-D09CA5730AF9}">
        <x15:connection id="sales">
          <x15:rangePr sourceName="_xlcn.WorksheetConnection_dashboardexercise.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<sst xmlns="http://schemas.openxmlformats.org/spreadsheetml/2006/main" count="11880" uniqueCount="215">
  <si>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</si>
  <si>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</si>
  <si>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</si>
  <si>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</si>
  <si>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</si>
  <si>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</si>
  <si>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</si>
  <si>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</si>
  <si>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</si>
  <si>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</si>
  <si>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</si>
  <si>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</si>
  <si>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</si>
  <si>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</si>
  <si>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</si>
  <si>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</si>
  <si>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</si>
  <si>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</si>
  <si>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</si>
  <si>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</si>
  <si>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</si>
  <si>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</si>
  <si>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</si>
  <si>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</si>
  <si>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</si>
  <si>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</si>
  <si>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</si>
  <si>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</si>
  <si>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</si>
  <si>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</si>
  <si>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</si>
  <si>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</si>
  <si>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</si>
  <si>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</si>
  <si>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</si>
  <si>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</si>
  <si>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</si>
  <si>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</si>
  <si>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</si>
  <si>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</si>
  <si>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</si>
  <si>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</si>
  <si>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</si>
  <si>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</si>
  <si>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</si>
  <si>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</si>
  <si>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</si>
  <si>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</si>
  <si>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</si>
  <si>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</si>
  <si>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</si>
  <si>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</si>
  <si>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</si>
  <si>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</si>
  <si>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</si>
  <si>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</si>
  <si>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</si>
  <si>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</si>
  <si>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</si>
  <si>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</si>
  <si>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</si>
  <si>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</si>
  <si>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</si>
  <si>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</si>
  <si>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</si>
  <si>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</si>
  <si>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</si>
  <si>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</si>
  <si>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</si>
  <si>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</si>
  <si>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</si>
  <si>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</si>
  <si>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</si>
  <si>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</si>
  <si>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</si>
  <si>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</si>
  <si>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</si>
  <si>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</si>
  <si>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</si>
  <si>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</si>
  <si>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</si>
  <si>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</si>
  <si>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</si>
  <si>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</si>
  <si>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</si>
  <si>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</si>
  <si>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</si>
  <si>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</si>
  <si>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</si>
  <si>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</si>
  <si>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</si>
  <si>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</si>
  <si>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</si>
  <si>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</si>
  <si>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</si>
  <si>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</si>
  <si>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</si>
  <si>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</si>
  <si>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</si>
  <si>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</si>
  <si>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</si>
  <si>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</si>
  <si>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</si>
  <si>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</si>
  <si>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</si>
  <si>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</si>
  <si>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Shipment Count</t>
  </si>
  <si>
    <t>Total Cost</t>
  </si>
  <si>
    <t>Total Profit</t>
  </si>
  <si>
    <t>Profit %</t>
  </si>
  <si>
    <t>2021</t>
  </si>
  <si>
    <t>2022</t>
  </si>
  <si>
    <t>Jan</t>
  </si>
  <si>
    <t>Feb</t>
  </si>
  <si>
    <t>Mar</t>
  </si>
  <si>
    <t>Apr</t>
  </si>
  <si>
    <t>May</t>
  </si>
  <si>
    <t>Jun</t>
  </si>
  <si>
    <t>Jul</t>
  </si>
  <si>
    <t>Aug</t>
  </si>
  <si>
    <t>Sep</t>
  </si>
  <si>
    <t>Oct</t>
  </si>
  <si>
    <t>Nov</t>
  </si>
  <si>
    <t>Dec</t>
  </si>
  <si>
    <t>Row Labels</t>
  </si>
  <si>
    <t>Date (Year)</t>
  </si>
  <si>
    <t>Date (Month)</t>
  </si>
  <si>
    <t>Summary for Dashboard</t>
  </si>
  <si>
    <t>KPIs</t>
  </si>
  <si>
    <t>This Month</t>
  </si>
  <si>
    <t>Last Month</t>
  </si>
  <si>
    <t>Total Amount</t>
  </si>
  <si>
    <t>Shipments</t>
  </si>
  <si>
    <t>Proft%</t>
  </si>
  <si>
    <t>MoM%</t>
  </si>
  <si>
    <t>Overall</t>
  </si>
  <si>
    <t>Selected</t>
  </si>
  <si>
    <t>DISPLAY</t>
  </si>
  <si>
    <t>Format Code</t>
  </si>
  <si>
    <t>$#,,.00 "m"</t>
  </si>
  <si>
    <t>#,#,.0 "k"</t>
  </si>
  <si>
    <t>#,##</t>
  </si>
  <si>
    <t>#0.0%</t>
  </si>
  <si>
    <t xml:space="preserve"> </t>
  </si>
  <si>
    <t>Category Selected?</t>
  </si>
  <si>
    <t>MAPS</t>
  </si>
  <si>
    <t>SORT OPTIONS</t>
  </si>
  <si>
    <t>Sales</t>
  </si>
  <si>
    <t>SELECTED OPTIONS</t>
  </si>
  <si>
    <t>Pivot Values</t>
  </si>
  <si>
    <t>Profit%</t>
  </si>
  <si>
    <t>SORTED LIST</t>
  </si>
  <si>
    <t>MAP ID #</t>
  </si>
  <si>
    <t>DASHBOARD</t>
  </si>
  <si>
    <t>Value (all)</t>
  </si>
  <si>
    <t>Value (selected)</t>
  </si>
  <si>
    <t>0.0%</t>
  </si>
  <si>
    <t>TITLE</t>
  </si>
  <si>
    <t>$ #,,.00 "m"</t>
  </si>
  <si>
    <t xml:space="preserve">PEOPLE </t>
  </si>
  <si>
    <t xml:space="preserve"> TEAM</t>
  </si>
  <si>
    <t>SALES</t>
  </si>
  <si>
    <t>PROFIT</t>
  </si>
  <si>
    <t>X</t>
  </si>
  <si>
    <t>Y</t>
  </si>
  <si>
    <t>⭐</t>
  </si>
  <si>
    <t>SIZE</t>
  </si>
  <si>
    <t>SIZE 2</t>
  </si>
  <si>
    <t>Selected Team</t>
  </si>
  <si>
    <t>Sales (Formated)</t>
  </si>
  <si>
    <t>Profit (Formated)</t>
  </si>
  <si>
    <t>FILTERED DATA</t>
  </si>
  <si>
    <t>SALES PERSON</t>
  </si>
  <si>
    <t>AMOUNT</t>
  </si>
  <si>
    <t>TOTAL PROFIT</t>
  </si>
  <si>
    <t>PROFIT %</t>
  </si>
  <si>
    <t>MAX amount</t>
  </si>
  <si>
    <t>PROFIT ICON</t>
  </si>
  <si>
    <t>Trend Options</t>
  </si>
  <si>
    <t>Shipped?</t>
  </si>
  <si>
    <t>Latest Sales Date</t>
  </si>
  <si>
    <t>28 days ago</t>
  </si>
  <si>
    <t>Persons</t>
  </si>
  <si>
    <t>Sort Options</t>
  </si>
  <si>
    <t>Profit</t>
  </si>
  <si>
    <t>Sales Order</t>
  </si>
  <si>
    <t>SORT BY:</t>
  </si>
  <si>
    <t>Team Names</t>
  </si>
  <si>
    <t>Header Options</t>
  </si>
  <si>
    <t>🔽</t>
  </si>
  <si>
    <t>Is on slicer?</t>
  </si>
  <si>
    <t>Blank</t>
  </si>
  <si>
    <t>Profit &amp;</t>
  </si>
  <si>
    <t>Cost %</t>
  </si>
  <si>
    <t>$#,,.00</t>
  </si>
  <si>
    <t>Display Label</t>
  </si>
  <si>
    <t>◉</t>
  </si>
  <si>
    <t>alt+e+s</t>
  </si>
  <si>
    <t>format charts shortcut</t>
  </si>
  <si>
    <t>Sort by</t>
  </si>
  <si>
    <t>Sort Order</t>
  </si>
  <si>
    <t>Profit Icon</t>
  </si>
  <si>
    <t>Sort by column #</t>
  </si>
  <si>
    <t>Data from Pivots</t>
  </si>
  <si>
    <t>Is CAT on Slicer</t>
  </si>
  <si>
    <t>Sorted Data</t>
  </si>
  <si>
    <t>Data bar limit</t>
  </si>
  <si>
    <t>Last 28 Days</t>
  </si>
  <si>
    <t>Selected Trend</t>
  </si>
  <si>
    <t>Profit Indicators:</t>
  </si>
  <si>
    <t>PICK A TEAM:</t>
  </si>
  <si>
    <t>Sales (Selected)</t>
  </si>
  <si>
    <t>Profit%  (Selected)</t>
  </si>
  <si>
    <t>Created By: Talha Naeem Rao</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</si>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</sst>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0;\(\$#,##0\);\$#,##0"/>
    <numFmt numFmtId="165" formatCode="&quot;$&quot;#,##0"/>
    <numFmt numFmtId="166" formatCode="_(* #,##0_);_(* \(#,##0\);_(* &quot;-&quot;??_);_(@_)"/>
    <numFmt numFmtId="167" formatCode="0.0%;\-0.0%;0.0%"/>
    <numFmt numFmtId="168" formatCode="[$-409]d/mmm/yy;@"/>
    <numFmt numFmtId="169" formatCode="0.0%"/>
    <numFmt numFmtId="170" formatCode=";;;"/>
  </numFmts>
  <fonts count="21"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0"/>
      <name val="Arial"/>
      <family val="2"/>
      <scheme val="minor"/>
    </font>
    <font>
      <sz val="36"/>
      <color theme="1"/>
      <name val="Barlow Condensed ExtraBold"/>
      <scheme val="major"/>
    </font>
    <font>
      <sz val="12"/>
      <color theme="1"/>
      <name val="Arial"/>
      <family val="2"/>
      <scheme val="minor"/>
    </font>
    <font>
      <sz val="11"/>
      <color theme="1" tint="0.34998626667073579"/>
      <name val="Arial"/>
      <family val="2"/>
      <scheme val="minor"/>
    </font>
    <font>
      <sz val="12"/>
      <color rgb="FF00B0F0"/>
      <name val="Barlow Condensed ExtraBold"/>
      <scheme val="major"/>
    </font>
    <font>
      <b/>
      <sz val="11"/>
      <color rgb="FF00B0F0"/>
      <name val="Arial"/>
      <family val="2"/>
      <scheme val="minor"/>
    </font>
    <font>
      <sz val="11"/>
      <color theme="2" tint="-0.249977111117893"/>
      <name val="Arial"/>
      <family val="2"/>
      <scheme val="minor"/>
    </font>
    <font>
      <i/>
      <sz val="11"/>
      <color rgb="FFFFC000"/>
      <name val="Arial"/>
      <family val="2"/>
      <scheme val="minor"/>
    </font>
    <font>
      <sz val="11"/>
      <color theme="7"/>
      <name val="Barlow Condensed ExtraBold"/>
      <scheme val="major"/>
    </font>
    <font>
      <sz val="11"/>
      <color theme="0" tint="-0.249977111117893"/>
      <name val="Arial"/>
      <family val="2"/>
      <scheme val="minor"/>
    </font>
    <font>
      <sz val="12"/>
      <color theme="7"/>
      <name val="Barlow Condensed ExtraBold"/>
      <scheme val="major"/>
    </font>
    <font>
      <sz val="11"/>
      <color theme="2" tint="-0.499984740745262"/>
      <name val="Arial"/>
      <family val="2"/>
      <scheme val="minor"/>
    </font>
    <font>
      <u/>
      <sz val="11"/>
      <color theme="10"/>
      <name val="Arial"/>
      <family val="2"/>
      <scheme val="minor"/>
    </font>
    <font>
      <u/>
      <sz val="11"/>
      <color theme="7"/>
      <name val="Arial"/>
      <family val="2"/>
      <scheme val="minor"/>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8"/>
        <bgColor indexed="64"/>
      </patternFill>
    </fill>
    <fill>
      <patternFill patternType="solid">
        <fgColor theme="9" tint="-0.249977111117893"/>
        <bgColor indexed="64"/>
      </patternFill>
    </fill>
    <fill>
      <patternFill patternType="solid">
        <fgColor theme="2" tint="-0.749992370372631"/>
        <bgColor indexed="64"/>
      </patternFill>
    </fill>
  </fills>
  <borders count="1">
    <border>
      <left/>
      <right/>
      <top/>
      <bottom/>
      <diagonal/>
    </border>
  </borders>
  <cellStyleXfs count="5">
    <xf numFmtId="0" fontId="0" fillId="0" borderId="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xf numFmtId="0" fontId="19" fillId="0" borderId="0" applyNumberFormat="0" applyFill="0" applyBorder="0" applyAlignment="0" applyProtection="0"/>
  </cellStyleXfs>
  <cellXfs count="65">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8" fillId="6" borderId="0" xfId="0" applyFont="1"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9" fontId="0" fillId="0" borderId="0" xfId="3" applyFont="1"/>
    <xf numFmtId="0" fontId="9" fillId="0" borderId="0" xfId="0" applyFont="1"/>
    <xf numFmtId="10" fontId="0" fillId="0" borderId="0" xfId="0" applyNumberFormat="1" applyAlignment="1">
      <alignment horizontal="left"/>
    </xf>
    <xf numFmtId="9" fontId="4" fillId="4" borderId="0" xfId="3" applyFont="1" applyFill="1" applyAlignment="1">
      <alignment horizontal="center"/>
    </xf>
    <xf numFmtId="0" fontId="4" fillId="4" borderId="0" xfId="0" applyFont="1" applyFill="1"/>
    <xf numFmtId="9" fontId="10" fillId="4" borderId="0" xfId="3" applyFont="1" applyFill="1" applyAlignment="1">
      <alignment horizontal="center"/>
    </xf>
    <xf numFmtId="0" fontId="0" fillId="12" borderId="0" xfId="0" applyFill="1"/>
    <xf numFmtId="49" fontId="0" fillId="0" borderId="0" xfId="0" applyNumberFormat="1"/>
    <xf numFmtId="0" fontId="11" fillId="4" borderId="0" xfId="0" applyFont="1" applyFill="1"/>
    <xf numFmtId="0" fontId="12" fillId="4" borderId="0" xfId="0" applyFont="1" applyFill="1"/>
    <xf numFmtId="0" fontId="13" fillId="4" borderId="0" xfId="0" applyFont="1" applyFill="1"/>
    <xf numFmtId="0" fontId="14" fillId="4" borderId="0" xfId="0" applyFont="1" applyFill="1"/>
    <xf numFmtId="0" fontId="0" fillId="13" borderId="0" xfId="0" applyFill="1"/>
    <xf numFmtId="0" fontId="16" fillId="4" borderId="0" xfId="0" applyFont="1" applyFill="1"/>
    <xf numFmtId="43" fontId="16" fillId="4" borderId="0" xfId="1" applyFont="1" applyFill="1"/>
    <xf numFmtId="44" fontId="16" fillId="4" borderId="0" xfId="2" applyFont="1" applyFill="1"/>
    <xf numFmtId="9" fontId="16" fillId="4" borderId="0" xfId="3" applyFont="1" applyFill="1"/>
    <xf numFmtId="168" fontId="0" fillId="0" borderId="0" xfId="0" applyNumberFormat="1"/>
    <xf numFmtId="0" fontId="15" fillId="11" borderId="0" xfId="0" applyFont="1" applyFill="1" applyAlignment="1">
      <alignment horizontal="center"/>
    </xf>
    <xf numFmtId="0" fontId="0" fillId="4" borderId="0" xfId="0" applyFill="1" applyAlignment="1">
      <alignment vertical="center"/>
    </xf>
    <xf numFmtId="169" fontId="0" fillId="0" borderId="0" xfId="0" applyNumberFormat="1"/>
    <xf numFmtId="0" fontId="7" fillId="14" borderId="0" xfId="0" applyFont="1" applyFill="1"/>
    <xf numFmtId="0" fontId="2" fillId="0" borderId="0" xfId="0" applyFont="1" applyAlignment="1">
      <alignment horizontal="center"/>
    </xf>
    <xf numFmtId="0" fontId="0" fillId="0" borderId="0" xfId="0" applyAlignment="1">
      <alignment horizontal="center"/>
    </xf>
    <xf numFmtId="0" fontId="17" fillId="4" borderId="0" xfId="0" applyFont="1" applyFill="1"/>
    <xf numFmtId="0" fontId="17" fillId="4" borderId="0" xfId="0" applyFont="1" applyFill="1" applyAlignment="1">
      <alignment horizontal="center"/>
    </xf>
    <xf numFmtId="0" fontId="17" fillId="4" borderId="0" xfId="0" applyFont="1" applyFill="1" applyAlignment="1">
      <alignment horizontal="right"/>
    </xf>
    <xf numFmtId="170" fontId="0" fillId="15" borderId="0" xfId="0" applyNumberFormat="1" applyFill="1"/>
    <xf numFmtId="0" fontId="18" fillId="4" borderId="0" xfId="0" applyFont="1" applyFill="1"/>
    <xf numFmtId="0" fontId="18" fillId="15" borderId="0" xfId="0" applyFont="1" applyFill="1" applyAlignment="1">
      <alignment horizontal="left" vertical="center"/>
    </xf>
    <xf numFmtId="0" fontId="18" fillId="15" borderId="0" xfId="0" applyFont="1" applyFill="1" applyAlignment="1">
      <alignment horizontal="center" vertical="center"/>
    </xf>
    <xf numFmtId="0" fontId="18" fillId="15" borderId="0" xfId="0" applyFont="1" applyFill="1" applyAlignment="1">
      <alignment vertical="center"/>
    </xf>
    <xf numFmtId="0" fontId="5" fillId="4" borderId="0" xfId="0" applyFont="1" applyFill="1"/>
    <xf numFmtId="43" fontId="5" fillId="4" borderId="0" xfId="1" applyFont="1" applyFill="1"/>
    <xf numFmtId="44" fontId="5" fillId="4" borderId="0" xfId="2" applyFont="1" applyFill="1"/>
    <xf numFmtId="9" fontId="5" fillId="4" borderId="0" xfId="3" applyFont="1" applyFill="1"/>
    <xf numFmtId="0" fontId="4" fillId="15" borderId="0" xfId="0" applyFont="1" applyFill="1" applyAlignment="1">
      <alignment horizontal="left" vertical="center"/>
    </xf>
    <xf numFmtId="0" fontId="20" fillId="15" borderId="0" xfId="4" applyFont="1" applyFill="1" applyAlignment="1">
      <alignment horizontal="left" vertical="center"/>
    </xf>
  </cellXfs>
  <cellStyles count="5">
    <cellStyle name="Comma" xfId="1" builtinId="3"/>
    <cellStyle name="Currency" xfId="2" builtinId="4"/>
    <cellStyle name="Hyperlink" xfId="4" builtinId="8"/>
    <cellStyle name="Normal" xfId="0" builtinId="0"/>
    <cellStyle name="Percent" xfId="3" builtinId="5"/>
  </cellStyles>
  <dxfs count="19">
    <dxf>
      <fill>
        <patternFill>
          <bgColor theme="1" tint="0.24994659260841701"/>
        </patternFill>
      </fill>
    </dxf>
    <dxf>
      <fill>
        <patternFill>
          <bgColor theme="7"/>
        </patternFill>
      </fill>
    </dxf>
    <dxf>
      <fill>
        <patternFill>
          <bgColor rgb="FF00B0F0"/>
        </patternFill>
      </fill>
    </dxf>
    <dxf>
      <fill>
        <patternFill>
          <bgColor theme="1" tint="0.24994659260841701"/>
        </patternFill>
      </fill>
    </dxf>
    <dxf>
      <fill>
        <patternFill>
          <bgColor rgb="FF00B0F0"/>
        </patternFill>
      </fill>
    </dxf>
    <dxf>
      <font>
        <color theme="7"/>
      </font>
    </dxf>
    <dxf>
      <numFmt numFmtId="166" formatCode="_(* #,##0_);_(* \(#,##0\);_(* &quot;-&quot;??_);_(@_)"/>
    </dxf>
    <dxf>
      <numFmt numFmtId="165" formatCode="&quot;$&quot;#,##0"/>
    </dxf>
    <dxf>
      <numFmt numFmtId="166" formatCode="_(* #,##0_);_(* \(#,##0\);_(* &quot;-&quot;??_);_(@_)"/>
    </dxf>
    <dxf>
      <numFmt numFmtId="165" formatCode="&quot;$&quot;#,##0"/>
    </dxf>
    <dxf>
      <numFmt numFmtId="166" formatCode="_(* #,##0_);_(* \(#,##0\);_(* &quot;-&quot;??_);_(@_)"/>
    </dxf>
    <dxf>
      <numFmt numFmtId="165" formatCode="&quot;$&quot;#,##0"/>
    </dxf>
    <dxf>
      <numFmt numFmtId="12" formatCode="&quot;$&quot;#,##0.00_);[Red]\(&quot;$&quot;#,##0.00\)"/>
    </dxf>
    <dxf>
      <numFmt numFmtId="12" formatCode="&quot;$&quot;#,##0.00_);[Red]\(&quot;$&quot;#,##0.00\)"/>
    </dxf>
    <dxf>
      <numFmt numFmtId="3" formatCode="#,##0"/>
    </dxf>
    <dxf>
      <numFmt numFmtId="10" formatCode="&quot;$&quot;#,##0_);[Red]\(&quot;$&quot;#,##0\)"/>
    </dxf>
    <dxf>
      <numFmt numFmtId="171" formatCode="m/d/yyyy"/>
    </dxf>
    <dxf>
      <font>
        <b/>
        <color theme="1"/>
      </font>
      <border>
        <bottom style="thin">
          <color theme="7"/>
        </bottom>
        <vertical/>
        <horizontal/>
      </border>
    </dxf>
    <dxf>
      <font>
        <color theme="7"/>
        <name val="Barlow Condensed ExtraBold"/>
        <scheme val="major"/>
      </font>
      <fill>
        <patternFill>
          <bgColor theme="1" tint="0.14996795556505021"/>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 for db" pivot="0" table="0" count="10" xr9:uid="{FC4E64C3-EAC3-40DF-8B9E-EB873824EA90}">
      <tableStyleElement type="wholeTable" dxfId="18"/>
      <tableStyleElement type="headerRow" dxfId="1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93796975979188E-2"/>
          <c:y val="6.3704460972805216E-2"/>
          <c:w val="0.92776379532725384"/>
          <c:h val="0.8607407407407407"/>
        </c:manualLayout>
      </c:layout>
      <c:bubbleChart>
        <c:varyColors val="0"/>
        <c:ser>
          <c:idx val="0"/>
          <c:order val="0"/>
          <c:spPr>
            <a:solidFill>
              <a:schemeClr val="bg1">
                <a:lumMod val="65000"/>
              </a:schemeClr>
            </a:solidFill>
            <a:ln>
              <a:noFill/>
            </a:ln>
            <a:effectLst/>
          </c:spPr>
          <c:invertIfNegative val="0"/>
          <c:dLbls>
            <c:dLbl>
              <c:idx val="0"/>
              <c:tx>
                <c:rich>
                  <a:bodyPr/>
                  <a:lstStyle/>
                  <a:p>
                    <a:fld id="{43BEEDFB-AC29-42A7-94E5-3FF4FDB72C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D66-49D8-AAF7-9302287C06E3}"/>
                </c:ext>
              </c:extLst>
            </c:dLbl>
            <c:dLbl>
              <c:idx val="1"/>
              <c:tx>
                <c:rich>
                  <a:bodyPr/>
                  <a:lstStyle/>
                  <a:p>
                    <a:fld id="{490A666C-4F24-4561-831D-E415E05D82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D66-49D8-AAF7-9302287C06E3}"/>
                </c:ext>
              </c:extLst>
            </c:dLbl>
            <c:dLbl>
              <c:idx val="2"/>
              <c:tx>
                <c:rich>
                  <a:bodyPr/>
                  <a:lstStyle/>
                  <a:p>
                    <a:fld id="{CAFE2875-E819-4E9F-BA84-D892E28B61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D66-49D8-AAF7-9302287C06E3}"/>
                </c:ext>
              </c:extLst>
            </c:dLbl>
            <c:dLbl>
              <c:idx val="3"/>
              <c:tx>
                <c:rich>
                  <a:bodyPr/>
                  <a:lstStyle/>
                  <a:p>
                    <a:fld id="{C6339CD6-83B2-4E47-83C9-B83BF0CA7F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D66-49D8-AAF7-9302287C06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Calculations!$L$68:$L$71</c:f>
              <c:numCache>
                <c:formatCode>General</c:formatCode>
                <c:ptCount val="4"/>
                <c:pt idx="0">
                  <c:v>1</c:v>
                </c:pt>
                <c:pt idx="1">
                  <c:v>2</c:v>
                </c:pt>
                <c:pt idx="2">
                  <c:v>1</c:v>
                </c:pt>
                <c:pt idx="3">
                  <c:v>2</c:v>
                </c:pt>
              </c:numCache>
            </c:numRef>
          </c:xVal>
          <c:yVal>
            <c:numRef>
              <c:f>Calculations!$M$68:$M$71</c:f>
              <c:numCache>
                <c:formatCode>General</c:formatCode>
                <c:ptCount val="4"/>
                <c:pt idx="0">
                  <c:v>2</c:v>
                </c:pt>
                <c:pt idx="1">
                  <c:v>2</c:v>
                </c:pt>
                <c:pt idx="2">
                  <c:v>1</c:v>
                </c:pt>
                <c:pt idx="3">
                  <c:v>1</c:v>
                </c:pt>
              </c:numCache>
            </c:numRef>
          </c:yVal>
          <c:bubbleSize>
            <c:numRef>
              <c:f>Calculations!$N$68:$N$71</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Calculations!$S$68:$S$71</c15:f>
                <c15:dlblRangeCache>
                  <c:ptCount val="4"/>
                  <c:pt idx="0">
                    <c:v>Yummies⭐
$ 7.89 m
$ 5.47 m</c:v>
                  </c:pt>
                  <c:pt idx="1">
                    <c:v>Delish
$ 6.14 m
$ 4.23 m</c:v>
                  </c:pt>
                  <c:pt idx="2">
                    <c:v>Jucies
$ 4.24 m
$ 2.91 m</c:v>
                  </c:pt>
                  <c:pt idx="3">
                    <c:v>Tempo
$ 3.44 m
$ 2.41 m</c:v>
                  </c:pt>
                </c15:dlblRangeCache>
              </c15:datalabelsRange>
            </c:ext>
            <c:ext xmlns:c16="http://schemas.microsoft.com/office/drawing/2014/chart" uri="{C3380CC4-5D6E-409C-BE32-E72D297353CC}">
              <c16:uniqueId val="{00000004-BD66-49D8-AAF7-9302287C06E3}"/>
            </c:ext>
          </c:extLst>
        </c:ser>
        <c:ser>
          <c:idx val="1"/>
          <c:order val="1"/>
          <c:tx>
            <c:strRef>
              <c:f>Calculations!$P$64</c:f>
              <c:strCache>
                <c:ptCount val="1"/>
                <c:pt idx="0">
                  <c:v>Delish</c:v>
                </c:pt>
              </c:strCache>
            </c:strRef>
          </c:tx>
          <c:spPr>
            <a:solidFill>
              <a:srgbClr val="0070C0"/>
            </a:solidFill>
            <a:ln w="25400">
              <a:noFill/>
            </a:ln>
            <a:effectLst/>
          </c:spPr>
          <c:invertIfNegative val="0"/>
          <c:dPt>
            <c:idx val="2"/>
            <c:invertIfNegative val="0"/>
            <c:bubble3D val="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outerShdw blurRad="50800" dist="38100" sx="102000" sy="102000" algn="l" rotWithShape="0">
                  <a:prstClr val="black">
                    <a:alpha val="86000"/>
                  </a:prstClr>
                </a:outerShdw>
              </a:effectLst>
            </c:spPr>
            <c:extLst>
              <c:ext xmlns:c16="http://schemas.microsoft.com/office/drawing/2014/chart" uri="{C3380CC4-5D6E-409C-BE32-E72D297353CC}">
                <c16:uniqueId val="{00000006-BD66-49D8-AAF7-9302287C06E3}"/>
              </c:ext>
            </c:extLst>
          </c:dPt>
          <c:xVal>
            <c:numRef>
              <c:f>Calculations!$L$68:$L$71</c:f>
              <c:numCache>
                <c:formatCode>General</c:formatCode>
                <c:ptCount val="4"/>
                <c:pt idx="0">
                  <c:v>1</c:v>
                </c:pt>
                <c:pt idx="1">
                  <c:v>2</c:v>
                </c:pt>
                <c:pt idx="2">
                  <c:v>1</c:v>
                </c:pt>
                <c:pt idx="3">
                  <c:v>2</c:v>
                </c:pt>
              </c:numCache>
            </c:numRef>
          </c:xVal>
          <c:yVal>
            <c:numRef>
              <c:f>Calculations!$M$68:$M$71</c:f>
              <c:numCache>
                <c:formatCode>General</c:formatCode>
                <c:ptCount val="4"/>
                <c:pt idx="0">
                  <c:v>2</c:v>
                </c:pt>
                <c:pt idx="1">
                  <c:v>2</c:v>
                </c:pt>
                <c:pt idx="2">
                  <c:v>1</c:v>
                </c:pt>
                <c:pt idx="3">
                  <c:v>1</c:v>
                </c:pt>
              </c:numCache>
            </c:numRef>
          </c:yVal>
          <c:bubbleSize>
            <c:numRef>
              <c:f>Calculations!$O$68:$O$71</c:f>
              <c:numCache>
                <c:formatCode>General</c:formatCode>
                <c:ptCount val="4"/>
                <c:pt idx="0">
                  <c:v>#N/A</c:v>
                </c:pt>
                <c:pt idx="1">
                  <c:v>6136837</c:v>
                </c:pt>
                <c:pt idx="2">
                  <c:v>#N/A</c:v>
                </c:pt>
                <c:pt idx="3">
                  <c:v>#N/A</c:v>
                </c:pt>
              </c:numCache>
            </c:numRef>
          </c:bubbleSize>
          <c:bubble3D val="0"/>
          <c:extLst>
            <c:ext xmlns:c16="http://schemas.microsoft.com/office/drawing/2014/chart" uri="{C3380CC4-5D6E-409C-BE32-E72D297353CC}">
              <c16:uniqueId val="{00000007-BD66-49D8-AAF7-9302287C06E3}"/>
            </c:ext>
          </c:extLst>
        </c:ser>
        <c:dLbls>
          <c:showLegendKey val="0"/>
          <c:showVal val="0"/>
          <c:showCatName val="0"/>
          <c:showSerName val="0"/>
          <c:showPercent val="0"/>
          <c:showBubbleSize val="0"/>
        </c:dLbls>
        <c:bubbleScale val="200"/>
        <c:showNegBubbles val="0"/>
        <c:axId val="934350896"/>
        <c:axId val="934349456"/>
      </c:bubbleChart>
      <c:valAx>
        <c:axId val="934350896"/>
        <c:scaling>
          <c:orientation val="minMax"/>
          <c:min val="0.5"/>
        </c:scaling>
        <c:delete val="1"/>
        <c:axPos val="b"/>
        <c:numFmt formatCode="General" sourceLinked="1"/>
        <c:majorTickMark val="none"/>
        <c:minorTickMark val="none"/>
        <c:tickLblPos val="nextTo"/>
        <c:crossAx val="934349456"/>
        <c:crosses val="autoZero"/>
        <c:crossBetween val="midCat"/>
      </c:valAx>
      <c:valAx>
        <c:axId val="934349456"/>
        <c:scaling>
          <c:orientation val="minMax"/>
          <c:min val="0.5"/>
        </c:scaling>
        <c:delete val="1"/>
        <c:axPos val="l"/>
        <c:numFmt formatCode="General" sourceLinked="1"/>
        <c:majorTickMark val="none"/>
        <c:minorTickMark val="none"/>
        <c:tickLblPos val="nextTo"/>
        <c:crossAx val="934350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044161500898376E-3"/>
          <c:y val="0"/>
          <c:w val="0.99659564613246876"/>
          <c:h val="0.99659564613246876"/>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B01C-4917-91E9-CD7AE761E62F}"/>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B01C-4917-91E9-CD7AE761E62F}"/>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5-B01C-4917-91E9-CD7AE761E62F}"/>
              </c:ext>
            </c:extLst>
          </c:dPt>
          <c:cat>
            <c:strRef>
              <c:f>Calculations!$L$108:$N$108</c:f>
              <c:strCache>
                <c:ptCount val="3"/>
                <c:pt idx="0">
                  <c:v>Blank</c:v>
                </c:pt>
                <c:pt idx="1">
                  <c:v>Profit &amp;</c:v>
                </c:pt>
                <c:pt idx="2">
                  <c:v>Cost %</c:v>
                </c:pt>
              </c:strCache>
            </c:strRef>
          </c:cat>
          <c:val>
            <c:numRef>
              <c:f>Calculations!$L$109:$N$109</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B01C-4917-91E9-CD7AE761E62F}"/>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044161500898376E-3"/>
          <c:y val="0"/>
          <c:w val="0.99659564613246876"/>
          <c:h val="0.99659564613246876"/>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9-47FF-4D10-8A82-24C5BCF4F595}"/>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B-47FF-4D10-8A82-24C5BCF4F595}"/>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D-47FF-4D10-8A82-24C5BCF4F595}"/>
              </c:ext>
            </c:extLst>
          </c:dPt>
          <c:cat>
            <c:strRef>
              <c:f>Calculations!$L$108:$N$108</c:f>
              <c:strCache>
                <c:ptCount val="3"/>
                <c:pt idx="0">
                  <c:v>Blank</c:v>
                </c:pt>
                <c:pt idx="1">
                  <c:v>Profit &amp;</c:v>
                </c:pt>
                <c:pt idx="2">
                  <c:v>Cost %</c:v>
                </c:pt>
              </c:strCache>
            </c:strRef>
          </c:cat>
          <c:val>
            <c:numRef>
              <c:f>Calculations!$L$110:$N$110</c:f>
              <c:numCache>
                <c:formatCode>0.0%;\-0.0%;0.0%</c:formatCode>
                <c:ptCount val="3"/>
                <c:pt idx="0" formatCode="General">
                  <c:v>1</c:v>
                </c:pt>
                <c:pt idx="1">
                  <c:v>0.60270394769867852</c:v>
                </c:pt>
                <c:pt idx="2" formatCode="0.0%">
                  <c:v>0.39729605230132148</c:v>
                </c:pt>
              </c:numCache>
            </c:numRef>
          </c:val>
          <c:extLst>
            <c:ext xmlns:c16="http://schemas.microsoft.com/office/drawing/2014/chart" uri="{C3380CC4-5D6E-409C-BE32-E72D297353CC}">
              <c16:uniqueId val="{0000000E-47FF-4D10-8A82-24C5BCF4F595}"/>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044161500898376E-3"/>
          <c:y val="0"/>
          <c:w val="0.99659564613246876"/>
          <c:h val="0.99659564613246876"/>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9-3833-43C2-A841-66035D2FF54C}"/>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B-3833-43C2-A841-66035D2FF54C}"/>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D-3833-43C2-A841-66035D2FF54C}"/>
              </c:ext>
            </c:extLst>
          </c:dPt>
          <c:cat>
            <c:strRef>
              <c:f>Calculations!$L$108:$N$108</c:f>
              <c:strCache>
                <c:ptCount val="3"/>
                <c:pt idx="0">
                  <c:v>Blank</c:v>
                </c:pt>
                <c:pt idx="1">
                  <c:v>Profit &amp;</c:v>
                </c:pt>
                <c:pt idx="2">
                  <c:v>Cost %</c:v>
                </c:pt>
              </c:strCache>
            </c:strRef>
          </c:cat>
          <c:val>
            <c:numRef>
              <c:f>Calculations!$L$111:$N$111</c:f>
              <c:numCache>
                <c:formatCode>0.0%;\-0.0%;0.0%</c:formatCode>
                <c:ptCount val="3"/>
                <c:pt idx="0" formatCode="General">
                  <c:v>1</c:v>
                </c:pt>
                <c:pt idx="1">
                  <c:v>0.86216135519034354</c:v>
                </c:pt>
                <c:pt idx="2" formatCode="0.0%">
                  <c:v>0.13783864480965646</c:v>
                </c:pt>
              </c:numCache>
            </c:numRef>
          </c:val>
          <c:extLst>
            <c:ext xmlns:c16="http://schemas.microsoft.com/office/drawing/2014/chart" uri="{C3380CC4-5D6E-409C-BE32-E72D297353CC}">
              <c16:uniqueId val="{0000000E-3833-43C2-A841-66035D2FF54C}"/>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sv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svg"/><Relationship Id="rId20" Type="http://schemas.openxmlformats.org/officeDocument/2006/relationships/image" Target="../media/image21.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23.svg"/><Relationship Id="rId27" Type="http://schemas.openxmlformats.org/officeDocument/2006/relationships/image" Target="../media/image28.png"/></Relationships>
</file>

<file path=xl/drawings/_rels/drawing3.xml.rels><?xml version="1.0" encoding="UTF-8" standalone="yes"?>
<Relationships xmlns="http://schemas.openxmlformats.org/package/2006/relationships"><Relationship Id="rId2" Type="http://schemas.openxmlformats.org/officeDocument/2006/relationships/image" Target="../media/image15.sv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31.emf"/><Relationship Id="rId18" Type="http://schemas.openxmlformats.org/officeDocument/2006/relationships/image" Target="../media/image18.png"/><Relationship Id="rId3" Type="http://schemas.openxmlformats.org/officeDocument/2006/relationships/image" Target="../media/image15.svg"/><Relationship Id="rId21" Type="http://schemas.openxmlformats.org/officeDocument/2006/relationships/chart" Target="../charts/chart2.xml"/><Relationship Id="rId7" Type="http://schemas.openxmlformats.org/officeDocument/2006/relationships/image" Target="../media/image17.svg"/><Relationship Id="rId12" Type="http://schemas.openxmlformats.org/officeDocument/2006/relationships/image" Target="../media/image30.emf"/><Relationship Id="rId17" Type="http://schemas.openxmlformats.org/officeDocument/2006/relationships/image" Target="../media/image35.emf"/><Relationship Id="rId2" Type="http://schemas.openxmlformats.org/officeDocument/2006/relationships/image" Target="../media/image14.png"/><Relationship Id="rId16" Type="http://schemas.openxmlformats.org/officeDocument/2006/relationships/image" Target="../media/image34.emf"/><Relationship Id="rId20"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image" Target="../media/image16.png"/><Relationship Id="rId11" Type="http://schemas.openxmlformats.org/officeDocument/2006/relationships/image" Target="../media/image9.svg"/><Relationship Id="rId5" Type="http://schemas.openxmlformats.org/officeDocument/2006/relationships/image" Target="../media/image13.svg"/><Relationship Id="rId15" Type="http://schemas.openxmlformats.org/officeDocument/2006/relationships/image" Target="../media/image33.emf"/><Relationship Id="rId23" Type="http://schemas.openxmlformats.org/officeDocument/2006/relationships/chart" Target="../charts/chart4.xml"/><Relationship Id="rId10" Type="http://schemas.openxmlformats.org/officeDocument/2006/relationships/image" Target="../media/image8.png"/><Relationship Id="rId19" Type="http://schemas.openxmlformats.org/officeDocument/2006/relationships/image" Target="../media/image19.svg"/><Relationship Id="rId4" Type="http://schemas.openxmlformats.org/officeDocument/2006/relationships/image" Target="../media/image12.png"/><Relationship Id="rId9" Type="http://schemas.openxmlformats.org/officeDocument/2006/relationships/image" Target="../media/image11.svg"/><Relationship Id="rId14" Type="http://schemas.openxmlformats.org/officeDocument/2006/relationships/image" Target="../media/image32.emf"/><Relationship Id="rId22"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 Id="rId6" Type="http://schemas.openxmlformats.org/officeDocument/2006/relationships/image" Target="../media/image41.png"/><Relationship Id="rId5" Type="http://schemas.openxmlformats.org/officeDocument/2006/relationships/image" Target="../media/image40.png"/><Relationship Id="rId4"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559700" y="3169425"/>
          <a:ext cx="274320" cy="274320"/>
        </a:xfrm>
        <a:prstGeom prst="rect">
          <a:avLst/>
        </a:prstGeom>
      </xdr:spPr>
    </xdr:pic>
    <xdr:clientData/>
  </xdr:twoCellAnchor>
  <xdr:twoCellAnchor editAs="oneCell">
    <xdr:from>
      <xdr:col>1</xdr:col>
      <xdr:colOff>95250</xdr:colOff>
      <xdr:row>46</xdr:row>
      <xdr:rowOff>114300</xdr:rowOff>
    </xdr:from>
    <xdr:to>
      <xdr:col>1</xdr:col>
      <xdr:colOff>1152525</xdr:colOff>
      <xdr:row>46</xdr:row>
      <xdr:rowOff>1171575</xdr:rowOff>
    </xdr:to>
    <xdr:pic>
      <xdr:nvPicPr>
        <xdr:cNvPr id="31" name="Picture 30">
          <a:extLst>
            <a:ext uri="{FF2B5EF4-FFF2-40B4-BE49-F238E27FC236}">
              <a16:creationId xmlns:a16="http://schemas.microsoft.com/office/drawing/2014/main" id="{EBAA034B-3E9F-4844-8132-B8AF266DC3C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81050" y="12030075"/>
          <a:ext cx="1057275" cy="1057275"/>
        </a:xfrm>
        <a:prstGeom prst="rect">
          <a:avLst/>
        </a:prstGeom>
      </xdr:spPr>
    </xdr:pic>
    <xdr:clientData/>
  </xdr:twoCellAnchor>
  <xdr:twoCellAnchor editAs="oneCell">
    <xdr:from>
      <xdr:col>1</xdr:col>
      <xdr:colOff>142875</xdr:colOff>
      <xdr:row>45</xdr:row>
      <xdr:rowOff>323850</xdr:rowOff>
    </xdr:from>
    <xdr:to>
      <xdr:col>1</xdr:col>
      <xdr:colOff>1247775</xdr:colOff>
      <xdr:row>45</xdr:row>
      <xdr:rowOff>1428750</xdr:rowOff>
    </xdr:to>
    <xdr:pic>
      <xdr:nvPicPr>
        <xdr:cNvPr id="32" name="Picture 31">
          <a:extLst>
            <a:ext uri="{FF2B5EF4-FFF2-40B4-BE49-F238E27FC236}">
              <a16:creationId xmlns:a16="http://schemas.microsoft.com/office/drawing/2014/main" id="{12D2B75C-161C-44C1-9E73-2C0AB92111D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828675" y="10982325"/>
          <a:ext cx="1104900" cy="1104900"/>
        </a:xfrm>
        <a:prstGeom prst="rect">
          <a:avLst/>
        </a:prstGeom>
      </xdr:spPr>
    </xdr:pic>
    <xdr:clientData/>
  </xdr:twoCellAnchor>
  <xdr:twoCellAnchor editAs="oneCell">
    <xdr:from>
      <xdr:col>1</xdr:col>
      <xdr:colOff>142875</xdr:colOff>
      <xdr:row>44</xdr:row>
      <xdr:rowOff>171450</xdr:rowOff>
    </xdr:from>
    <xdr:to>
      <xdr:col>1</xdr:col>
      <xdr:colOff>1258540</xdr:colOff>
      <xdr:row>44</xdr:row>
      <xdr:rowOff>1287115</xdr:rowOff>
    </xdr:to>
    <xdr:pic>
      <xdr:nvPicPr>
        <xdr:cNvPr id="36" name="Picture 35">
          <a:extLst>
            <a:ext uri="{FF2B5EF4-FFF2-40B4-BE49-F238E27FC236}">
              <a16:creationId xmlns:a16="http://schemas.microsoft.com/office/drawing/2014/main" id="{A0BF2115-9A13-54E9-0D55-3812F5824168}"/>
            </a:ext>
          </a:extLst>
        </xdr:cNvPr>
        <xdr:cNvPicPr>
          <a:picLocks noChangeAspect="1"/>
        </xdr:cNvPicPr>
      </xdr:nvPicPr>
      <xdr:blipFill>
        <a:blip xmlns:r="http://schemas.openxmlformats.org/officeDocument/2006/relationships" r:embed="rId25"/>
        <a:stretch>
          <a:fillRect/>
        </a:stretch>
      </xdr:blipFill>
      <xdr:spPr>
        <a:xfrm>
          <a:off x="828675" y="9572625"/>
          <a:ext cx="1115665" cy="1115665"/>
        </a:xfrm>
        <a:prstGeom prst="rect">
          <a:avLst/>
        </a:prstGeom>
      </xdr:spPr>
    </xdr:pic>
    <xdr:clientData/>
  </xdr:twoCellAnchor>
  <xdr:twoCellAnchor editAs="oneCell">
    <xdr:from>
      <xdr:col>1</xdr:col>
      <xdr:colOff>142875</xdr:colOff>
      <xdr:row>43</xdr:row>
      <xdr:rowOff>333375</xdr:rowOff>
    </xdr:from>
    <xdr:to>
      <xdr:col>1</xdr:col>
      <xdr:colOff>1247775</xdr:colOff>
      <xdr:row>43</xdr:row>
      <xdr:rowOff>1438275</xdr:rowOff>
    </xdr:to>
    <xdr:pic>
      <xdr:nvPicPr>
        <xdr:cNvPr id="37" name="Picture 36">
          <a:extLst>
            <a:ext uri="{FF2B5EF4-FFF2-40B4-BE49-F238E27FC236}">
              <a16:creationId xmlns:a16="http://schemas.microsoft.com/office/drawing/2014/main" id="{A1868436-0900-4B9E-A244-9A0F7BCA8722}"/>
            </a:ext>
          </a:extLst>
        </xdr:cNvPr>
        <xdr:cNvPicPr>
          <a:picLocks noChangeAspect="1"/>
        </xdr:cNvPicPr>
      </xdr:nvPicPr>
      <xdr:blipFill>
        <a:blip xmlns:r="http://schemas.openxmlformats.org/officeDocument/2006/relationships" r:embed="rId2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828675" y="8124825"/>
          <a:ext cx="1104900" cy="1104900"/>
        </a:xfrm>
        <a:prstGeom prst="rect">
          <a:avLst/>
        </a:prstGeom>
      </xdr:spPr>
    </xdr:pic>
    <xdr:clientData/>
  </xdr:twoCellAnchor>
  <xdr:twoCellAnchor editAs="oneCell">
    <xdr:from>
      <xdr:col>1</xdr:col>
      <xdr:colOff>95250</xdr:colOff>
      <xdr:row>47</xdr:row>
      <xdr:rowOff>228600</xdr:rowOff>
    </xdr:from>
    <xdr:to>
      <xdr:col>1</xdr:col>
      <xdr:colOff>1217011</xdr:colOff>
      <xdr:row>47</xdr:row>
      <xdr:rowOff>1350361</xdr:rowOff>
    </xdr:to>
    <xdr:pic>
      <xdr:nvPicPr>
        <xdr:cNvPr id="41" name="Picture 40">
          <a:extLst>
            <a:ext uri="{FF2B5EF4-FFF2-40B4-BE49-F238E27FC236}">
              <a16:creationId xmlns:a16="http://schemas.microsoft.com/office/drawing/2014/main" id="{50AA645A-0CDD-C0B5-58C5-C54340A2E9EE}"/>
            </a:ext>
          </a:extLst>
        </xdr:cNvPr>
        <xdr:cNvPicPr>
          <a:picLocks noChangeAspect="1"/>
        </xdr:cNvPicPr>
      </xdr:nvPicPr>
      <xdr:blipFill>
        <a:blip xmlns:r="http://schemas.openxmlformats.org/officeDocument/2006/relationships" r:embed="rId27"/>
        <a:stretch>
          <a:fillRect/>
        </a:stretch>
      </xdr:blipFill>
      <xdr:spPr>
        <a:xfrm>
          <a:off x="781050" y="13611225"/>
          <a:ext cx="1121761" cy="1121761"/>
        </a:xfrm>
        <a:prstGeom prst="rect">
          <a:avLst/>
        </a:prstGeom>
      </xdr:spPr>
    </xdr:pic>
    <xdr:clientData/>
  </xdr:twoCellAnchor>
  <xdr:twoCellAnchor editAs="oneCell">
    <xdr:from>
      <xdr:col>1</xdr:col>
      <xdr:colOff>0</xdr:colOff>
      <xdr:row>48</xdr:row>
      <xdr:rowOff>0</xdr:rowOff>
    </xdr:from>
    <xdr:to>
      <xdr:col>1</xdr:col>
      <xdr:colOff>1152244</xdr:colOff>
      <xdr:row>48</xdr:row>
      <xdr:rowOff>1152244</xdr:rowOff>
    </xdr:to>
    <xdr:pic>
      <xdr:nvPicPr>
        <xdr:cNvPr id="46" name="Picture 45">
          <a:extLst>
            <a:ext uri="{FF2B5EF4-FFF2-40B4-BE49-F238E27FC236}">
              <a16:creationId xmlns:a16="http://schemas.microsoft.com/office/drawing/2014/main" id="{32152701-CCC4-40DE-A60A-112FC5D0D68F}"/>
            </a:ext>
          </a:extLst>
        </xdr:cNvPr>
        <xdr:cNvPicPr>
          <a:picLocks noChangeAspect="1"/>
        </xdr:cNvPicPr>
      </xdr:nvPicPr>
      <xdr:blipFill>
        <a:blip xmlns:r="http://schemas.openxmlformats.org/officeDocument/2006/relationships" r:embed="rId28"/>
        <a:stretch>
          <a:fillRect/>
        </a:stretch>
      </xdr:blipFill>
      <xdr:spPr>
        <a:xfrm>
          <a:off x="685800" y="14077950"/>
          <a:ext cx="1152244" cy="11522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71967</xdr:colOff>
      <xdr:row>29</xdr:row>
      <xdr:rowOff>19051</xdr:rowOff>
    </xdr:from>
    <xdr:to>
      <xdr:col>19</xdr:col>
      <xdr:colOff>254847</xdr:colOff>
      <xdr:row>30</xdr:row>
      <xdr:rowOff>22015</xdr:rowOff>
    </xdr:to>
    <xdr:pic>
      <xdr:nvPicPr>
        <xdr:cNvPr id="3" name="Graphic 2" descr="Shopping cart with solid fill">
          <a:extLst>
            <a:ext uri="{FF2B5EF4-FFF2-40B4-BE49-F238E27FC236}">
              <a16:creationId xmlns:a16="http://schemas.microsoft.com/office/drawing/2014/main" id="{8270522E-9D0A-49B8-AB57-45240FCC2E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33550" y="5628218"/>
          <a:ext cx="182880" cy="182880"/>
        </a:xfrm>
        <a:prstGeom prst="rect">
          <a:avLst/>
        </a:prstGeom>
      </xdr:spPr>
    </xdr:pic>
    <xdr:clientData/>
  </xdr:twoCellAnchor>
  <xdr:twoCellAnchor>
    <xdr:from>
      <xdr:col>19</xdr:col>
      <xdr:colOff>262467</xdr:colOff>
      <xdr:row>29</xdr:row>
      <xdr:rowOff>0</xdr:rowOff>
    </xdr:from>
    <xdr:to>
      <xdr:col>20</xdr:col>
      <xdr:colOff>644525</xdr:colOff>
      <xdr:row>30</xdr:row>
      <xdr:rowOff>48685</xdr:rowOff>
    </xdr:to>
    <xdr:sp macro="" textlink="">
      <xdr:nvSpPr>
        <xdr:cNvPr id="4" name="TextBox 3">
          <a:extLst>
            <a:ext uri="{FF2B5EF4-FFF2-40B4-BE49-F238E27FC236}">
              <a16:creationId xmlns:a16="http://schemas.microsoft.com/office/drawing/2014/main" id="{6230C4CB-CC34-43F7-B1E7-7B45FC448D54}"/>
            </a:ext>
          </a:extLst>
        </xdr:cNvPr>
        <xdr:cNvSpPr txBox="1"/>
      </xdr:nvSpPr>
      <xdr:spPr>
        <a:xfrm>
          <a:off x="14624050" y="5609167"/>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18</xdr:col>
      <xdr:colOff>793749</xdr:colOff>
      <xdr:row>30</xdr:row>
      <xdr:rowOff>58211</xdr:rowOff>
    </xdr:from>
    <xdr:to>
      <xdr:col>20</xdr:col>
      <xdr:colOff>328084</xdr:colOff>
      <xdr:row>33</xdr:row>
      <xdr:rowOff>61385</xdr:rowOff>
    </xdr:to>
    <xdr:sp macro="" textlink="$Z$21">
      <xdr:nvSpPr>
        <xdr:cNvPr id="5" name="TextBox 4">
          <a:extLst>
            <a:ext uri="{FF2B5EF4-FFF2-40B4-BE49-F238E27FC236}">
              <a16:creationId xmlns:a16="http://schemas.microsoft.com/office/drawing/2014/main" id="{EEA840B7-AD80-46C8-A2B5-6D488C9EC9C3}"/>
            </a:ext>
          </a:extLst>
        </xdr:cNvPr>
        <xdr:cNvSpPr txBox="1"/>
      </xdr:nvSpPr>
      <xdr:spPr>
        <a:xfrm>
          <a:off x="14149916" y="5847294"/>
          <a:ext cx="1291168" cy="553508"/>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34F5346-B222-420E-BC57-6D8E3DB797AA}" type="TxLink">
            <a:rPr lang="en-US" sz="2800" b="0" i="0" u="none" strike="noStrike">
              <a:solidFill>
                <a:srgbClr val="00B0F0"/>
              </a:solidFill>
              <a:latin typeface="Barlow Condensed SemiBold" panose="00000706000000000000" pitchFamily="2" charset="0"/>
              <a:ea typeface="+mn-ea"/>
              <a:cs typeface="Arial"/>
            </a:rPr>
            <a:pPr marL="0" indent="0"/>
            <a:t>$21.70 m</a:t>
          </a:fld>
          <a:endParaRPr lang="en-US" sz="2800">
            <a:solidFill>
              <a:srgbClr val="00B0F0"/>
            </a:solidFill>
            <a:latin typeface="Barlow Condensed SemiBold" panose="00000706000000000000" pitchFamily="2" charset="0"/>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114300</xdr:colOff>
      <xdr:row>0</xdr:row>
      <xdr:rowOff>161925</xdr:rowOff>
    </xdr:from>
    <xdr:to>
      <xdr:col>7</xdr:col>
      <xdr:colOff>66675</xdr:colOff>
      <xdr:row>4</xdr:row>
      <xdr:rowOff>85725</xdr:rowOff>
    </xdr:to>
    <xdr:sp macro="" textlink="">
      <xdr:nvSpPr>
        <xdr:cNvPr id="2" name="TextBox 1">
          <a:extLst>
            <a:ext uri="{FF2B5EF4-FFF2-40B4-BE49-F238E27FC236}">
              <a16:creationId xmlns:a16="http://schemas.microsoft.com/office/drawing/2014/main" id="{98568968-441D-25D3-A93B-751725924ED0}"/>
            </a:ext>
          </a:extLst>
        </xdr:cNvPr>
        <xdr:cNvSpPr txBox="1"/>
      </xdr:nvSpPr>
      <xdr:spPr>
        <a:xfrm>
          <a:off x="333375" y="161925"/>
          <a:ext cx="357187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4"/>
              </a:solidFill>
              <a:latin typeface="+mj-lt"/>
            </a:rPr>
            <a:t>CHOCOLATES SALES</a:t>
          </a:r>
        </a:p>
      </xdr:txBody>
    </xdr:sp>
    <xdr:clientData/>
  </xdr:twoCellAnchor>
  <xdr:twoCellAnchor editAs="oneCell">
    <xdr:from>
      <xdr:col>6</xdr:col>
      <xdr:colOff>168088</xdr:colOff>
      <xdr:row>0</xdr:row>
      <xdr:rowOff>112058</xdr:rowOff>
    </xdr:from>
    <xdr:to>
      <xdr:col>7</xdr:col>
      <xdr:colOff>5603</xdr:colOff>
      <xdr:row>4</xdr:row>
      <xdr:rowOff>169209</xdr:rowOff>
    </xdr:to>
    <xdr:pic>
      <xdr:nvPicPr>
        <xdr:cNvPr id="3" name="Picture 2">
          <a:extLst>
            <a:ext uri="{FF2B5EF4-FFF2-40B4-BE49-F238E27FC236}">
              <a16:creationId xmlns:a16="http://schemas.microsoft.com/office/drawing/2014/main" id="{44A19E86-EED0-41B8-BF55-677EC3E73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0" y="112058"/>
          <a:ext cx="778809" cy="774327"/>
        </a:xfrm>
        <a:prstGeom prst="rect">
          <a:avLst/>
        </a:prstGeom>
      </xdr:spPr>
    </xdr:pic>
    <xdr:clientData/>
  </xdr:twoCellAnchor>
  <xdr:twoCellAnchor editAs="oneCell">
    <xdr:from>
      <xdr:col>2</xdr:col>
      <xdr:colOff>47625</xdr:colOff>
      <xdr:row>5</xdr:row>
      <xdr:rowOff>19051</xdr:rowOff>
    </xdr:from>
    <xdr:to>
      <xdr:col>2</xdr:col>
      <xdr:colOff>230505</xdr:colOff>
      <xdr:row>6</xdr:row>
      <xdr:rowOff>20956</xdr:rowOff>
    </xdr:to>
    <xdr:pic>
      <xdr:nvPicPr>
        <xdr:cNvPr id="4" name="Graphic 3" descr="Shopping cart with solid fill">
          <a:extLst>
            <a:ext uri="{FF2B5EF4-FFF2-40B4-BE49-F238E27FC236}">
              <a16:creationId xmlns:a16="http://schemas.microsoft.com/office/drawing/2014/main" id="{0A1D1B3C-7695-4952-BBEE-51E494D36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57200" y="923926"/>
          <a:ext cx="182880" cy="182880"/>
        </a:xfrm>
        <a:prstGeom prst="rect">
          <a:avLst/>
        </a:prstGeom>
      </xdr:spPr>
    </xdr:pic>
    <xdr:clientData/>
  </xdr:twoCellAnchor>
  <xdr:twoCellAnchor>
    <xdr:from>
      <xdr:col>2</xdr:col>
      <xdr:colOff>238125</xdr:colOff>
      <xdr:row>5</xdr:row>
      <xdr:rowOff>0</xdr:rowOff>
    </xdr:from>
    <xdr:to>
      <xdr:col>4</xdr:col>
      <xdr:colOff>0</xdr:colOff>
      <xdr:row>6</xdr:row>
      <xdr:rowOff>47626</xdr:rowOff>
    </xdr:to>
    <xdr:sp macro="" textlink="">
      <xdr:nvSpPr>
        <xdr:cNvPr id="5" name="TextBox 4">
          <a:extLst>
            <a:ext uri="{FF2B5EF4-FFF2-40B4-BE49-F238E27FC236}">
              <a16:creationId xmlns:a16="http://schemas.microsoft.com/office/drawing/2014/main" id="{12FDE161-E597-44FD-8CDD-20C35265BE92}"/>
            </a:ext>
          </a:extLst>
        </xdr:cNvPr>
        <xdr:cNvSpPr txBox="1"/>
      </xdr:nvSpPr>
      <xdr:spPr>
        <a:xfrm>
          <a:off x="647700" y="9048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5</xdr:row>
      <xdr:rowOff>133350</xdr:rowOff>
    </xdr:from>
    <xdr:to>
      <xdr:col>3</xdr:col>
      <xdr:colOff>605368</xdr:colOff>
      <xdr:row>8</xdr:row>
      <xdr:rowOff>9525</xdr:rowOff>
    </xdr:to>
    <xdr:sp macro="" textlink="Calculations!$Z$21">
      <xdr:nvSpPr>
        <xdr:cNvPr id="6" name="TextBox 5">
          <a:extLst>
            <a:ext uri="{FF2B5EF4-FFF2-40B4-BE49-F238E27FC236}">
              <a16:creationId xmlns:a16="http://schemas.microsoft.com/office/drawing/2014/main" id="{C5037141-A9A3-4EED-8A24-E2C60961B53B}"/>
            </a:ext>
          </a:extLst>
        </xdr:cNvPr>
        <xdr:cNvSpPr txBox="1"/>
      </xdr:nvSpPr>
      <xdr:spPr>
        <a:xfrm>
          <a:off x="409575" y="1038225"/>
          <a:ext cx="1291168" cy="4191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218A5C9-B198-4017-8332-0E02671F3847}" type="TxLink">
            <a:rPr lang="en-US" sz="2800" b="0" i="0" u="none" strike="noStrike">
              <a:solidFill>
                <a:srgbClr val="00B0F0"/>
              </a:solidFill>
              <a:latin typeface="Barlow Condensed SemiBold" panose="00000706000000000000" pitchFamily="2" charset="0"/>
              <a:ea typeface="+mn-ea"/>
              <a:cs typeface="Arial"/>
            </a:rPr>
            <a:pPr marL="0" indent="0"/>
            <a:t>$21.70 m</a:t>
          </a:fld>
          <a:endParaRPr lang="en-US" sz="2800">
            <a:solidFill>
              <a:srgbClr val="00B0F0"/>
            </a:solidFill>
            <a:latin typeface="Barlow Condensed SemiBold" panose="00000706000000000000" pitchFamily="2" charset="0"/>
            <a:ea typeface="+mn-ea"/>
            <a:cs typeface="+mn-cs"/>
          </a:endParaRPr>
        </a:p>
      </xdr:txBody>
    </xdr:sp>
    <xdr:clientData/>
  </xdr:twoCellAnchor>
  <xdr:twoCellAnchor editAs="oneCell">
    <xdr:from>
      <xdr:col>2</xdr:col>
      <xdr:colOff>47625</xdr:colOff>
      <xdr:row>11</xdr:row>
      <xdr:rowOff>19051</xdr:rowOff>
    </xdr:from>
    <xdr:to>
      <xdr:col>2</xdr:col>
      <xdr:colOff>230505</xdr:colOff>
      <xdr:row>12</xdr:row>
      <xdr:rowOff>20956</xdr:rowOff>
    </xdr:to>
    <xdr:pic>
      <xdr:nvPicPr>
        <xdr:cNvPr id="22" name="Graphic 21">
          <a:extLst>
            <a:ext uri="{FF2B5EF4-FFF2-40B4-BE49-F238E27FC236}">
              <a16:creationId xmlns:a16="http://schemas.microsoft.com/office/drawing/2014/main" id="{6103F07F-8DA0-4742-ACFD-7392BB038A8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457200" y="1647826"/>
          <a:ext cx="182880" cy="182880"/>
        </a:xfrm>
        <a:prstGeom prst="rect">
          <a:avLst/>
        </a:prstGeom>
      </xdr:spPr>
    </xdr:pic>
    <xdr:clientData/>
  </xdr:twoCellAnchor>
  <xdr:twoCellAnchor>
    <xdr:from>
      <xdr:col>2</xdr:col>
      <xdr:colOff>238125</xdr:colOff>
      <xdr:row>11</xdr:row>
      <xdr:rowOff>0</xdr:rowOff>
    </xdr:from>
    <xdr:to>
      <xdr:col>4</xdr:col>
      <xdr:colOff>0</xdr:colOff>
      <xdr:row>12</xdr:row>
      <xdr:rowOff>47626</xdr:rowOff>
    </xdr:to>
    <xdr:sp macro="" textlink="">
      <xdr:nvSpPr>
        <xdr:cNvPr id="23" name="TextBox 22">
          <a:extLst>
            <a:ext uri="{FF2B5EF4-FFF2-40B4-BE49-F238E27FC236}">
              <a16:creationId xmlns:a16="http://schemas.microsoft.com/office/drawing/2014/main" id="{BD70B985-512A-4050-8740-30816868A37E}"/>
            </a:ext>
          </a:extLst>
        </xdr:cNvPr>
        <xdr:cNvSpPr txBox="1"/>
      </xdr:nvSpPr>
      <xdr:spPr>
        <a:xfrm>
          <a:off x="647700" y="16287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1</xdr:col>
      <xdr:colOff>180975</xdr:colOff>
      <xdr:row>11</xdr:row>
      <xdr:rowOff>152400</xdr:rowOff>
    </xdr:from>
    <xdr:to>
      <xdr:col>3</xdr:col>
      <xdr:colOff>595843</xdr:colOff>
      <xdr:row>14</xdr:row>
      <xdr:rowOff>0</xdr:rowOff>
    </xdr:to>
    <xdr:sp macro="" textlink="Calculations!$Z$22">
      <xdr:nvSpPr>
        <xdr:cNvPr id="24" name="TextBox 23">
          <a:extLst>
            <a:ext uri="{FF2B5EF4-FFF2-40B4-BE49-F238E27FC236}">
              <a16:creationId xmlns:a16="http://schemas.microsoft.com/office/drawing/2014/main" id="{2E0B9B8B-DEFD-4C5B-B648-04BFC007B98F}"/>
            </a:ext>
          </a:extLst>
        </xdr:cNvPr>
        <xdr:cNvSpPr txBox="1"/>
      </xdr:nvSpPr>
      <xdr:spPr>
        <a:xfrm>
          <a:off x="400050" y="2143125"/>
          <a:ext cx="1291168" cy="3905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7B698DB-855F-4288-BB8E-C94A7BABD77C}" type="TxLink">
            <a:rPr lang="en-US" sz="2800" b="0" i="0" u="none" strike="noStrike">
              <a:solidFill>
                <a:srgbClr val="00B0F0"/>
              </a:solidFill>
              <a:latin typeface="Barlow Condensed SemiBold" panose="00000706000000000000" pitchFamily="2" charset="0"/>
              <a:ea typeface="+mn-ea"/>
              <a:cs typeface="Arial"/>
            </a:rPr>
            <a:pPr marL="0" indent="0"/>
            <a:t>1,344.6 k</a:t>
          </a:fld>
          <a:endParaRPr lang="en-US" sz="2800" b="0" i="0" u="none" strike="noStrike">
            <a:solidFill>
              <a:srgbClr val="00B0F0"/>
            </a:solidFill>
            <a:latin typeface="Barlow Condensed SemiBold" panose="00000706000000000000" pitchFamily="2" charset="0"/>
            <a:ea typeface="+mn-ea"/>
            <a:cs typeface="Arial"/>
          </a:endParaRPr>
        </a:p>
      </xdr:txBody>
    </xdr:sp>
    <xdr:clientData/>
  </xdr:twoCellAnchor>
  <xdr:twoCellAnchor editAs="oneCell">
    <xdr:from>
      <xdr:col>2</xdr:col>
      <xdr:colOff>47625</xdr:colOff>
      <xdr:row>17</xdr:row>
      <xdr:rowOff>19051</xdr:rowOff>
    </xdr:from>
    <xdr:to>
      <xdr:col>2</xdr:col>
      <xdr:colOff>230505</xdr:colOff>
      <xdr:row>18</xdr:row>
      <xdr:rowOff>20956</xdr:rowOff>
    </xdr:to>
    <xdr:pic>
      <xdr:nvPicPr>
        <xdr:cNvPr id="25" name="Graphic 24">
          <a:extLst>
            <a:ext uri="{FF2B5EF4-FFF2-40B4-BE49-F238E27FC236}">
              <a16:creationId xmlns:a16="http://schemas.microsoft.com/office/drawing/2014/main" id="{92A3778C-782F-4274-BF64-16C1B8DFE03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457200" y="2371726"/>
          <a:ext cx="182880" cy="182880"/>
        </a:xfrm>
        <a:prstGeom prst="rect">
          <a:avLst/>
        </a:prstGeom>
      </xdr:spPr>
    </xdr:pic>
    <xdr:clientData/>
  </xdr:twoCellAnchor>
  <xdr:twoCellAnchor>
    <xdr:from>
      <xdr:col>2</xdr:col>
      <xdr:colOff>238125</xdr:colOff>
      <xdr:row>17</xdr:row>
      <xdr:rowOff>0</xdr:rowOff>
    </xdr:from>
    <xdr:to>
      <xdr:col>4</xdr:col>
      <xdr:colOff>0</xdr:colOff>
      <xdr:row>18</xdr:row>
      <xdr:rowOff>47626</xdr:rowOff>
    </xdr:to>
    <xdr:sp macro="" textlink="">
      <xdr:nvSpPr>
        <xdr:cNvPr id="26" name="TextBox 25">
          <a:extLst>
            <a:ext uri="{FF2B5EF4-FFF2-40B4-BE49-F238E27FC236}">
              <a16:creationId xmlns:a16="http://schemas.microsoft.com/office/drawing/2014/main" id="{050DD796-3855-4AAF-8E04-AA3BF5C90CB5}"/>
            </a:ext>
          </a:extLst>
        </xdr:cNvPr>
        <xdr:cNvSpPr txBox="1"/>
      </xdr:nvSpPr>
      <xdr:spPr>
        <a:xfrm>
          <a:off x="647700" y="23526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0</xdr:colOff>
      <xdr:row>17</xdr:row>
      <xdr:rowOff>133350</xdr:rowOff>
    </xdr:from>
    <xdr:to>
      <xdr:col>3</xdr:col>
      <xdr:colOff>76200</xdr:colOff>
      <xdr:row>20</xdr:row>
      <xdr:rowOff>0</xdr:rowOff>
    </xdr:to>
    <xdr:sp macro="" textlink="Calculations!$Z$23">
      <xdr:nvSpPr>
        <xdr:cNvPr id="27" name="TextBox 26">
          <a:extLst>
            <a:ext uri="{FF2B5EF4-FFF2-40B4-BE49-F238E27FC236}">
              <a16:creationId xmlns:a16="http://schemas.microsoft.com/office/drawing/2014/main" id="{BFBA3E05-6A55-48B3-A4C9-5F4AAE9A86B0}"/>
            </a:ext>
          </a:extLst>
        </xdr:cNvPr>
        <xdr:cNvSpPr txBox="1"/>
      </xdr:nvSpPr>
      <xdr:spPr>
        <a:xfrm>
          <a:off x="409575" y="3209925"/>
          <a:ext cx="762000" cy="40957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8DDDF7E-39D9-4B8E-97E4-6707EC3F83B3}" type="TxLink">
            <a:rPr lang="en-US" sz="2800" b="0" i="0" u="none" strike="noStrike">
              <a:solidFill>
                <a:srgbClr val="00B0F0"/>
              </a:solidFill>
              <a:latin typeface="Barlow Condensed SemiBold" panose="00000706000000000000" pitchFamily="2" charset="0"/>
              <a:ea typeface="+mn-ea"/>
              <a:cs typeface="Arial"/>
            </a:rPr>
            <a:pPr marL="0" indent="0"/>
            <a:t>3,791</a:t>
          </a:fld>
          <a:endParaRPr lang="en-US" sz="2800" b="0" i="0" u="none" strike="noStrike">
            <a:solidFill>
              <a:srgbClr val="00B0F0"/>
            </a:solidFill>
            <a:latin typeface="Barlow Condensed SemiBold" panose="00000706000000000000" pitchFamily="2" charset="0"/>
            <a:ea typeface="+mn-ea"/>
            <a:cs typeface="Arial"/>
          </a:endParaRPr>
        </a:p>
      </xdr:txBody>
    </xdr:sp>
    <xdr:clientData/>
  </xdr:twoCellAnchor>
  <xdr:twoCellAnchor editAs="oneCell">
    <xdr:from>
      <xdr:col>2</xdr:col>
      <xdr:colOff>47625</xdr:colOff>
      <xdr:row>23</xdr:row>
      <xdr:rowOff>19051</xdr:rowOff>
    </xdr:from>
    <xdr:to>
      <xdr:col>2</xdr:col>
      <xdr:colOff>230505</xdr:colOff>
      <xdr:row>23</xdr:row>
      <xdr:rowOff>199550</xdr:rowOff>
    </xdr:to>
    <xdr:pic>
      <xdr:nvPicPr>
        <xdr:cNvPr id="28" name="Graphic 27">
          <a:extLst>
            <a:ext uri="{FF2B5EF4-FFF2-40B4-BE49-F238E27FC236}">
              <a16:creationId xmlns:a16="http://schemas.microsoft.com/office/drawing/2014/main" id="{4A86460B-4269-4FE7-9643-E3A2D45D015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57200" y="3095626"/>
          <a:ext cx="182880" cy="182880"/>
        </a:xfrm>
        <a:prstGeom prst="rect">
          <a:avLst/>
        </a:prstGeom>
      </xdr:spPr>
    </xdr:pic>
    <xdr:clientData/>
  </xdr:twoCellAnchor>
  <xdr:twoCellAnchor>
    <xdr:from>
      <xdr:col>2</xdr:col>
      <xdr:colOff>238125</xdr:colOff>
      <xdr:row>23</xdr:row>
      <xdr:rowOff>0</xdr:rowOff>
    </xdr:from>
    <xdr:to>
      <xdr:col>4</xdr:col>
      <xdr:colOff>0</xdr:colOff>
      <xdr:row>24</xdr:row>
      <xdr:rowOff>47626</xdr:rowOff>
    </xdr:to>
    <xdr:sp macro="" textlink="">
      <xdr:nvSpPr>
        <xdr:cNvPr id="29" name="TextBox 28">
          <a:extLst>
            <a:ext uri="{FF2B5EF4-FFF2-40B4-BE49-F238E27FC236}">
              <a16:creationId xmlns:a16="http://schemas.microsoft.com/office/drawing/2014/main" id="{87F38D3D-B2C2-48A1-93A3-E377EC22C0B7}"/>
            </a:ext>
          </a:extLst>
        </xdr:cNvPr>
        <xdr:cNvSpPr txBox="1"/>
      </xdr:nvSpPr>
      <xdr:spPr>
        <a:xfrm>
          <a:off x="647700" y="30765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0</xdr:colOff>
      <xdr:row>23</xdr:row>
      <xdr:rowOff>123825</xdr:rowOff>
    </xdr:from>
    <xdr:to>
      <xdr:col>3</xdr:col>
      <xdr:colOff>457200</xdr:colOff>
      <xdr:row>26</xdr:row>
      <xdr:rowOff>19050</xdr:rowOff>
    </xdr:to>
    <xdr:sp macro="" textlink="Calculations!$Z$24">
      <xdr:nvSpPr>
        <xdr:cNvPr id="30" name="TextBox 29">
          <a:extLst>
            <a:ext uri="{FF2B5EF4-FFF2-40B4-BE49-F238E27FC236}">
              <a16:creationId xmlns:a16="http://schemas.microsoft.com/office/drawing/2014/main" id="{BABD99AA-2584-4409-9F1A-58D75D9D8DE3}"/>
            </a:ext>
          </a:extLst>
        </xdr:cNvPr>
        <xdr:cNvSpPr txBox="1"/>
      </xdr:nvSpPr>
      <xdr:spPr>
        <a:xfrm>
          <a:off x="409575" y="4286250"/>
          <a:ext cx="1143000" cy="4381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92E9BC9-ECD7-4702-BDAC-9A8EC42A0068}" type="TxLink">
            <a:rPr lang="en-US" sz="2800" b="0" i="0" u="none" strike="noStrike">
              <a:solidFill>
                <a:schemeClr val="accent2"/>
              </a:solidFill>
              <a:latin typeface="Barlow Condensed SemiBold" panose="00000706000000000000" pitchFamily="2" charset="0"/>
              <a:ea typeface="+mn-ea"/>
              <a:cs typeface="Arial"/>
            </a:rPr>
            <a:pPr marL="0" indent="0"/>
            <a:t>$6.68 m</a:t>
          </a:fld>
          <a:endParaRPr lang="en-US" sz="2800" b="0" i="0" u="none" strike="noStrike">
            <a:solidFill>
              <a:schemeClr val="accent2"/>
            </a:solidFill>
            <a:latin typeface="Barlow Condensed SemiBold" panose="00000706000000000000" pitchFamily="2" charset="0"/>
            <a:ea typeface="+mn-ea"/>
            <a:cs typeface="Arial"/>
          </a:endParaRPr>
        </a:p>
      </xdr:txBody>
    </xdr:sp>
    <xdr:clientData/>
  </xdr:twoCellAnchor>
  <xdr:twoCellAnchor editAs="oneCell">
    <xdr:from>
      <xdr:col>2</xdr:col>
      <xdr:colOff>47625</xdr:colOff>
      <xdr:row>29</xdr:row>
      <xdr:rowOff>19051</xdr:rowOff>
    </xdr:from>
    <xdr:to>
      <xdr:col>2</xdr:col>
      <xdr:colOff>230505</xdr:colOff>
      <xdr:row>30</xdr:row>
      <xdr:rowOff>20959</xdr:rowOff>
    </xdr:to>
    <xdr:pic>
      <xdr:nvPicPr>
        <xdr:cNvPr id="31" name="Graphic 30">
          <a:extLst>
            <a:ext uri="{FF2B5EF4-FFF2-40B4-BE49-F238E27FC236}">
              <a16:creationId xmlns:a16="http://schemas.microsoft.com/office/drawing/2014/main" id="{BC02AEC9-94BD-4F11-BD92-8728835902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57200" y="3819526"/>
          <a:ext cx="182880" cy="182880"/>
        </a:xfrm>
        <a:prstGeom prst="rect">
          <a:avLst/>
        </a:prstGeom>
      </xdr:spPr>
    </xdr:pic>
    <xdr:clientData/>
  </xdr:twoCellAnchor>
  <xdr:twoCellAnchor>
    <xdr:from>
      <xdr:col>2</xdr:col>
      <xdr:colOff>238125</xdr:colOff>
      <xdr:row>29</xdr:row>
      <xdr:rowOff>0</xdr:rowOff>
    </xdr:from>
    <xdr:to>
      <xdr:col>4</xdr:col>
      <xdr:colOff>0</xdr:colOff>
      <xdr:row>30</xdr:row>
      <xdr:rowOff>47626</xdr:rowOff>
    </xdr:to>
    <xdr:sp macro="" textlink="">
      <xdr:nvSpPr>
        <xdr:cNvPr id="32" name="TextBox 31">
          <a:extLst>
            <a:ext uri="{FF2B5EF4-FFF2-40B4-BE49-F238E27FC236}">
              <a16:creationId xmlns:a16="http://schemas.microsoft.com/office/drawing/2014/main" id="{766191D6-B016-4EDC-9FC1-9AD7673A5AAF}"/>
            </a:ext>
          </a:extLst>
        </xdr:cNvPr>
        <xdr:cNvSpPr txBox="1"/>
      </xdr:nvSpPr>
      <xdr:spPr>
        <a:xfrm>
          <a:off x="647700" y="38004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PROFT</a:t>
          </a:r>
        </a:p>
      </xdr:txBody>
    </xdr:sp>
    <xdr:clientData/>
  </xdr:twoCellAnchor>
  <xdr:twoCellAnchor>
    <xdr:from>
      <xdr:col>2</xdr:col>
      <xdr:colOff>0</xdr:colOff>
      <xdr:row>30</xdr:row>
      <xdr:rowOff>0</xdr:rowOff>
    </xdr:from>
    <xdr:to>
      <xdr:col>3</xdr:col>
      <xdr:colOff>485775</xdr:colOff>
      <xdr:row>32</xdr:row>
      <xdr:rowOff>57150</xdr:rowOff>
    </xdr:to>
    <xdr:sp macro="" textlink="Calculations!$Z$25">
      <xdr:nvSpPr>
        <xdr:cNvPr id="33" name="TextBox 32">
          <a:extLst>
            <a:ext uri="{FF2B5EF4-FFF2-40B4-BE49-F238E27FC236}">
              <a16:creationId xmlns:a16="http://schemas.microsoft.com/office/drawing/2014/main" id="{CD5FE9CC-0080-4E20-8980-57F5DBA19E08}"/>
            </a:ext>
          </a:extLst>
        </xdr:cNvPr>
        <xdr:cNvSpPr txBox="1"/>
      </xdr:nvSpPr>
      <xdr:spPr>
        <a:xfrm>
          <a:off x="409575" y="5429250"/>
          <a:ext cx="1171575" cy="4191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46FDC977-5862-47E8-84CE-FB93EDA2E8EA}" type="TxLink">
            <a:rPr lang="en-US" sz="2800" b="0" i="0" u="none" strike="noStrike">
              <a:solidFill>
                <a:schemeClr val="accent6"/>
              </a:solidFill>
              <a:latin typeface="Barlow Condensed SemiBold" panose="00000706000000000000" pitchFamily="2" charset="0"/>
              <a:ea typeface="+mn-ea"/>
              <a:cs typeface="Arial"/>
            </a:rPr>
            <a:pPr marL="0" indent="0"/>
            <a:t>$15.02 m</a:t>
          </a:fld>
          <a:endParaRPr lang="en-US" sz="2800" b="0" i="0" u="none" strike="noStrike">
            <a:solidFill>
              <a:schemeClr val="accent6"/>
            </a:solidFill>
            <a:latin typeface="Barlow Condensed SemiBold" panose="00000706000000000000" pitchFamily="2" charset="0"/>
            <a:ea typeface="+mn-ea"/>
            <a:cs typeface="Arial"/>
          </a:endParaRPr>
        </a:p>
      </xdr:txBody>
    </xdr:sp>
    <xdr:clientData/>
  </xdr:twoCellAnchor>
  <xdr:twoCellAnchor editAs="oneCell">
    <xdr:from>
      <xdr:col>2</xdr:col>
      <xdr:colOff>47625</xdr:colOff>
      <xdr:row>35</xdr:row>
      <xdr:rowOff>19051</xdr:rowOff>
    </xdr:from>
    <xdr:to>
      <xdr:col>2</xdr:col>
      <xdr:colOff>230505</xdr:colOff>
      <xdr:row>36</xdr:row>
      <xdr:rowOff>20956</xdr:rowOff>
    </xdr:to>
    <xdr:pic>
      <xdr:nvPicPr>
        <xdr:cNvPr id="34" name="Graphic 33">
          <a:extLst>
            <a:ext uri="{FF2B5EF4-FFF2-40B4-BE49-F238E27FC236}">
              <a16:creationId xmlns:a16="http://schemas.microsoft.com/office/drawing/2014/main" id="{7C75C7C7-385A-4F86-AC69-ACB70FA5B29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57200" y="4543426"/>
          <a:ext cx="182880" cy="182880"/>
        </a:xfrm>
        <a:prstGeom prst="rect">
          <a:avLst/>
        </a:prstGeom>
      </xdr:spPr>
    </xdr:pic>
    <xdr:clientData/>
  </xdr:twoCellAnchor>
  <xdr:twoCellAnchor>
    <xdr:from>
      <xdr:col>2</xdr:col>
      <xdr:colOff>238125</xdr:colOff>
      <xdr:row>35</xdr:row>
      <xdr:rowOff>0</xdr:rowOff>
    </xdr:from>
    <xdr:to>
      <xdr:col>4</xdr:col>
      <xdr:colOff>0</xdr:colOff>
      <xdr:row>36</xdr:row>
      <xdr:rowOff>47626</xdr:rowOff>
    </xdr:to>
    <xdr:sp macro="" textlink="">
      <xdr:nvSpPr>
        <xdr:cNvPr id="35" name="TextBox 34">
          <a:extLst>
            <a:ext uri="{FF2B5EF4-FFF2-40B4-BE49-F238E27FC236}">
              <a16:creationId xmlns:a16="http://schemas.microsoft.com/office/drawing/2014/main" id="{011D7831-CC2D-40F3-A195-F4D38E7877EB}"/>
            </a:ext>
          </a:extLst>
        </xdr:cNvPr>
        <xdr:cNvSpPr txBox="1"/>
      </xdr:nvSpPr>
      <xdr:spPr>
        <a:xfrm>
          <a:off x="647700" y="45243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p>
      </xdr:txBody>
    </xdr:sp>
    <xdr:clientData/>
  </xdr:twoCellAnchor>
  <xdr:twoCellAnchor>
    <xdr:from>
      <xdr:col>2</xdr:col>
      <xdr:colOff>0</xdr:colOff>
      <xdr:row>35</xdr:row>
      <xdr:rowOff>123825</xdr:rowOff>
    </xdr:from>
    <xdr:to>
      <xdr:col>3</xdr:col>
      <xdr:colOff>257175</xdr:colOff>
      <xdr:row>38</xdr:row>
      <xdr:rowOff>0</xdr:rowOff>
    </xdr:to>
    <xdr:sp macro="" textlink="Calculations!$Z$26">
      <xdr:nvSpPr>
        <xdr:cNvPr id="36" name="TextBox 35">
          <a:extLst>
            <a:ext uri="{FF2B5EF4-FFF2-40B4-BE49-F238E27FC236}">
              <a16:creationId xmlns:a16="http://schemas.microsoft.com/office/drawing/2014/main" id="{69529783-1FBB-4C27-B1DE-52FE5C1EDA6E}"/>
            </a:ext>
          </a:extLst>
        </xdr:cNvPr>
        <xdr:cNvSpPr txBox="1"/>
      </xdr:nvSpPr>
      <xdr:spPr>
        <a:xfrm>
          <a:off x="409575" y="6457950"/>
          <a:ext cx="942975" cy="4191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7846D1D-C125-4ED9-87D2-6310E2D21DF7}" type="TxLink">
            <a:rPr lang="en-US" sz="2800" b="0" i="0" u="none" strike="noStrike">
              <a:solidFill>
                <a:schemeClr val="accent6"/>
              </a:solidFill>
              <a:latin typeface="Barlow Condensed SemiBold" panose="00000706000000000000" pitchFamily="2" charset="0"/>
              <a:ea typeface="+mn-ea"/>
              <a:cs typeface="Arial"/>
            </a:rPr>
            <a:pPr marL="0" indent="0"/>
            <a:t>69.2%</a:t>
          </a:fld>
          <a:endParaRPr lang="en-US" sz="2800" b="0" i="0" u="none" strike="noStrike">
            <a:solidFill>
              <a:schemeClr val="accent6"/>
            </a:solidFill>
            <a:latin typeface="Barlow Condensed SemiBold" panose="00000706000000000000" pitchFamily="2" charset="0"/>
            <a:ea typeface="+mn-ea"/>
            <a:cs typeface="Arial"/>
          </a:endParaRPr>
        </a:p>
      </xdr:txBody>
    </xdr:sp>
    <xdr:clientData/>
  </xdr:twoCellAnchor>
  <xdr:twoCellAnchor>
    <xdr:from>
      <xdr:col>2</xdr:col>
      <xdr:colOff>0</xdr:colOff>
      <xdr:row>8</xdr:row>
      <xdr:rowOff>0</xdr:rowOff>
    </xdr:from>
    <xdr:to>
      <xdr:col>3</xdr:col>
      <xdr:colOff>400050</xdr:colOff>
      <xdr:row>9</xdr:row>
      <xdr:rowOff>19050</xdr:rowOff>
    </xdr:to>
    <xdr:sp macro="" textlink="Calculations!AA21">
      <xdr:nvSpPr>
        <xdr:cNvPr id="37" name="TextBox 36">
          <a:extLst>
            <a:ext uri="{FF2B5EF4-FFF2-40B4-BE49-F238E27FC236}">
              <a16:creationId xmlns:a16="http://schemas.microsoft.com/office/drawing/2014/main" id="{9FAAE9D3-0A46-764E-7FE6-77FFB14A009E}"/>
            </a:ext>
          </a:extLst>
        </xdr:cNvPr>
        <xdr:cNvSpPr txBox="1"/>
      </xdr:nvSpPr>
      <xdr:spPr>
        <a:xfrm>
          <a:off x="409575" y="144780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EA2484-11A1-405C-AA37-880D921E687A}" type="TxLink">
            <a:rPr lang="en-US" sz="1050" b="0" i="0" u="none" strike="noStrike">
              <a:solidFill>
                <a:schemeClr val="accent4"/>
              </a:solidFill>
              <a:latin typeface="Arial"/>
              <a:cs typeface="Arial"/>
            </a:rPr>
            <a:pPr/>
            <a:t>$10.74 m</a:t>
          </a:fld>
          <a:endParaRPr lang="en-US" sz="1050">
            <a:solidFill>
              <a:schemeClr val="accent4"/>
            </a:solidFill>
          </a:endParaRPr>
        </a:p>
      </xdr:txBody>
    </xdr:sp>
    <xdr:clientData/>
  </xdr:twoCellAnchor>
  <xdr:twoCellAnchor>
    <xdr:from>
      <xdr:col>2</xdr:col>
      <xdr:colOff>0</xdr:colOff>
      <xdr:row>14</xdr:row>
      <xdr:rowOff>0</xdr:rowOff>
    </xdr:from>
    <xdr:to>
      <xdr:col>3</xdr:col>
      <xdr:colOff>400050</xdr:colOff>
      <xdr:row>15</xdr:row>
      <xdr:rowOff>19050</xdr:rowOff>
    </xdr:to>
    <xdr:sp macro="" textlink="Calculations!AA22">
      <xdr:nvSpPr>
        <xdr:cNvPr id="38" name="TextBox 37">
          <a:extLst>
            <a:ext uri="{FF2B5EF4-FFF2-40B4-BE49-F238E27FC236}">
              <a16:creationId xmlns:a16="http://schemas.microsoft.com/office/drawing/2014/main" id="{8FB59ADC-CD95-4770-9919-56851BA2BD83}"/>
            </a:ext>
          </a:extLst>
        </xdr:cNvPr>
        <xdr:cNvSpPr txBox="1"/>
      </xdr:nvSpPr>
      <xdr:spPr>
        <a:xfrm>
          <a:off x="409575" y="253365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9F7CC9-33E6-47AE-BB8F-E86A99EDEBEF}" type="TxLink">
            <a:rPr lang="en-US" sz="1050" b="0" i="0" u="none" strike="noStrike">
              <a:solidFill>
                <a:schemeClr val="accent4"/>
              </a:solidFill>
              <a:latin typeface="Arial"/>
              <a:ea typeface="+mn-ea"/>
              <a:cs typeface="Arial"/>
            </a:rPr>
            <a:pPr marL="0" indent="0"/>
            <a:t>680.4 k</a:t>
          </a:fld>
          <a:endParaRPr lang="en-US" sz="1050" b="0" i="0" u="none" strike="noStrike">
            <a:solidFill>
              <a:schemeClr val="accent4"/>
            </a:solidFill>
            <a:latin typeface="Arial"/>
            <a:ea typeface="+mn-ea"/>
            <a:cs typeface="Arial"/>
          </a:endParaRPr>
        </a:p>
      </xdr:txBody>
    </xdr:sp>
    <xdr:clientData/>
  </xdr:twoCellAnchor>
  <xdr:twoCellAnchor>
    <xdr:from>
      <xdr:col>2</xdr:col>
      <xdr:colOff>0</xdr:colOff>
      <xdr:row>20</xdr:row>
      <xdr:rowOff>0</xdr:rowOff>
    </xdr:from>
    <xdr:to>
      <xdr:col>3</xdr:col>
      <xdr:colOff>400050</xdr:colOff>
      <xdr:row>21</xdr:row>
      <xdr:rowOff>19050</xdr:rowOff>
    </xdr:to>
    <xdr:sp macro="" textlink="Calculations!AA23">
      <xdr:nvSpPr>
        <xdr:cNvPr id="39" name="TextBox 38">
          <a:extLst>
            <a:ext uri="{FF2B5EF4-FFF2-40B4-BE49-F238E27FC236}">
              <a16:creationId xmlns:a16="http://schemas.microsoft.com/office/drawing/2014/main" id="{6E8DDF98-558C-4352-A028-5A2EBAECC6D7}"/>
            </a:ext>
          </a:extLst>
        </xdr:cNvPr>
        <xdr:cNvSpPr txBox="1"/>
      </xdr:nvSpPr>
      <xdr:spPr>
        <a:xfrm>
          <a:off x="409575" y="361950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FDA1AE0-14BB-4817-B813-AD3607DE1C1C}" type="TxLink">
            <a:rPr lang="en-US" sz="1050" b="0" i="0" u="none" strike="noStrike">
              <a:solidFill>
                <a:schemeClr val="accent4"/>
              </a:solidFill>
              <a:latin typeface="Arial"/>
              <a:ea typeface="+mn-ea"/>
              <a:cs typeface="Arial"/>
            </a:rPr>
            <a:pPr marL="0" indent="0"/>
            <a:t>1,897</a:t>
          </a:fld>
          <a:endParaRPr lang="en-US" sz="1050" b="0" i="0" u="none" strike="noStrike">
            <a:solidFill>
              <a:schemeClr val="accent4"/>
            </a:solidFill>
            <a:latin typeface="Arial"/>
            <a:ea typeface="+mn-ea"/>
            <a:cs typeface="Arial"/>
          </a:endParaRPr>
        </a:p>
      </xdr:txBody>
    </xdr:sp>
    <xdr:clientData/>
  </xdr:twoCellAnchor>
  <xdr:twoCellAnchor>
    <xdr:from>
      <xdr:col>2</xdr:col>
      <xdr:colOff>0</xdr:colOff>
      <xdr:row>26</xdr:row>
      <xdr:rowOff>0</xdr:rowOff>
    </xdr:from>
    <xdr:to>
      <xdr:col>3</xdr:col>
      <xdr:colOff>400050</xdr:colOff>
      <xdr:row>27</xdr:row>
      <xdr:rowOff>19050</xdr:rowOff>
    </xdr:to>
    <xdr:sp macro="" textlink="Calculations!AA24">
      <xdr:nvSpPr>
        <xdr:cNvPr id="40" name="TextBox 39">
          <a:extLst>
            <a:ext uri="{FF2B5EF4-FFF2-40B4-BE49-F238E27FC236}">
              <a16:creationId xmlns:a16="http://schemas.microsoft.com/office/drawing/2014/main" id="{4BB8F243-BB5D-4D4C-BCE3-0374C8B09983}"/>
            </a:ext>
          </a:extLst>
        </xdr:cNvPr>
        <xdr:cNvSpPr txBox="1"/>
      </xdr:nvSpPr>
      <xdr:spPr>
        <a:xfrm>
          <a:off x="409575" y="470535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FAD271-DFB7-4C62-B3B8-EE81C6129C8C}" type="TxLink">
            <a:rPr lang="en-US" sz="1050" b="0" i="0" u="none" strike="noStrike">
              <a:solidFill>
                <a:schemeClr val="accent4"/>
              </a:solidFill>
              <a:latin typeface="Arial"/>
              <a:ea typeface="+mn-ea"/>
              <a:cs typeface="Arial"/>
            </a:rPr>
            <a:pPr marL="0" indent="0"/>
            <a:t>$3.33 m</a:t>
          </a:fld>
          <a:endParaRPr lang="en-US" sz="1050" b="0" i="0" u="none" strike="noStrike">
            <a:solidFill>
              <a:schemeClr val="accent4"/>
            </a:solidFill>
            <a:latin typeface="Arial"/>
            <a:ea typeface="+mn-ea"/>
            <a:cs typeface="Arial"/>
          </a:endParaRPr>
        </a:p>
      </xdr:txBody>
    </xdr:sp>
    <xdr:clientData/>
  </xdr:twoCellAnchor>
  <xdr:twoCellAnchor>
    <xdr:from>
      <xdr:col>2</xdr:col>
      <xdr:colOff>0</xdr:colOff>
      <xdr:row>32</xdr:row>
      <xdr:rowOff>0</xdr:rowOff>
    </xdr:from>
    <xdr:to>
      <xdr:col>3</xdr:col>
      <xdr:colOff>400050</xdr:colOff>
      <xdr:row>33</xdr:row>
      <xdr:rowOff>19050</xdr:rowOff>
    </xdr:to>
    <xdr:sp macro="" textlink="Calculations!AA25">
      <xdr:nvSpPr>
        <xdr:cNvPr id="41" name="TextBox 40">
          <a:extLst>
            <a:ext uri="{FF2B5EF4-FFF2-40B4-BE49-F238E27FC236}">
              <a16:creationId xmlns:a16="http://schemas.microsoft.com/office/drawing/2014/main" id="{5799E093-134F-4490-A2CD-E3F33A36EE6A}"/>
            </a:ext>
          </a:extLst>
        </xdr:cNvPr>
        <xdr:cNvSpPr txBox="1"/>
      </xdr:nvSpPr>
      <xdr:spPr>
        <a:xfrm>
          <a:off x="409575" y="579120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E93C9E-D027-4BD0-B2EC-CBD118645845}" type="TxLink">
            <a:rPr lang="en-US" sz="1050" b="0" i="0" u="none" strike="noStrike">
              <a:solidFill>
                <a:schemeClr val="accent4"/>
              </a:solidFill>
              <a:latin typeface="Arial"/>
              <a:ea typeface="+mn-ea"/>
              <a:cs typeface="Arial"/>
            </a:rPr>
            <a:pPr marL="0" indent="0"/>
            <a:t>$7.41 m</a:t>
          </a:fld>
          <a:endParaRPr lang="en-US" sz="1050" b="0" i="0" u="none" strike="noStrike">
            <a:solidFill>
              <a:schemeClr val="accent4"/>
            </a:solidFill>
            <a:latin typeface="Arial"/>
            <a:ea typeface="+mn-ea"/>
            <a:cs typeface="Arial"/>
          </a:endParaRPr>
        </a:p>
      </xdr:txBody>
    </xdr:sp>
    <xdr:clientData/>
  </xdr:twoCellAnchor>
  <xdr:twoCellAnchor>
    <xdr:from>
      <xdr:col>2</xdr:col>
      <xdr:colOff>0</xdr:colOff>
      <xdr:row>38</xdr:row>
      <xdr:rowOff>0</xdr:rowOff>
    </xdr:from>
    <xdr:to>
      <xdr:col>3</xdr:col>
      <xdr:colOff>400050</xdr:colOff>
      <xdr:row>39</xdr:row>
      <xdr:rowOff>19050</xdr:rowOff>
    </xdr:to>
    <xdr:sp macro="" textlink="Calculations!AA26">
      <xdr:nvSpPr>
        <xdr:cNvPr id="42" name="TextBox 41">
          <a:extLst>
            <a:ext uri="{FF2B5EF4-FFF2-40B4-BE49-F238E27FC236}">
              <a16:creationId xmlns:a16="http://schemas.microsoft.com/office/drawing/2014/main" id="{C7265EAD-E0A8-4E24-87A5-854C1F4E4B18}"/>
            </a:ext>
          </a:extLst>
        </xdr:cNvPr>
        <xdr:cNvSpPr txBox="1"/>
      </xdr:nvSpPr>
      <xdr:spPr>
        <a:xfrm>
          <a:off x="409575" y="6877050"/>
          <a:ext cx="1085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954D5AD-A43E-4F22-A7FD-A510F9E27311}" type="TxLink">
            <a:rPr lang="en-US" sz="1050" b="0" i="0" u="none" strike="noStrike">
              <a:solidFill>
                <a:schemeClr val="accent4"/>
              </a:solidFill>
              <a:latin typeface="Arial"/>
              <a:ea typeface="+mn-ea"/>
              <a:cs typeface="Arial"/>
            </a:rPr>
            <a:pPr marL="0" indent="0"/>
            <a:t>69.0%</a:t>
          </a:fld>
          <a:endParaRPr lang="en-US" sz="1050" b="0" i="0" u="none" strike="noStrike">
            <a:solidFill>
              <a:schemeClr val="accent4"/>
            </a:solidFill>
            <a:latin typeface="Arial"/>
            <a:ea typeface="+mn-ea"/>
            <a:cs typeface="Arial"/>
          </a:endParaRPr>
        </a:p>
      </xdr:txBody>
    </xdr:sp>
    <xdr:clientData/>
  </xdr:twoCellAnchor>
  <xdr:twoCellAnchor editAs="oneCell">
    <xdr:from>
      <xdr:col>21</xdr:col>
      <xdr:colOff>843678</xdr:colOff>
      <xdr:row>5</xdr:row>
      <xdr:rowOff>71156</xdr:rowOff>
    </xdr:from>
    <xdr:to>
      <xdr:col>22</xdr:col>
      <xdr:colOff>1075766</xdr:colOff>
      <xdr:row>12</xdr:row>
      <xdr:rowOff>78441</xdr:rowOff>
    </xdr:to>
    <mc:AlternateContent xmlns:mc="http://schemas.openxmlformats.org/markup-compatibility/2006" xmlns:a14="http://schemas.microsoft.com/office/drawing/2010/main">
      <mc:Choice Requires="a14">
        <xdr:graphicFrame macro="">
          <xdr:nvGraphicFramePr>
            <xdr:cNvPr id="44" name="Category">
              <a:extLst>
                <a:ext uri="{FF2B5EF4-FFF2-40B4-BE49-F238E27FC236}">
                  <a16:creationId xmlns:a16="http://schemas.microsoft.com/office/drawing/2014/main" id="{B8E2FA0B-F373-43B3-8F28-DE427E10E5C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131428" y="1023656"/>
              <a:ext cx="1356038" cy="1378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10</xdr:row>
      <xdr:rowOff>0</xdr:rowOff>
    </xdr:from>
    <xdr:to>
      <xdr:col>4</xdr:col>
      <xdr:colOff>582706</xdr:colOff>
      <xdr:row>10</xdr:row>
      <xdr:rowOff>0</xdr:rowOff>
    </xdr:to>
    <xdr:cxnSp macro="">
      <xdr:nvCxnSpPr>
        <xdr:cNvPr id="46" name="Straight Connector 45">
          <a:extLst>
            <a:ext uri="{FF2B5EF4-FFF2-40B4-BE49-F238E27FC236}">
              <a16:creationId xmlns:a16="http://schemas.microsoft.com/office/drawing/2014/main" id="{1C3225B8-C41D-3642-5418-FC9A0635D8B1}"/>
            </a:ext>
          </a:extLst>
        </xdr:cNvPr>
        <xdr:cNvCxnSpPr/>
      </xdr:nvCxnSpPr>
      <xdr:spPr>
        <a:xfrm>
          <a:off x="414618" y="1792941"/>
          <a:ext cx="2129117" cy="0"/>
        </a:xfrm>
        <a:prstGeom prst="line">
          <a:avLst/>
        </a:prstGeom>
        <a:ln w="9525" cap="flat" cmpd="sng" algn="ctr">
          <a:solidFill>
            <a:schemeClr val="tx1">
              <a:lumMod val="65000"/>
              <a:lumOff val="35000"/>
            </a:schemeClr>
          </a:solidFill>
          <a:prstDash val="sys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16</xdr:row>
      <xdr:rowOff>11206</xdr:rowOff>
    </xdr:from>
    <xdr:to>
      <xdr:col>4</xdr:col>
      <xdr:colOff>582706</xdr:colOff>
      <xdr:row>16</xdr:row>
      <xdr:rowOff>11206</xdr:rowOff>
    </xdr:to>
    <xdr:cxnSp macro="">
      <xdr:nvCxnSpPr>
        <xdr:cNvPr id="47" name="Straight Connector 46">
          <a:extLst>
            <a:ext uri="{FF2B5EF4-FFF2-40B4-BE49-F238E27FC236}">
              <a16:creationId xmlns:a16="http://schemas.microsoft.com/office/drawing/2014/main" id="{C6CF76ED-58C5-4D66-9FE4-1C56ECAA2021}"/>
            </a:ext>
          </a:extLst>
        </xdr:cNvPr>
        <xdr:cNvCxnSpPr/>
      </xdr:nvCxnSpPr>
      <xdr:spPr>
        <a:xfrm>
          <a:off x="414618" y="2879912"/>
          <a:ext cx="2129117" cy="0"/>
        </a:xfrm>
        <a:prstGeom prst="line">
          <a:avLst/>
        </a:prstGeom>
        <a:ln w="9525" cap="flat" cmpd="sng" algn="ctr">
          <a:solidFill>
            <a:schemeClr val="tx1">
              <a:lumMod val="65000"/>
              <a:lumOff val="35000"/>
            </a:schemeClr>
          </a:solidFill>
          <a:prstDash val="sys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22</xdr:row>
      <xdr:rowOff>0</xdr:rowOff>
    </xdr:from>
    <xdr:to>
      <xdr:col>4</xdr:col>
      <xdr:colOff>582706</xdr:colOff>
      <xdr:row>22</xdr:row>
      <xdr:rowOff>0</xdr:rowOff>
    </xdr:to>
    <xdr:cxnSp macro="">
      <xdr:nvCxnSpPr>
        <xdr:cNvPr id="48" name="Straight Connector 47">
          <a:extLst>
            <a:ext uri="{FF2B5EF4-FFF2-40B4-BE49-F238E27FC236}">
              <a16:creationId xmlns:a16="http://schemas.microsoft.com/office/drawing/2014/main" id="{B062D52A-BC13-408F-8DBC-71C1C5DB304E}"/>
            </a:ext>
          </a:extLst>
        </xdr:cNvPr>
        <xdr:cNvCxnSpPr/>
      </xdr:nvCxnSpPr>
      <xdr:spPr>
        <a:xfrm>
          <a:off x="414618" y="3944471"/>
          <a:ext cx="2129117" cy="0"/>
        </a:xfrm>
        <a:prstGeom prst="line">
          <a:avLst/>
        </a:prstGeom>
        <a:ln w="9525" cap="flat" cmpd="sng" algn="ctr">
          <a:solidFill>
            <a:schemeClr val="tx1">
              <a:lumMod val="65000"/>
              <a:lumOff val="35000"/>
            </a:schemeClr>
          </a:solidFill>
          <a:prstDash val="sys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28</xdr:row>
      <xdr:rowOff>0</xdr:rowOff>
    </xdr:from>
    <xdr:to>
      <xdr:col>4</xdr:col>
      <xdr:colOff>582706</xdr:colOff>
      <xdr:row>28</xdr:row>
      <xdr:rowOff>0</xdr:rowOff>
    </xdr:to>
    <xdr:cxnSp macro="">
      <xdr:nvCxnSpPr>
        <xdr:cNvPr id="49" name="Straight Connector 48">
          <a:extLst>
            <a:ext uri="{FF2B5EF4-FFF2-40B4-BE49-F238E27FC236}">
              <a16:creationId xmlns:a16="http://schemas.microsoft.com/office/drawing/2014/main" id="{3EDF106E-9BDD-4F63-BDF0-232366CE7BE7}"/>
            </a:ext>
          </a:extLst>
        </xdr:cNvPr>
        <xdr:cNvCxnSpPr/>
      </xdr:nvCxnSpPr>
      <xdr:spPr>
        <a:xfrm>
          <a:off x="414618" y="5020235"/>
          <a:ext cx="2129117" cy="0"/>
        </a:xfrm>
        <a:prstGeom prst="line">
          <a:avLst/>
        </a:prstGeom>
        <a:ln w="9525" cap="flat" cmpd="sng" algn="ctr">
          <a:solidFill>
            <a:schemeClr val="tx1">
              <a:lumMod val="65000"/>
              <a:lumOff val="35000"/>
            </a:schemeClr>
          </a:solidFill>
          <a:prstDash val="sys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34</xdr:row>
      <xdr:rowOff>0</xdr:rowOff>
    </xdr:from>
    <xdr:to>
      <xdr:col>4</xdr:col>
      <xdr:colOff>582706</xdr:colOff>
      <xdr:row>34</xdr:row>
      <xdr:rowOff>0</xdr:rowOff>
    </xdr:to>
    <xdr:cxnSp macro="">
      <xdr:nvCxnSpPr>
        <xdr:cNvPr id="50" name="Straight Connector 49">
          <a:extLst>
            <a:ext uri="{FF2B5EF4-FFF2-40B4-BE49-F238E27FC236}">
              <a16:creationId xmlns:a16="http://schemas.microsoft.com/office/drawing/2014/main" id="{D6C62E20-45C4-4FA3-B3A5-8C508BC0A6EE}"/>
            </a:ext>
          </a:extLst>
        </xdr:cNvPr>
        <xdr:cNvCxnSpPr/>
      </xdr:nvCxnSpPr>
      <xdr:spPr>
        <a:xfrm>
          <a:off x="414618" y="6096000"/>
          <a:ext cx="2129117" cy="0"/>
        </a:xfrm>
        <a:prstGeom prst="line">
          <a:avLst/>
        </a:prstGeom>
        <a:ln w="9525" cap="flat" cmpd="sng" algn="ctr">
          <a:solidFill>
            <a:schemeClr val="tx1">
              <a:lumMod val="65000"/>
              <a:lumOff val="35000"/>
            </a:schemeClr>
          </a:solidFill>
          <a:prstDash val="sys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319365</xdr:colOff>
          <xdr:row>6</xdr:row>
          <xdr:rowOff>93381</xdr:rowOff>
        </xdr:from>
        <xdr:to>
          <xdr:col>5</xdr:col>
          <xdr:colOff>979633</xdr:colOff>
          <xdr:row>10</xdr:row>
          <xdr:rowOff>51695</xdr:rowOff>
        </xdr:to>
        <xdr:pic>
          <xdr:nvPicPr>
            <xdr:cNvPr id="51" name="Picture 50">
              <a:extLst>
                <a:ext uri="{FF2B5EF4-FFF2-40B4-BE49-F238E27FC236}">
                  <a16:creationId xmlns:a16="http://schemas.microsoft.com/office/drawing/2014/main" id="{56E2EBE2-F0F3-45AD-863B-D5D5F796CCD9}"/>
                </a:ext>
              </a:extLst>
            </xdr:cNvPr>
            <xdr:cNvPicPr>
              <a:picLocks noChangeAspect="1" noChangeArrowheads="1"/>
              <a:extLst>
                <a:ext uri="{84589F7E-364E-4C9E-8A38-B11213B215E9}">
                  <a14:cameraTool cellRange="map.1" spid="_x0000_s4615"/>
                </a:ext>
              </a:extLst>
            </xdr:cNvPicPr>
          </xdr:nvPicPr>
          <xdr:blipFill>
            <a:blip xmlns:r="http://schemas.openxmlformats.org/officeDocument/2006/relationships" r:embed="rId12">
              <a:duotone>
                <a:schemeClr val="accent1">
                  <a:shade val="45000"/>
                  <a:satMod val="135000"/>
                </a:schemeClr>
                <a:prstClr val="white"/>
              </a:duotone>
              <a:lum bright="30000" contrast="60000"/>
            </a:blip>
            <a:srcRect/>
            <a:stretch>
              <a:fillRect/>
            </a:stretch>
          </xdr:blipFill>
          <xdr:spPr bwMode="auto">
            <a:xfrm>
              <a:off x="2963953" y="1169146"/>
              <a:ext cx="660268" cy="731520"/>
            </a:xfrm>
            <a:prstGeom prst="rect">
              <a:avLst/>
            </a:prstGeom>
            <a:ln>
              <a:noFill/>
            </a:ln>
            <a:effectLst>
              <a:glow rad="254000">
                <a:srgbClr val="00B0F0">
                  <a:alpha val="40000"/>
                </a:srgbClr>
              </a:glow>
              <a:softEdge rad="12700"/>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372850</xdr:colOff>
          <xdr:row>11</xdr:row>
          <xdr:rowOff>138704</xdr:rowOff>
        </xdr:from>
        <xdr:to>
          <xdr:col>5</xdr:col>
          <xdr:colOff>970975</xdr:colOff>
          <xdr:row>15</xdr:row>
          <xdr:rowOff>108224</xdr:rowOff>
        </xdr:to>
        <xdr:pic>
          <xdr:nvPicPr>
            <xdr:cNvPr id="52" name="Picture 51">
              <a:extLst>
                <a:ext uri="{FF2B5EF4-FFF2-40B4-BE49-F238E27FC236}">
                  <a16:creationId xmlns:a16="http://schemas.microsoft.com/office/drawing/2014/main" id="{D0DDDED1-3CFC-498D-90FC-F14A08FE0588}"/>
                </a:ext>
              </a:extLst>
            </xdr:cNvPr>
            <xdr:cNvPicPr>
              <a:picLocks noChangeAspect="1" noChangeArrowheads="1"/>
              <a:extLst>
                <a:ext uri="{84589F7E-364E-4C9E-8A38-B11213B215E9}">
                  <a14:cameraTool cellRange="map.2" spid="_x0000_s4616"/>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017438" y="2110939"/>
              <a:ext cx="598125" cy="731520"/>
            </a:xfrm>
            <a:prstGeom prst="rect">
              <a:avLst/>
            </a:prstGeom>
            <a:noFill/>
            <a:effectLst>
              <a:softEdge rad="12700"/>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371080</xdr:colOff>
          <xdr:row>17</xdr:row>
          <xdr:rowOff>7222</xdr:rowOff>
        </xdr:from>
        <xdr:to>
          <xdr:col>5</xdr:col>
          <xdr:colOff>972744</xdr:colOff>
          <xdr:row>21</xdr:row>
          <xdr:rowOff>21566</xdr:rowOff>
        </xdr:to>
        <xdr:pic>
          <xdr:nvPicPr>
            <xdr:cNvPr id="53" name="Picture 52">
              <a:extLst>
                <a:ext uri="{FF2B5EF4-FFF2-40B4-BE49-F238E27FC236}">
                  <a16:creationId xmlns:a16="http://schemas.microsoft.com/office/drawing/2014/main" id="{D84BEDEF-E0B2-4464-871B-79D85408EFC2}"/>
                </a:ext>
              </a:extLst>
            </xdr:cNvPr>
            <xdr:cNvPicPr>
              <a:picLocks noChangeAspect="1" noChangeArrowheads="1"/>
              <a:extLst>
                <a:ext uri="{84589F7E-364E-4C9E-8A38-B11213B215E9}">
                  <a14:cameraTool cellRange="map.3" spid="_x0000_s4617"/>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3015668" y="3055222"/>
              <a:ext cx="601664" cy="731520"/>
            </a:xfrm>
            <a:prstGeom prst="rect">
              <a:avLst/>
            </a:prstGeom>
            <a:noFill/>
            <a:effectLst>
              <a:softEdge rad="12700"/>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326058</xdr:colOff>
          <xdr:row>23</xdr:row>
          <xdr:rowOff>64372</xdr:rowOff>
        </xdr:from>
        <xdr:to>
          <xdr:col>5</xdr:col>
          <xdr:colOff>1017767</xdr:colOff>
          <xdr:row>27</xdr:row>
          <xdr:rowOff>31790</xdr:rowOff>
        </xdr:to>
        <xdr:pic>
          <xdr:nvPicPr>
            <xdr:cNvPr id="54" name="Picture 53">
              <a:extLst>
                <a:ext uri="{FF2B5EF4-FFF2-40B4-BE49-F238E27FC236}">
                  <a16:creationId xmlns:a16="http://schemas.microsoft.com/office/drawing/2014/main" id="{BC074EEC-FF06-4923-B3B8-9FCC63209B7A}"/>
                </a:ext>
              </a:extLst>
            </xdr:cNvPr>
            <xdr:cNvPicPr>
              <a:picLocks noChangeAspect="1" noChangeArrowheads="1"/>
              <a:extLst>
                <a:ext uri="{84589F7E-364E-4C9E-8A38-B11213B215E9}">
                  <a14:cameraTool cellRange="map.4" spid="_x0000_s4618"/>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970646" y="4188137"/>
              <a:ext cx="691709" cy="731520"/>
            </a:xfrm>
            <a:prstGeom prst="rect">
              <a:avLst/>
            </a:prstGeom>
            <a:noFill/>
            <a:effectLst>
              <a:softEdge rad="12700"/>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371080</xdr:colOff>
          <xdr:row>29</xdr:row>
          <xdr:rowOff>39346</xdr:rowOff>
        </xdr:from>
        <xdr:to>
          <xdr:col>5</xdr:col>
          <xdr:colOff>972744</xdr:colOff>
          <xdr:row>33</xdr:row>
          <xdr:rowOff>53691</xdr:rowOff>
        </xdr:to>
        <xdr:pic>
          <xdr:nvPicPr>
            <xdr:cNvPr id="55" name="Picture 54">
              <a:extLst>
                <a:ext uri="{FF2B5EF4-FFF2-40B4-BE49-F238E27FC236}">
                  <a16:creationId xmlns:a16="http://schemas.microsoft.com/office/drawing/2014/main" id="{78F4F8F5-21E9-489C-AB0D-3B7E0D1A4BA5}"/>
                </a:ext>
              </a:extLst>
            </xdr:cNvPr>
            <xdr:cNvPicPr>
              <a:picLocks noChangeAspect="1" noChangeArrowheads="1"/>
              <a:extLst>
                <a:ext uri="{84589F7E-364E-4C9E-8A38-B11213B215E9}">
                  <a14:cameraTool cellRange="map.5" spid="_x0000_s4619"/>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3015668" y="5238875"/>
              <a:ext cx="601664" cy="731520"/>
            </a:xfrm>
            <a:prstGeom prst="rect">
              <a:avLst/>
            </a:prstGeom>
            <a:noFill/>
            <a:effectLst>
              <a:softEdge rad="12700"/>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286756</xdr:colOff>
          <xdr:row>34</xdr:row>
          <xdr:rowOff>123264</xdr:rowOff>
        </xdr:from>
        <xdr:to>
          <xdr:col>5</xdr:col>
          <xdr:colOff>1057069</xdr:colOff>
          <xdr:row>38</xdr:row>
          <xdr:rowOff>137607</xdr:rowOff>
        </xdr:to>
        <xdr:pic>
          <xdr:nvPicPr>
            <xdr:cNvPr id="57" name="Picture 56">
              <a:extLst>
                <a:ext uri="{FF2B5EF4-FFF2-40B4-BE49-F238E27FC236}">
                  <a16:creationId xmlns:a16="http://schemas.microsoft.com/office/drawing/2014/main" id="{80BA5FE4-031D-4E79-980E-C6B22CB23072}"/>
                </a:ext>
              </a:extLst>
            </xdr:cNvPr>
            <xdr:cNvPicPr>
              <a:picLocks noChangeAspect="1" noChangeArrowheads="1"/>
              <a:extLst>
                <a:ext uri="{84589F7E-364E-4C9E-8A38-B11213B215E9}">
                  <a14:cameraTool cellRange="map.6" spid="_x0000_s4620"/>
                </a:ext>
              </a:extLst>
            </xdr:cNvPicPr>
          </xdr:nvPicPr>
          <xdr:blipFill>
            <a:blip xmlns:r="http://schemas.openxmlformats.org/officeDocument/2006/relationships" r:embed="rId17">
              <a:alphaModFix amt="85000"/>
              <a:duotone>
                <a:schemeClr val="bg2">
                  <a:shade val="45000"/>
                  <a:satMod val="135000"/>
                </a:schemeClr>
                <a:prstClr val="white"/>
              </a:duotone>
            </a:blip>
            <a:srcRect/>
            <a:stretch>
              <a:fillRect/>
            </a:stretch>
          </xdr:blipFill>
          <xdr:spPr bwMode="auto">
            <a:xfrm>
              <a:off x="2931344" y="6219264"/>
              <a:ext cx="770313" cy="731520"/>
            </a:xfrm>
            <a:prstGeom prst="rect">
              <a:avLst/>
            </a:prstGeom>
            <a:noFill/>
            <a:ln>
              <a:noFill/>
            </a:ln>
            <a:effectLst>
              <a:softEdge rad="12700"/>
            </a:effectLst>
            <a:extLst>
              <a:ext uri="{909E8E84-426E-40DD-AFC4-6F175D3DCCD1}">
                <a14:hiddenFill>
                  <a:solidFill>
                    <a:srgbClr val="FFFFFF"/>
                  </a:solidFill>
                </a14:hiddenFill>
              </a:ext>
            </a:extLst>
          </xdr:spPr>
        </xdr:pic>
        <xdr:clientData/>
      </xdr:twoCellAnchor>
    </mc:Choice>
    <mc:Fallback/>
  </mc:AlternateContent>
  <xdr:twoCellAnchor editAs="oneCell">
    <xdr:from>
      <xdr:col>5</xdr:col>
      <xdr:colOff>0</xdr:colOff>
      <xdr:row>4</xdr:row>
      <xdr:rowOff>100853</xdr:rowOff>
    </xdr:from>
    <xdr:to>
      <xdr:col>5</xdr:col>
      <xdr:colOff>274320</xdr:colOff>
      <xdr:row>6</xdr:row>
      <xdr:rowOff>16584</xdr:rowOff>
    </xdr:to>
    <xdr:pic>
      <xdr:nvPicPr>
        <xdr:cNvPr id="58" name="Graphic 57" descr="Earth globe: Americas with solid fill">
          <a:extLst>
            <a:ext uri="{FF2B5EF4-FFF2-40B4-BE49-F238E27FC236}">
              <a16:creationId xmlns:a16="http://schemas.microsoft.com/office/drawing/2014/main" id="{1A8D192B-BF1D-4FCE-AFC2-8AD4CEED55D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644588" y="818029"/>
          <a:ext cx="274320" cy="274320"/>
        </a:xfrm>
        <a:prstGeom prst="rect">
          <a:avLst/>
        </a:prstGeom>
      </xdr:spPr>
    </xdr:pic>
    <xdr:clientData/>
  </xdr:twoCellAnchor>
  <xdr:twoCellAnchor>
    <xdr:from>
      <xdr:col>5</xdr:col>
      <xdr:colOff>324971</xdr:colOff>
      <xdr:row>4</xdr:row>
      <xdr:rowOff>156883</xdr:rowOff>
    </xdr:from>
    <xdr:to>
      <xdr:col>6</xdr:col>
      <xdr:colOff>616323</xdr:colOff>
      <xdr:row>6</xdr:row>
      <xdr:rowOff>0</xdr:rowOff>
    </xdr:to>
    <xdr:sp macro="" textlink="Calculations!AE60">
      <xdr:nvSpPr>
        <xdr:cNvPr id="59" name="TextBox 58">
          <a:extLst>
            <a:ext uri="{FF2B5EF4-FFF2-40B4-BE49-F238E27FC236}">
              <a16:creationId xmlns:a16="http://schemas.microsoft.com/office/drawing/2014/main" id="{C3219BC2-C438-403B-B1CB-D602D31CA8FE}"/>
            </a:ext>
          </a:extLst>
        </xdr:cNvPr>
        <xdr:cNvSpPr txBox="1"/>
      </xdr:nvSpPr>
      <xdr:spPr>
        <a:xfrm>
          <a:off x="2969559" y="874059"/>
          <a:ext cx="1479176" cy="20170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9E3011CA-AAF3-4883-8434-59825A90D624}" type="TxLink">
            <a:rPr lang="en-US" sz="1000">
              <a:solidFill>
                <a:schemeClr val="tx1">
                  <a:lumMod val="50000"/>
                  <a:lumOff val="50000"/>
                </a:schemeClr>
              </a:solidFill>
              <a:effectLst/>
              <a:latin typeface="+mn-lt"/>
              <a:ea typeface="+mn-ea"/>
              <a:cs typeface="+mn-cs"/>
            </a:rPr>
            <a:pPr marL="0" indent="0"/>
            <a:t>COUNTRY SALES</a:t>
          </a:fld>
          <a:endParaRPr lang="en-US" sz="1000">
            <a:solidFill>
              <a:schemeClr val="tx1">
                <a:lumMod val="50000"/>
                <a:lumOff val="50000"/>
              </a:schemeClr>
            </a:solidFill>
            <a:effectLst/>
            <a:latin typeface="+mn-lt"/>
            <a:ea typeface="+mn-ea"/>
            <a:cs typeface="+mn-cs"/>
          </a:endParaRPr>
        </a:p>
      </xdr:txBody>
    </xdr:sp>
    <xdr:clientData/>
  </xdr:twoCellAnchor>
  <xdr:twoCellAnchor>
    <xdr:from>
      <xdr:col>8</xdr:col>
      <xdr:colOff>136261</xdr:colOff>
      <xdr:row>0</xdr:row>
      <xdr:rowOff>177270</xdr:rowOff>
    </xdr:from>
    <xdr:to>
      <xdr:col>14</xdr:col>
      <xdr:colOff>579437</xdr:colOff>
      <xdr:row>21</xdr:row>
      <xdr:rowOff>82020</xdr:rowOff>
    </xdr:to>
    <xdr:graphicFrame macro="">
      <xdr:nvGraphicFramePr>
        <xdr:cNvPr id="60" name="Chart 59">
          <a:extLst>
            <a:ext uri="{FF2B5EF4-FFF2-40B4-BE49-F238E27FC236}">
              <a16:creationId xmlns:a16="http://schemas.microsoft.com/office/drawing/2014/main" id="{F39DECBB-C084-487B-8178-15CB63EA3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907514</xdr:colOff>
      <xdr:row>9</xdr:row>
      <xdr:rowOff>50270</xdr:rowOff>
    </xdr:from>
    <xdr:to>
      <xdr:col>12</xdr:col>
      <xdr:colOff>666748</xdr:colOff>
      <xdr:row>13</xdr:row>
      <xdr:rowOff>84668</xdr:rowOff>
    </xdr:to>
    <xdr:sp macro="" textlink="">
      <xdr:nvSpPr>
        <xdr:cNvPr id="61" name="TextBox 60">
          <a:extLst>
            <a:ext uri="{FF2B5EF4-FFF2-40B4-BE49-F238E27FC236}">
              <a16:creationId xmlns:a16="http://schemas.microsoft.com/office/drawing/2014/main" id="{2C866573-43AC-7C94-9A7A-A281C8CEDD16}"/>
            </a:ext>
          </a:extLst>
        </xdr:cNvPr>
        <xdr:cNvSpPr txBox="1"/>
      </xdr:nvSpPr>
      <xdr:spPr>
        <a:xfrm>
          <a:off x="7617347" y="1722437"/>
          <a:ext cx="912818" cy="754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4"/>
              </a:solidFill>
              <a:latin typeface="+mj-lt"/>
            </a:rPr>
            <a:t>Sales &amp; Profit &amp; by Teams</a:t>
          </a:r>
        </a:p>
      </xdr:txBody>
    </xdr:sp>
    <xdr:clientData/>
  </xdr:twoCellAnchor>
  <xdr:twoCellAnchor>
    <xdr:from>
      <xdr:col>13</xdr:col>
      <xdr:colOff>740833</xdr:colOff>
      <xdr:row>21</xdr:row>
      <xdr:rowOff>169332</xdr:rowOff>
    </xdr:from>
    <xdr:to>
      <xdr:col>15</xdr:col>
      <xdr:colOff>21166</xdr:colOff>
      <xdr:row>23</xdr:row>
      <xdr:rowOff>10583</xdr:rowOff>
    </xdr:to>
    <xdr:sp macro="" textlink="Calculations!AE60">
      <xdr:nvSpPr>
        <xdr:cNvPr id="66" name="TextBox 65">
          <a:extLst>
            <a:ext uri="{FF2B5EF4-FFF2-40B4-BE49-F238E27FC236}">
              <a16:creationId xmlns:a16="http://schemas.microsoft.com/office/drawing/2014/main" id="{F5B3EEE6-52AF-4A3D-88E8-D05DB213AEC8}"/>
            </a:ext>
          </a:extLst>
        </xdr:cNvPr>
        <xdr:cNvSpPr txBox="1"/>
      </xdr:nvSpPr>
      <xdr:spPr>
        <a:xfrm>
          <a:off x="9853083" y="4000499"/>
          <a:ext cx="952500" cy="20108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LAST 28 DAYS</a:t>
          </a:r>
        </a:p>
      </xdr:txBody>
    </xdr:sp>
    <xdr:clientData/>
  </xdr:twoCellAnchor>
  <xdr:twoCellAnchor editAs="absolute">
    <xdr:from>
      <xdr:col>15</xdr:col>
      <xdr:colOff>59204</xdr:colOff>
      <xdr:row>3</xdr:row>
      <xdr:rowOff>116416</xdr:rowOff>
    </xdr:from>
    <xdr:to>
      <xdr:col>17</xdr:col>
      <xdr:colOff>1221502</xdr:colOff>
      <xdr:row>12</xdr:row>
      <xdr:rowOff>1753</xdr:rowOff>
    </xdr:to>
    <xdr:graphicFrame macro="">
      <xdr:nvGraphicFramePr>
        <xdr:cNvPr id="71" name="Chart 70">
          <a:extLst>
            <a:ext uri="{FF2B5EF4-FFF2-40B4-BE49-F238E27FC236}">
              <a16:creationId xmlns:a16="http://schemas.microsoft.com/office/drawing/2014/main" id="{5900F109-D4A6-43B5-8883-7EEBEF87D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15</xdr:col>
      <xdr:colOff>52854</xdr:colOff>
      <xdr:row>10</xdr:row>
      <xdr:rowOff>47624</xdr:rowOff>
    </xdr:from>
    <xdr:to>
      <xdr:col>17</xdr:col>
      <xdr:colOff>962584</xdr:colOff>
      <xdr:row>11</xdr:row>
      <xdr:rowOff>61382</xdr:rowOff>
    </xdr:to>
    <xdr:sp macro="" textlink="Calculations!T109">
      <xdr:nvSpPr>
        <xdr:cNvPr id="72" name="TextBox 71">
          <a:extLst>
            <a:ext uri="{FF2B5EF4-FFF2-40B4-BE49-F238E27FC236}">
              <a16:creationId xmlns:a16="http://schemas.microsoft.com/office/drawing/2014/main" id="{60F3B651-089A-4C59-BB5F-119D5CF83BDF}"/>
            </a:ext>
          </a:extLst>
        </xdr:cNvPr>
        <xdr:cNvSpPr txBox="1"/>
      </xdr:nvSpPr>
      <xdr:spPr>
        <a:xfrm>
          <a:off x="11912600" y="1904999"/>
          <a:ext cx="1593849" cy="19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3F403F-E7C8-42E8-AE9D-2524C04860C1}" type="TxLink">
            <a:rPr lang="en-US" sz="1200" b="0" i="0" u="none" strike="noStrike">
              <a:solidFill>
                <a:schemeClr val="bg2">
                  <a:lumMod val="50000"/>
                </a:schemeClr>
              </a:solidFill>
              <a:latin typeface="+mj-lt"/>
              <a:cs typeface="Arial"/>
            </a:rPr>
            <a:pPr algn="ctr"/>
            <a:t>$7.41 / $10.74 m</a:t>
          </a:fld>
          <a:endParaRPr lang="en-US" sz="1200">
            <a:solidFill>
              <a:schemeClr val="bg2">
                <a:lumMod val="50000"/>
              </a:schemeClr>
            </a:solidFill>
            <a:latin typeface="+mj-lt"/>
          </a:endParaRPr>
        </a:p>
      </xdr:txBody>
    </xdr:sp>
    <xdr:clientData/>
  </xdr:twoCellAnchor>
  <xdr:twoCellAnchor editAs="absolute">
    <xdr:from>
      <xdr:col>15</xdr:col>
      <xdr:colOff>204197</xdr:colOff>
      <xdr:row>1</xdr:row>
      <xdr:rowOff>154081</xdr:rowOff>
    </xdr:from>
    <xdr:to>
      <xdr:col>17</xdr:col>
      <xdr:colOff>1108884</xdr:colOff>
      <xdr:row>3</xdr:row>
      <xdr:rowOff>78939</xdr:rowOff>
    </xdr:to>
    <xdr:sp macro="" textlink="Calculations!K109">
      <xdr:nvSpPr>
        <xdr:cNvPr id="73" name="TextBox 72">
          <a:extLst>
            <a:ext uri="{FF2B5EF4-FFF2-40B4-BE49-F238E27FC236}">
              <a16:creationId xmlns:a16="http://schemas.microsoft.com/office/drawing/2014/main" id="{FA71B35E-EC77-4B70-9061-29AF879A9EEA}"/>
            </a:ext>
          </a:extLst>
        </xdr:cNvPr>
        <xdr:cNvSpPr txBox="1"/>
      </xdr:nvSpPr>
      <xdr:spPr>
        <a:xfrm>
          <a:off x="11262722" y="333375"/>
          <a:ext cx="1348440" cy="283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CF909-503E-4763-AE4D-C2676FEF0736}" type="TxLink">
            <a:rPr lang="en-US" sz="1400" b="0" i="0" u="none" strike="noStrike">
              <a:solidFill>
                <a:schemeClr val="accent4"/>
              </a:solidFill>
              <a:latin typeface="+mj-lt"/>
              <a:cs typeface="Arial"/>
            </a:rPr>
            <a:pPr algn="ctr"/>
            <a:t>Bars◉</a:t>
          </a:fld>
          <a:endParaRPr lang="en-US" sz="1400">
            <a:solidFill>
              <a:schemeClr val="accent4"/>
            </a:solidFill>
            <a:latin typeface="+mj-lt"/>
          </a:endParaRPr>
        </a:p>
      </xdr:txBody>
    </xdr:sp>
    <xdr:clientData/>
  </xdr:twoCellAnchor>
  <xdr:twoCellAnchor editAs="absolute">
    <xdr:from>
      <xdr:col>17</xdr:col>
      <xdr:colOff>1334185</xdr:colOff>
      <xdr:row>3</xdr:row>
      <xdr:rowOff>84479</xdr:rowOff>
    </xdr:from>
    <xdr:to>
      <xdr:col>18</xdr:col>
      <xdr:colOff>1450413</xdr:colOff>
      <xdr:row>11</xdr:row>
      <xdr:rowOff>146709</xdr:rowOff>
    </xdr:to>
    <xdr:graphicFrame macro="">
      <xdr:nvGraphicFramePr>
        <xdr:cNvPr id="74" name="Chart 73">
          <a:extLst>
            <a:ext uri="{FF2B5EF4-FFF2-40B4-BE49-F238E27FC236}">
              <a16:creationId xmlns:a16="http://schemas.microsoft.com/office/drawing/2014/main" id="{2A948E20-0370-4A31-828B-08B366806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17</xdr:col>
      <xdr:colOff>1442135</xdr:colOff>
      <xdr:row>10</xdr:row>
      <xdr:rowOff>21167</xdr:rowOff>
    </xdr:from>
    <xdr:to>
      <xdr:col>18</xdr:col>
      <xdr:colOff>1537197</xdr:colOff>
      <xdr:row>11</xdr:row>
      <xdr:rowOff>128058</xdr:rowOff>
    </xdr:to>
    <xdr:sp macro="" textlink="Calculations!T110">
      <xdr:nvSpPr>
        <xdr:cNvPr id="75" name="TextBox 74">
          <a:extLst>
            <a:ext uri="{FF2B5EF4-FFF2-40B4-BE49-F238E27FC236}">
              <a16:creationId xmlns:a16="http://schemas.microsoft.com/office/drawing/2014/main" id="{29A8147D-04DE-482F-95A9-CBDC95E99820}"/>
            </a:ext>
          </a:extLst>
        </xdr:cNvPr>
        <xdr:cNvSpPr txBox="1"/>
      </xdr:nvSpPr>
      <xdr:spPr>
        <a:xfrm>
          <a:off x="12939370" y="1870138"/>
          <a:ext cx="1589367" cy="286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289F01-1244-4BCF-A357-97AA9BB6C646}" type="TxLink">
            <a:rPr lang="en-US" sz="1200" b="0" i="0" u="none" strike="noStrike">
              <a:solidFill>
                <a:schemeClr val="bg2">
                  <a:lumMod val="50000"/>
                </a:schemeClr>
              </a:solidFill>
              <a:latin typeface="+mj-lt"/>
              <a:ea typeface="+mn-ea"/>
              <a:cs typeface="Arial"/>
            </a:rPr>
            <a:pPr marL="0" indent="0" algn="ctr"/>
            <a:t>$4.27 / $7.08 m</a:t>
          </a:fld>
          <a:endParaRPr lang="en-US" sz="1200" b="0" i="0" u="none" strike="noStrike">
            <a:solidFill>
              <a:schemeClr val="bg2">
                <a:lumMod val="50000"/>
              </a:schemeClr>
            </a:solidFill>
            <a:latin typeface="+mj-lt"/>
            <a:ea typeface="+mn-ea"/>
            <a:cs typeface="Arial"/>
          </a:endParaRPr>
        </a:p>
      </xdr:txBody>
    </xdr:sp>
    <xdr:clientData/>
  </xdr:twoCellAnchor>
  <xdr:twoCellAnchor editAs="absolute">
    <xdr:from>
      <xdr:col>17</xdr:col>
      <xdr:colOff>1299883</xdr:colOff>
      <xdr:row>1</xdr:row>
      <xdr:rowOff>134470</xdr:rowOff>
    </xdr:from>
    <xdr:to>
      <xdr:col>18</xdr:col>
      <xdr:colOff>1398868</xdr:colOff>
      <xdr:row>3</xdr:row>
      <xdr:rowOff>47001</xdr:rowOff>
    </xdr:to>
    <xdr:sp macro="" textlink="Calculations!K110">
      <xdr:nvSpPr>
        <xdr:cNvPr id="76" name="TextBox 75">
          <a:extLst>
            <a:ext uri="{FF2B5EF4-FFF2-40B4-BE49-F238E27FC236}">
              <a16:creationId xmlns:a16="http://schemas.microsoft.com/office/drawing/2014/main" id="{C34F6530-7449-47D4-B8F2-BE02927D521B}"/>
            </a:ext>
          </a:extLst>
        </xdr:cNvPr>
        <xdr:cNvSpPr txBox="1"/>
      </xdr:nvSpPr>
      <xdr:spPr>
        <a:xfrm>
          <a:off x="12802161" y="313764"/>
          <a:ext cx="1589367" cy="271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685FB4-E62B-4823-A07B-3A14527A30E2}" type="TxLink">
            <a:rPr lang="en-US" sz="1400" b="0" i="0" u="none" strike="noStrike">
              <a:solidFill>
                <a:schemeClr val="accent4"/>
              </a:solidFill>
              <a:latin typeface="+mj-lt"/>
              <a:ea typeface="+mn-ea"/>
              <a:cs typeface="Arial"/>
            </a:rPr>
            <a:pPr marL="0" indent="0" algn="ctr"/>
            <a:t>Bites</a:t>
          </a:fld>
          <a:endParaRPr lang="en-US" sz="1400" b="0" i="0" u="none" strike="noStrike">
            <a:solidFill>
              <a:schemeClr val="accent4"/>
            </a:solidFill>
            <a:latin typeface="+mj-lt"/>
            <a:ea typeface="+mn-ea"/>
            <a:cs typeface="Arial"/>
          </a:endParaRPr>
        </a:p>
      </xdr:txBody>
    </xdr:sp>
    <xdr:clientData/>
  </xdr:twoCellAnchor>
  <xdr:twoCellAnchor editAs="absolute">
    <xdr:from>
      <xdr:col>19</xdr:col>
      <xdr:colOff>5167</xdr:colOff>
      <xdr:row>3</xdr:row>
      <xdr:rowOff>87841</xdr:rowOff>
    </xdr:from>
    <xdr:to>
      <xdr:col>20</xdr:col>
      <xdr:colOff>845295</xdr:colOff>
      <xdr:row>11</xdr:row>
      <xdr:rowOff>150071</xdr:rowOff>
    </xdr:to>
    <xdr:graphicFrame macro="">
      <xdr:nvGraphicFramePr>
        <xdr:cNvPr id="77" name="Chart 76">
          <a:extLst>
            <a:ext uri="{FF2B5EF4-FFF2-40B4-BE49-F238E27FC236}">
              <a16:creationId xmlns:a16="http://schemas.microsoft.com/office/drawing/2014/main" id="{1433FA8F-FC12-4EEE-8B6E-645A9B970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160742</xdr:colOff>
      <xdr:row>10</xdr:row>
      <xdr:rowOff>30692</xdr:rowOff>
    </xdr:from>
    <xdr:to>
      <xdr:col>20</xdr:col>
      <xdr:colOff>979704</xdr:colOff>
      <xdr:row>11</xdr:row>
      <xdr:rowOff>137583</xdr:rowOff>
    </xdr:to>
    <xdr:sp macro="" textlink="Calculations!T111">
      <xdr:nvSpPr>
        <xdr:cNvPr id="78" name="TextBox 77">
          <a:extLst>
            <a:ext uri="{FF2B5EF4-FFF2-40B4-BE49-F238E27FC236}">
              <a16:creationId xmlns:a16="http://schemas.microsoft.com/office/drawing/2014/main" id="{9E1B8A83-83CF-4211-9985-E71B8158F439}"/>
            </a:ext>
          </a:extLst>
        </xdr:cNvPr>
        <xdr:cNvSpPr txBox="1"/>
      </xdr:nvSpPr>
      <xdr:spPr>
        <a:xfrm>
          <a:off x="15783983" y="1888067"/>
          <a:ext cx="1593849"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61B5187-C128-4B73-811B-495E32E2D407}" type="TxLink">
            <a:rPr lang="en-US" sz="1200" b="0" i="0" u="none" strike="noStrike">
              <a:solidFill>
                <a:schemeClr val="bg2">
                  <a:lumMod val="50000"/>
                </a:schemeClr>
              </a:solidFill>
              <a:latin typeface="+mj-lt"/>
              <a:ea typeface="+mn-ea"/>
              <a:cs typeface="Arial"/>
            </a:rPr>
            <a:pPr marL="0" indent="0" algn="ctr"/>
            <a:t>$3.34 / $3.88 m</a:t>
          </a:fld>
          <a:endParaRPr lang="en-US" sz="1200" b="0" i="0" u="none" strike="noStrike">
            <a:solidFill>
              <a:schemeClr val="bg2">
                <a:lumMod val="50000"/>
              </a:schemeClr>
            </a:solidFill>
            <a:latin typeface="+mj-lt"/>
            <a:ea typeface="+mn-ea"/>
            <a:cs typeface="Arial"/>
          </a:endParaRPr>
        </a:p>
      </xdr:txBody>
    </xdr:sp>
    <xdr:clientData/>
  </xdr:twoCellAnchor>
  <xdr:twoCellAnchor editAs="absolute">
    <xdr:from>
      <xdr:col>18</xdr:col>
      <xdr:colOff>1550334</xdr:colOff>
      <xdr:row>1</xdr:row>
      <xdr:rowOff>95250</xdr:rowOff>
    </xdr:from>
    <xdr:to>
      <xdr:col>20</xdr:col>
      <xdr:colOff>785344</xdr:colOff>
      <xdr:row>3</xdr:row>
      <xdr:rowOff>20108</xdr:rowOff>
    </xdr:to>
    <xdr:sp macro="" textlink="Calculations!K111">
      <xdr:nvSpPr>
        <xdr:cNvPr id="79" name="TextBox 78">
          <a:extLst>
            <a:ext uri="{FF2B5EF4-FFF2-40B4-BE49-F238E27FC236}">
              <a16:creationId xmlns:a16="http://schemas.microsoft.com/office/drawing/2014/main" id="{DA12A8B4-6735-497D-8B09-2EED7A93A8F6}"/>
            </a:ext>
          </a:extLst>
        </xdr:cNvPr>
        <xdr:cNvSpPr txBox="1"/>
      </xdr:nvSpPr>
      <xdr:spPr>
        <a:xfrm>
          <a:off x="15225432" y="274544"/>
          <a:ext cx="1589367" cy="283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D24567-2CA4-4CA7-B9A1-983FA31248D5}" type="TxLink">
            <a:rPr lang="en-US" sz="1400" b="0" i="0" u="none" strike="noStrike">
              <a:solidFill>
                <a:schemeClr val="accent4"/>
              </a:solidFill>
              <a:latin typeface="+mj-lt"/>
              <a:ea typeface="+mn-ea"/>
              <a:cs typeface="Arial"/>
            </a:rPr>
            <a:pPr marL="0" indent="0" algn="ctr"/>
            <a:t>Other</a:t>
          </a:fld>
          <a:endParaRPr lang="en-US" sz="1400" b="0" i="0" u="none" strike="noStrike">
            <a:solidFill>
              <a:schemeClr val="accent4"/>
            </a:solidFill>
            <a:latin typeface="+mj-lt"/>
            <a:ea typeface="+mn-ea"/>
            <a:cs typeface="Arial"/>
          </a:endParaRPr>
        </a:p>
      </xdr:txBody>
    </xdr:sp>
    <xdr:clientData/>
  </xdr:twoCellAnchor>
</xdr:wsDr>
</file>

<file path=xl/drawings/drawing5.xml><?xml version="1.0" encoding="utf-8"?>
<c:userShapes xmlns:c="http://schemas.openxmlformats.org/drawingml/2006/chart">
  <cdr:relSizeAnchor xmlns:cdr="http://schemas.openxmlformats.org/drawingml/2006/chartDrawing">
    <cdr:from>
      <cdr:x>0.38362</cdr:x>
      <cdr:y>0.36676</cdr:y>
    </cdr:from>
    <cdr:to>
      <cdr:x>0.6512</cdr:x>
      <cdr:y>0.64943</cdr:y>
    </cdr:to>
    <cdr:cxnSp macro="">
      <cdr:nvCxnSpPr>
        <cdr:cNvPr id="8" name="Straight Connector 7">
          <a:extLst xmlns:a="http://schemas.openxmlformats.org/drawingml/2006/main">
            <a:ext uri="{FF2B5EF4-FFF2-40B4-BE49-F238E27FC236}">
              <a16:creationId xmlns:a16="http://schemas.microsoft.com/office/drawing/2014/main" id="{1AA2614F-D4FC-F062-3030-BF94B69FE4E4}"/>
            </a:ext>
          </a:extLst>
        </cdr:cNvPr>
        <cdr:cNvCxnSpPr/>
      </cdr:nvCxnSpPr>
      <cdr:spPr>
        <a:xfrm xmlns:a="http://schemas.openxmlformats.org/drawingml/2006/main">
          <a:off x="2045725" y="1370193"/>
          <a:ext cx="1426931" cy="1056037"/>
        </a:xfrm>
        <a:prstGeom xmlns:a="http://schemas.openxmlformats.org/drawingml/2006/main" prst="line">
          <a:avLst/>
        </a:prstGeom>
        <a:ln xmlns:a="http://schemas.openxmlformats.org/drawingml/2006/main">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0.34698</cdr:x>
      <cdr:y>0.36963</cdr:y>
    </cdr:from>
    <cdr:to>
      <cdr:x>0.63362</cdr:x>
      <cdr:y>0.6361</cdr:y>
    </cdr:to>
    <cdr:cxnSp macro="">
      <cdr:nvCxnSpPr>
        <cdr:cNvPr id="10" name="Straight Connector 9">
          <a:extLst xmlns:a="http://schemas.openxmlformats.org/drawingml/2006/main">
            <a:ext uri="{FF2B5EF4-FFF2-40B4-BE49-F238E27FC236}">
              <a16:creationId xmlns:a16="http://schemas.microsoft.com/office/drawing/2014/main" id="{2E07BF2F-B9FF-803E-DD65-055D9237B18C}"/>
            </a:ext>
          </a:extLst>
        </cdr:cNvPr>
        <cdr:cNvCxnSpPr/>
      </cdr:nvCxnSpPr>
      <cdr:spPr>
        <a:xfrm xmlns:a="http://schemas.openxmlformats.org/drawingml/2006/main" flipH="1">
          <a:off x="1916906" y="1535907"/>
          <a:ext cx="1583531" cy="1107281"/>
        </a:xfrm>
        <a:prstGeom xmlns:a="http://schemas.openxmlformats.org/drawingml/2006/main" prst="line">
          <a:avLst/>
        </a:prstGeom>
        <a:ln xmlns:a="http://schemas.openxmlformats.org/drawingml/2006/main">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0.40086</cdr:x>
      <cdr:y>0.3639</cdr:y>
    </cdr:from>
    <cdr:to>
      <cdr:x>0.61207</cdr:x>
      <cdr:y>0.65043</cdr:y>
    </cdr:to>
    <cdr:sp macro="" textlink="">
      <cdr:nvSpPr>
        <cdr:cNvPr id="6" name="Oval 5">
          <a:extLst xmlns:a="http://schemas.openxmlformats.org/drawingml/2006/main">
            <a:ext uri="{FF2B5EF4-FFF2-40B4-BE49-F238E27FC236}">
              <a16:creationId xmlns:a16="http://schemas.microsoft.com/office/drawing/2014/main" id="{B6FDACFE-FC57-E3E9-F217-0DED7AF26351}"/>
            </a:ext>
          </a:extLst>
        </cdr:cNvPr>
        <cdr:cNvSpPr/>
      </cdr:nvSpPr>
      <cdr:spPr>
        <a:xfrm xmlns:a="http://schemas.openxmlformats.org/drawingml/2006/main">
          <a:off x="2214561" y="1512094"/>
          <a:ext cx="1166813" cy="1190625"/>
        </a:xfrm>
        <a:prstGeom xmlns:a="http://schemas.openxmlformats.org/drawingml/2006/main" prst="ellipse">
          <a:avLst/>
        </a:prstGeom>
        <a:solidFill xmlns:a="http://schemas.openxmlformats.org/drawingml/2006/main">
          <a:schemeClr val="tx1">
            <a:lumMod val="85000"/>
            <a:lumOff val="1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0.24564</cdr:x>
      <cdr:y>0.2451</cdr:y>
    </cdr:from>
    <cdr:to>
      <cdr:x>0.75817</cdr:x>
      <cdr:y>0.75572</cdr:y>
    </cdr:to>
    <cdr:sp macro="" textlink="Calculations!$M$109">
      <cdr:nvSpPr>
        <cdr:cNvPr id="2" name="Oval 1">
          <a:extLst xmlns:a="http://schemas.openxmlformats.org/drawingml/2006/main">
            <a:ext uri="{FF2B5EF4-FFF2-40B4-BE49-F238E27FC236}">
              <a16:creationId xmlns:a16="http://schemas.microsoft.com/office/drawing/2014/main" id="{1C2DEA58-877C-FA3C-1888-5E513B036654}"/>
            </a:ext>
          </a:extLst>
        </cdr:cNvPr>
        <cdr:cNvSpPr/>
      </cdr:nvSpPr>
      <cdr:spPr>
        <a:xfrm xmlns:a="http://schemas.openxmlformats.org/drawingml/2006/main">
          <a:off x="397756" y="381002"/>
          <a:ext cx="829910" cy="793750"/>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wrap="none" lIns="0" tIns="0" rIns="0" bIns="0" anchor="ctr" anchorCtr="1"/>
        <a:lstStyle xmlns:a="http://schemas.openxmlformats.org/drawingml/2006/main"/>
        <a:p xmlns:a="http://schemas.openxmlformats.org/drawingml/2006/main">
          <a:fld id="{B7A25833-73AD-4BA3-8A06-86838CD3521D}" type="TxLink">
            <a:rPr lang="en-US" sz="1100" b="0" i="0" u="none" strike="noStrike">
              <a:solidFill>
                <a:srgbClr val="000000"/>
              </a:solidFill>
              <a:latin typeface="Arial"/>
              <a:cs typeface="Arial"/>
            </a:rPr>
            <a:pPr/>
            <a:t>69.0%</a:t>
          </a:fld>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0.24564</cdr:x>
      <cdr:y>0.2451</cdr:y>
    </cdr:from>
    <cdr:to>
      <cdr:x>0.75817</cdr:x>
      <cdr:y>0.75572</cdr:y>
    </cdr:to>
    <cdr:sp macro="" textlink="Calculations!$M$110">
      <cdr:nvSpPr>
        <cdr:cNvPr id="2" name="Oval 1">
          <a:extLst xmlns:a="http://schemas.openxmlformats.org/drawingml/2006/main">
            <a:ext uri="{FF2B5EF4-FFF2-40B4-BE49-F238E27FC236}">
              <a16:creationId xmlns:a16="http://schemas.microsoft.com/office/drawing/2014/main" id="{1C2DEA58-877C-FA3C-1888-5E513B036654}"/>
            </a:ext>
          </a:extLst>
        </cdr:cNvPr>
        <cdr:cNvSpPr/>
      </cdr:nvSpPr>
      <cdr:spPr>
        <a:xfrm xmlns:a="http://schemas.openxmlformats.org/drawingml/2006/main">
          <a:off x="397756" y="381002"/>
          <a:ext cx="829910" cy="793750"/>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wrap="none" lIns="0" tIns="0" rIns="0" bIns="0" anchor="ctr" anchorCtr="1"/>
        <a:lstStyle xmlns:a="http://schemas.openxmlformats.org/drawingml/2006/main"/>
        <a:p xmlns:a="http://schemas.openxmlformats.org/drawingml/2006/main">
          <a:fld id="{59B16754-D0D4-4568-A245-80F8158C5A27}" type="TxLink">
            <a:rPr lang="en-US" sz="1100" b="0" i="0" u="none" strike="noStrike">
              <a:solidFill>
                <a:srgbClr val="000000"/>
              </a:solidFill>
              <a:latin typeface="Arial"/>
              <a:cs typeface="Arial"/>
            </a:rPr>
            <a:pPr/>
            <a:t>60.3%</a:t>
          </a:fld>
          <a:endParaRPr lang="en-US"/>
        </a:p>
      </cdr:txBody>
    </cdr:sp>
  </cdr:relSizeAnchor>
  <cdr:relSizeAnchor xmlns:cdr="http://schemas.openxmlformats.org/drawingml/2006/chartDrawing">
    <cdr:from>
      <cdr:x>0.24564</cdr:x>
      <cdr:y>0.2451</cdr:y>
    </cdr:from>
    <cdr:to>
      <cdr:x>0.75817</cdr:x>
      <cdr:y>0.75572</cdr:y>
    </cdr:to>
    <cdr:sp macro="" textlink="Calculations!$M$109">
      <cdr:nvSpPr>
        <cdr:cNvPr id="3" name="Oval 1">
          <a:extLst xmlns:a="http://schemas.openxmlformats.org/drawingml/2006/main">
            <a:ext uri="{FF2B5EF4-FFF2-40B4-BE49-F238E27FC236}">
              <a16:creationId xmlns:a16="http://schemas.microsoft.com/office/drawing/2014/main" id="{1C2DEA58-877C-FA3C-1888-5E513B036654}"/>
            </a:ext>
          </a:extLst>
        </cdr:cNvPr>
        <cdr:cNvSpPr/>
      </cdr:nvSpPr>
      <cdr:spPr>
        <a:xfrm xmlns:a="http://schemas.openxmlformats.org/drawingml/2006/main">
          <a:off x="397756" y="381002"/>
          <a:ext cx="829910" cy="793750"/>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wrap="none" lIns="0" tIns="0" rIns="0" bIns="0" anchor="ctr" anchorCtr="1"/>
        <a:lstStyle xmlns:a="http://schemas.openxmlformats.org/drawingml/2006/main"/>
        <a:p xmlns:a="http://schemas.openxmlformats.org/drawingml/2006/main">
          <a:fld id="{B7A25833-73AD-4BA3-8A06-86838CD3521D}" type="TxLink">
            <a:rPr lang="en-US" sz="1100" b="0" i="0" u="none" strike="noStrike">
              <a:solidFill>
                <a:srgbClr val="000000"/>
              </a:solidFill>
              <a:latin typeface="Arial"/>
              <a:cs typeface="Arial"/>
            </a:rPr>
            <a:pPr/>
            <a:t>69.0%</a:t>
          </a:fld>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0.24564</cdr:x>
      <cdr:y>0.2451</cdr:y>
    </cdr:from>
    <cdr:to>
      <cdr:x>0.75817</cdr:x>
      <cdr:y>0.75572</cdr:y>
    </cdr:to>
    <cdr:sp macro="" textlink="Calculations!$M$111">
      <cdr:nvSpPr>
        <cdr:cNvPr id="2" name="Oval 1">
          <a:extLst xmlns:a="http://schemas.openxmlformats.org/drawingml/2006/main">
            <a:ext uri="{FF2B5EF4-FFF2-40B4-BE49-F238E27FC236}">
              <a16:creationId xmlns:a16="http://schemas.microsoft.com/office/drawing/2014/main" id="{1C2DEA58-877C-FA3C-1888-5E513B036654}"/>
            </a:ext>
          </a:extLst>
        </cdr:cNvPr>
        <cdr:cNvSpPr/>
      </cdr:nvSpPr>
      <cdr:spPr>
        <a:xfrm xmlns:a="http://schemas.openxmlformats.org/drawingml/2006/main">
          <a:off x="397756" y="381002"/>
          <a:ext cx="829910" cy="793750"/>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wrap="none" lIns="0" tIns="0" rIns="0" bIns="0" anchor="ctr" anchorCtr="1"/>
        <a:lstStyle xmlns:a="http://schemas.openxmlformats.org/drawingml/2006/main"/>
        <a:p xmlns:a="http://schemas.openxmlformats.org/drawingml/2006/main">
          <a:fld id="{5BCB2032-F5DD-4D43-B829-272B51C02B51}" type="TxLink">
            <a:rPr lang="en-US" sz="1100" b="0" i="0" u="none" strike="noStrike">
              <a:solidFill>
                <a:srgbClr val="000000"/>
              </a:solidFill>
              <a:latin typeface="Arial"/>
              <a:cs typeface="Arial"/>
            </a:rPr>
            <a:pPr/>
            <a:t>86.2%</a:t>
          </a:fld>
          <a:endParaRPr lang="en-US"/>
        </a:p>
      </cdr:txBody>
    </cdr:sp>
  </cdr:relSizeAnchor>
  <cdr:relSizeAnchor xmlns:cdr="http://schemas.openxmlformats.org/drawingml/2006/chartDrawing">
    <cdr:from>
      <cdr:x>0.24564</cdr:x>
      <cdr:y>0.2451</cdr:y>
    </cdr:from>
    <cdr:to>
      <cdr:x>0.75817</cdr:x>
      <cdr:y>0.75572</cdr:y>
    </cdr:to>
    <cdr:sp macro="" textlink="Calculations!$M$109">
      <cdr:nvSpPr>
        <cdr:cNvPr id="3" name="Oval 1">
          <a:extLst xmlns:a="http://schemas.openxmlformats.org/drawingml/2006/main">
            <a:ext uri="{FF2B5EF4-FFF2-40B4-BE49-F238E27FC236}">
              <a16:creationId xmlns:a16="http://schemas.microsoft.com/office/drawing/2014/main" id="{1C2DEA58-877C-FA3C-1888-5E513B036654}"/>
            </a:ext>
          </a:extLst>
        </cdr:cNvPr>
        <cdr:cNvSpPr/>
      </cdr:nvSpPr>
      <cdr:spPr>
        <a:xfrm xmlns:a="http://schemas.openxmlformats.org/drawingml/2006/main">
          <a:off x="397756" y="381002"/>
          <a:ext cx="829910" cy="793750"/>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wrap="none" lIns="0" tIns="0" rIns="0" bIns="0" anchor="ctr" anchorCtr="1"/>
        <a:lstStyle xmlns:a="http://schemas.openxmlformats.org/drawingml/2006/main"/>
        <a:p xmlns:a="http://schemas.openxmlformats.org/drawingml/2006/main">
          <a:fld id="{B7A25833-73AD-4BA3-8A06-86838CD3521D}" type="TxLink">
            <a:rPr lang="en-US" sz="1100" b="0" i="0" u="none" strike="noStrike">
              <a:solidFill>
                <a:srgbClr val="000000"/>
              </a:solidFill>
              <a:latin typeface="Arial"/>
              <a:cs typeface="Arial"/>
            </a:rPr>
            <a:pPr/>
            <a:t>69.0%</a:t>
          </a:fld>
          <a:endParaRPr lang="en-US"/>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3.486385532407" backgroundQuery="1" createdVersion="8" refreshedVersion="8" minRefreshableVersion="3" recordCount="0" supportSubquery="1" supportAdvancedDrill="1" xr:uid="{17955134-E5D1-4F7A-972C-AD3E359E1EF9}">
  <cacheSource type="external" connectionId="1"/>
  <cacheFields count="6">
    <cacheField name="[Measures].[Sum of Amount]" caption="Sum of Amount" numFmtId="0" hierarchy="19" level="32767"/>
    <cacheField name="[Measures].[Sum of Boxes]" caption="Sum of Boxes" numFmtId="0" hierarchy="20" level="32767"/>
    <cacheField name="[Measures].[Shipment Count]" caption="Shipment Count"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3.650860185182" backgroundQuery="1" createdVersion="8" refreshedVersion="8" minRefreshableVersion="3" recordCount="0" supportSubquery="1" supportAdvancedDrill="1" xr:uid="{EE914AC6-C2BE-4866-9A84-F5762F733BE0}">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4.676569444448" backgroundQuery="1" createdVersion="8" refreshedVersion="8" minRefreshableVersion="3" recordCount="0" supportSubquery="1" supportAdvancedDrill="1" xr:uid="{C113D75F-0157-40B5-8763-461814E858B3}">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6.282645254629" backgroundQuery="1" createdVersion="8" refreshedVersion="8" minRefreshableVersion="3" recordCount="0" supportSubquery="1" supportAdvancedDrill="1" xr:uid="{E027DE64-D9A6-4351-B386-72B27A86EB8B}">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7.830281134258" backgroundQuery="1" createdVersion="8" refreshedVersion="8" minRefreshableVersion="3" recordCount="0" supportSubquery="1" supportAdvancedDrill="1" xr:uid="{35D5DAE7-5C1D-46AD-975D-C2AAD759B75D}">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19" level="32767"/>
    <cacheField name="[Measures].[Profit %]" caption="Profit %" numFmtId="0" hierarchy="25"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7.977834490739" backgroundQuery="1" createdVersion="8" refreshedVersion="8" minRefreshableVersion="3" recordCount="0" supportSubquery="1" supportAdvancedDrill="1" xr:uid="{077EF6F7-EC7A-4D0D-AEB8-66774CD158AC}">
  <cacheSource type="external" connectionId="1"/>
  <cacheFields count="6">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Profit]" caption="Total Profit" numFmtId="0" hierarchy="24" level="32767"/>
    <cacheField name="[Measures].[Profit %]" caption="Profit %" numFmtId="0" hierarchy="25" level="32767"/>
    <cacheField name="[products].[Category].[Category]" caption="Category" numFmtId="0" hierarchy="5" level="1">
      <sharedItems count="3">
        <s v="Bars"/>
        <s v="Bites"/>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5"/>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2"/>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71.423150462964" backgroundQuery="1" createdVersion="8" refreshedVersion="8" minRefreshableVersion="3" recordCount="0" supportSubquery="1" supportAdvancedDrill="1" xr:uid="{20D7B313-3F8D-4330-B600-09E07944C720}">
  <cacheSource type="external" connectionId="1"/>
  <cacheFields count="9">
    <cacheField name="[Measures].[Sum of Amount]" caption="Sum of Amount" numFmtId="0" hierarchy="19" level="32767"/>
    <cacheField name="[Measures].[Sum of Boxes]" caption="Sum of Boxes" numFmtId="0" hierarchy="20" level="32767"/>
    <cacheField name="[Measures].[Shipment Count]" caption="Shipment Count"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71.423155902776" backgroundQuery="1" createdVersion="8" refreshedVersion="8" minRefreshableVersion="3" recordCount="0" supportSubquery="1" supportAdvancedDrill="1" xr:uid="{50C60C3C-2274-4467-8B8E-C4EDB80F6DC7}">
  <cacheSource type="external" connectionId="1"/>
  <cacheFields count="9">
    <cacheField name="[Measures].[Sum of Amount]" caption="Sum of Amount" numFmtId="0" hierarchy="19" level="32767"/>
    <cacheField name="[Measures].[Sum of Boxes]" caption="Sum of Boxes" numFmtId="0" hierarchy="20" level="32767"/>
    <cacheField name="[Measures].[Shipment Count]" caption="Shipment Count"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71.423161689818" backgroundQuery="1" createdVersion="8" refreshedVersion="8" minRefreshableVersion="3" recordCount="0" supportSubquery="1" supportAdvancedDrill="1" xr:uid="{0EDB6056-880F-439A-A8A3-C5A2BD44AB84}">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71.423171064816" backgroundQuery="1" createdVersion="8" refreshedVersion="8" minRefreshableVersion="3" recordCount="0" supportSubquery="1" supportAdvancedDrill="1" xr:uid="{C483A8AA-D599-44EB-829C-C0F422092898}">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63.480413425925" backgroundQuery="1" createdVersion="3" refreshedVersion="8" minRefreshableVersion="3" recordCount="0" supportSubquery="1" supportAdvancedDrill="1" xr:uid="{D6B46816-FB4F-4564-880B-48D6E6B28362}">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hipment Count]" caption="Shipment Cou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6881834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BEFFEF-5F2A-4E82-9DFE-5680CDDB7235}" name="PivotTable2"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20:N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7">
      <pivotArea collapsedLevelsAreSubtotals="1" fieldPosition="0">
        <references count="1">
          <reference field="4294967294" count="1">
            <x v="0"/>
          </reference>
        </references>
      </pivotArea>
    </format>
    <format dxfId="6">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5A211A-D600-4471-A639-FD01FC76A70F}" name="PivotTable10"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25:H147"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2">
    <field x="5"/>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1" baseField="0" baseItem="0"/>
    <dataField name="Sum of Boxes"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0CCE47-F0A4-4ED9-A680-CE4EF1F4E7FE}" name="PivotTable9"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08:G111"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dataField fld="3" subtotal="count" baseField="0" baseItem="0"/>
    <dataField name="Sum of Amount" fld="1"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26D47C-AE62-4922-BEEA-014FA6C1065A}" name="PivotTable7"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67:E71"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EA3198-4D55-4498-AFE6-2E5EE13B560E}" name="PivotTable4"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5:C6"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CCB2EE-9C98-4243-9E02-F52936B0164B}"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D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9">
      <pivotArea collapsedLevelsAreSubtotals="1" fieldPosition="0">
        <references count="1">
          <reference field="4294967294" count="1">
            <x v="0"/>
          </reference>
        </references>
      </pivotArea>
    </format>
    <format dxfId="8">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70DD4A-2AE1-4847-8E9C-85E4C72B8548}" name="country.pivot.selected" cacheId="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G51:I57"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631655-BC78-4966-8EB7-F73A4EF2B592}" name="PivotTable8"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8:G103"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0302EDF-2ACD-47C2-BA78-13C1692AF261}" name="PivotTable3" cacheId="7"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40:D46"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11">
      <pivotArea collapsedLevelsAreSubtotals="1" fieldPosition="0">
        <references count="1">
          <reference field="4294967294" count="1">
            <x v="0"/>
          </reference>
        </references>
      </pivotArea>
    </format>
    <format dxfId="10">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2A4DF1-C1A1-4FEB-9705-43CCBFC00BDA}"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1:E57"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E2A976F-3214-49CF-8950-60B16AACC01D}" sourceName="[products].[Category]">
  <pivotTables>
    <pivotTable tabId="7" name="PivotTable2"/>
    <pivotTable tabId="7" name="PivotTable3"/>
    <pivotTable tabId="7" name="PivotTable4"/>
    <pivotTable tabId="7" name="country.pivot.selected"/>
  </pivotTables>
  <data>
    <olap pivotCacheId="1368818345">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3013904E-E2FD-48FC-B5C8-34BE3B650929}" cache="Slicer_Category" caption="Category" showCaption="0" level="1" style="slicer for d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6"/>
    <tableColumn id="4" xr3:uid="{A6AE6433-EA0A-4DDE-B99A-A1B0F025E063}" name="Amount" dataDxfId="15"/>
    <tableColumn id="5" xr3:uid="{8178A1DC-411A-40E4-AF22-16EACFD0372C}" name="Customers" dataDxfId="14"/>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3"/>
    <tableColumn id="4" xr3:uid="{0F20B05C-E6E4-4ABE-9B1E-65DDDF6DE17B}" name="Cost per Box" dataDxfId="12"/>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hyperlink" Target="http://www.linkedin.com/in/talhanaimrao" TargetMode="External"/><Relationship Id="rId5" Type="http://schemas.microsoft.com/office/2007/relationships/slicer" Target="../slicers/slicer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E6" sqref="E6"/>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dataConsolidate/>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zoomScaleNormal="100" workbookViewId="0">
      <selection activeCell="H4" sqref="H4"/>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126.75" customHeight="1" x14ac:dyDescent="0.2">
      <c r="C44" s="10" t="s">
        <v>26</v>
      </c>
    </row>
    <row r="45" spans="2:3" ht="110.25" customHeight="1" x14ac:dyDescent="0.2">
      <c r="C45" s="10" t="s">
        <v>12</v>
      </c>
    </row>
    <row r="46" spans="2:3" ht="127.5" customHeight="1" x14ac:dyDescent="0.2">
      <c r="C46" s="10" t="s">
        <v>21</v>
      </c>
    </row>
    <row r="47" spans="2:3" ht="115.5" customHeight="1" x14ac:dyDescent="0.2">
      <c r="C47" s="10" t="s">
        <v>9</v>
      </c>
    </row>
    <row r="48" spans="2:3" ht="126.75"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2CCE-3998-494A-90D1-3E2A1A5DD757}">
  <dimension ref="C1:BH147"/>
  <sheetViews>
    <sheetView topLeftCell="X46" zoomScaleNormal="100" workbookViewId="0">
      <selection activeCell="V64" sqref="V64"/>
    </sheetView>
  </sheetViews>
  <sheetFormatPr defaultRowHeight="14.25" x14ac:dyDescent="0.2"/>
  <cols>
    <col min="1" max="1" width="2.625" customWidth="1"/>
    <col min="2" max="2" width="2.75" customWidth="1"/>
    <col min="3" max="4" width="10.875" bestFit="1" customWidth="1"/>
    <col min="5" max="5" width="14.25" bestFit="1" customWidth="1"/>
    <col min="6" max="6" width="13.25" bestFit="1" customWidth="1"/>
    <col min="7" max="7" width="13.125" bestFit="1" customWidth="1"/>
    <col min="8" max="8" width="14.25" bestFit="1" customWidth="1"/>
    <col min="9" max="9" width="7.875" bestFit="1" customWidth="1"/>
    <col min="10" max="10" width="13.25" bestFit="1" customWidth="1"/>
    <col min="11" max="11" width="15.25" bestFit="1" customWidth="1"/>
    <col min="12" max="12" width="10" bestFit="1" customWidth="1"/>
    <col min="13" max="13" width="10.75" bestFit="1" customWidth="1"/>
    <col min="14" max="14" width="7.875" bestFit="1" customWidth="1"/>
    <col min="15" max="15" width="10" customWidth="1"/>
    <col min="16" max="16" width="19.375" bestFit="1" customWidth="1"/>
    <col min="17" max="17" width="18.375" bestFit="1" customWidth="1"/>
    <col min="18" max="18" width="15.875" customWidth="1"/>
    <col min="19" max="19" width="13" bestFit="1" customWidth="1"/>
    <col min="20" max="20" width="12.25" customWidth="1"/>
    <col min="21" max="21" width="11.875" customWidth="1"/>
    <col min="22" max="22" width="11.375" bestFit="1" customWidth="1"/>
    <col min="23" max="23" width="22.625" customWidth="1"/>
    <col min="24" max="24" width="12" customWidth="1"/>
    <col min="25" max="25" width="11.625" bestFit="1" customWidth="1"/>
    <col min="26" max="26" width="14.375" customWidth="1"/>
    <col min="27" max="27" width="11.875" customWidth="1"/>
    <col min="28" max="28" width="12.125" bestFit="1" customWidth="1"/>
    <col min="29" max="30" width="9.125" bestFit="1" customWidth="1"/>
    <col min="31" max="31" width="11.125" customWidth="1"/>
    <col min="32" max="32" width="16.875" customWidth="1"/>
    <col min="33" max="33" width="13.75" customWidth="1"/>
    <col min="34" max="34" width="14" customWidth="1"/>
    <col min="35" max="35" width="13.5" customWidth="1"/>
    <col min="36" max="36" width="9" customWidth="1"/>
    <col min="37" max="41" width="9" bestFit="1" customWidth="1"/>
    <col min="42" max="42" width="11.25" customWidth="1"/>
    <col min="43" max="60" width="9" bestFit="1" customWidth="1"/>
    <col min="61" max="66" width="8.125" bestFit="1" customWidth="1"/>
    <col min="67" max="69" width="8.375" bestFit="1" customWidth="1"/>
    <col min="70" max="76" width="8.125" bestFit="1" customWidth="1"/>
    <col min="77" max="77" width="8.375" bestFit="1" customWidth="1"/>
    <col min="78" max="83" width="8.125" bestFit="1" customWidth="1"/>
    <col min="84" max="84" width="8.375" bestFit="1" customWidth="1"/>
    <col min="85" max="85" width="8.125" bestFit="1" customWidth="1"/>
    <col min="86" max="88" width="8.375" bestFit="1" customWidth="1"/>
    <col min="89" max="90" width="8.125" bestFit="1" customWidth="1"/>
    <col min="91" max="91" width="8.375" bestFit="1" customWidth="1"/>
    <col min="92" max="94" width="8.125" bestFit="1" customWidth="1"/>
    <col min="95" max="95" width="8.375" bestFit="1" customWidth="1"/>
    <col min="96" max="104" width="8.125" bestFit="1" customWidth="1"/>
    <col min="105" max="105" width="8.375" bestFit="1" customWidth="1"/>
    <col min="106" max="106" width="8.125" bestFit="1" customWidth="1"/>
    <col min="107" max="107" width="8.375" bestFit="1" customWidth="1"/>
    <col min="108" max="109" width="8.125" bestFit="1" customWidth="1"/>
    <col min="110" max="111" width="8.375" bestFit="1" customWidth="1"/>
    <col min="112" max="114" width="8.125" bestFit="1" customWidth="1"/>
    <col min="115" max="115" width="8.375" bestFit="1" customWidth="1"/>
    <col min="116" max="128" width="8.125" bestFit="1" customWidth="1"/>
    <col min="129" max="129" width="8.375" bestFit="1" customWidth="1"/>
    <col min="130" max="132" width="8.125" bestFit="1" customWidth="1"/>
    <col min="133" max="134" width="8.375" bestFit="1" customWidth="1"/>
    <col min="135" max="141" width="8.125" bestFit="1" customWidth="1"/>
    <col min="142" max="143" width="8.375" bestFit="1" customWidth="1"/>
    <col min="144" max="148" width="8.125" bestFit="1" customWidth="1"/>
    <col min="149" max="149" width="8.375" bestFit="1" customWidth="1"/>
    <col min="150" max="157" width="8.125" bestFit="1" customWidth="1"/>
    <col min="158" max="158" width="8.375" bestFit="1" customWidth="1"/>
    <col min="159" max="159" width="8.125" bestFit="1" customWidth="1"/>
    <col min="160" max="160" width="8.375" bestFit="1" customWidth="1"/>
    <col min="161" max="164" width="8.125" bestFit="1" customWidth="1"/>
    <col min="165" max="167" width="8.375" bestFit="1" customWidth="1"/>
    <col min="168" max="180" width="8.125" bestFit="1" customWidth="1"/>
    <col min="181" max="181" width="8.375" bestFit="1" customWidth="1"/>
    <col min="182" max="188" width="8.125" bestFit="1" customWidth="1"/>
    <col min="189" max="190" width="8.375" bestFit="1" customWidth="1"/>
    <col min="191" max="201" width="8.125" bestFit="1" customWidth="1"/>
    <col min="202" max="202" width="8.375" bestFit="1" customWidth="1"/>
    <col min="203" max="203" width="8.125" bestFit="1" customWidth="1"/>
    <col min="204" max="204" width="8.375" bestFit="1" customWidth="1"/>
    <col min="205" max="208" width="8.125" bestFit="1" customWidth="1"/>
    <col min="209" max="209" width="8.375" bestFit="1" customWidth="1"/>
    <col min="210" max="215" width="8.125" bestFit="1" customWidth="1"/>
    <col min="216" max="216" width="8.375" bestFit="1" customWidth="1"/>
    <col min="217" max="219" width="8.125" bestFit="1" customWidth="1"/>
    <col min="220" max="220" width="8.375" bestFit="1" customWidth="1"/>
    <col min="221" max="224" width="8.125" bestFit="1" customWidth="1"/>
    <col min="225" max="225" width="8.375" bestFit="1" customWidth="1"/>
    <col min="226" max="228" width="8.125" bestFit="1" customWidth="1"/>
    <col min="229" max="229" width="8.375" bestFit="1" customWidth="1"/>
    <col min="230" max="232" width="8.125" bestFit="1" customWidth="1"/>
    <col min="233" max="234" width="8.375" bestFit="1" customWidth="1"/>
    <col min="235" max="250" width="8.125" bestFit="1" customWidth="1"/>
    <col min="251" max="251" width="8.375" bestFit="1" customWidth="1"/>
    <col min="252" max="255" width="8.125" bestFit="1" customWidth="1"/>
    <col min="256" max="257" width="8.375" bestFit="1" customWidth="1"/>
    <col min="258" max="258" width="8.125" bestFit="1" customWidth="1"/>
    <col min="259" max="261" width="8.375" bestFit="1" customWidth="1"/>
    <col min="262" max="262" width="8.125" bestFit="1" customWidth="1"/>
    <col min="263" max="264" width="8.375" bestFit="1" customWidth="1"/>
    <col min="265" max="265" width="8.125" bestFit="1" customWidth="1"/>
    <col min="266" max="266" width="8.375" bestFit="1" customWidth="1"/>
    <col min="267" max="269" width="8.125" bestFit="1" customWidth="1"/>
    <col min="270" max="276" width="8.375" bestFit="1" customWidth="1"/>
    <col min="277" max="277" width="8.125" bestFit="1" customWidth="1"/>
    <col min="278" max="279" width="8.375" bestFit="1" customWidth="1"/>
    <col min="280" max="280" width="8.125" bestFit="1" customWidth="1"/>
    <col min="281" max="282" width="8.375" bestFit="1" customWidth="1"/>
    <col min="283" max="283" width="8.125" bestFit="1" customWidth="1"/>
    <col min="284" max="289" width="8.375" bestFit="1" customWidth="1"/>
    <col min="290" max="290" width="8.125" bestFit="1" customWidth="1"/>
    <col min="291" max="291" width="11.375" bestFit="1" customWidth="1"/>
  </cols>
  <sheetData>
    <row r="1" spans="3:17" s="13" customFormat="1" ht="44.25" customHeight="1" x14ac:dyDescent="0.9">
      <c r="C1" s="20" t="s">
        <v>102</v>
      </c>
    </row>
    <row r="3" spans="3:17" x14ac:dyDescent="0.2">
      <c r="P3" s="48" t="s">
        <v>197</v>
      </c>
      <c r="Q3" s="48" t="s">
        <v>198</v>
      </c>
    </row>
    <row r="5" spans="3:17" x14ac:dyDescent="0.2">
      <c r="C5" s="21" t="s">
        <v>61</v>
      </c>
      <c r="F5" t="s">
        <v>144</v>
      </c>
      <c r="J5" t="s">
        <v>177</v>
      </c>
      <c r="K5" s="33" t="str">
        <f>Dashboard!V42</f>
        <v>On</v>
      </c>
    </row>
    <row r="6" spans="3:17" x14ac:dyDescent="0.2">
      <c r="C6" t="s">
        <v>64</v>
      </c>
      <c r="F6">
        <f>COUNTA(C6:C8)</f>
        <v>1</v>
      </c>
      <c r="G6" t="str">
        <f>CHOOSE(F6,C6,"multiple","all")</f>
        <v>Bars</v>
      </c>
    </row>
    <row r="8" spans="3:17" x14ac:dyDescent="0.2">
      <c r="J8" t="s">
        <v>180</v>
      </c>
      <c r="K8" s="44">
        <f>MAX(sales[Date])</f>
        <v>44592</v>
      </c>
    </row>
    <row r="9" spans="3:17" x14ac:dyDescent="0.2">
      <c r="J9" t="s">
        <v>181</v>
      </c>
      <c r="K9" s="44">
        <f>K8-28</f>
        <v>44564</v>
      </c>
    </row>
    <row r="19" spans="3:27" ht="15" x14ac:dyDescent="0.25">
      <c r="P19" s="11" t="s">
        <v>127</v>
      </c>
      <c r="Y19" s="11" t="s">
        <v>137</v>
      </c>
    </row>
    <row r="20" spans="3:27" x14ac:dyDescent="0.2">
      <c r="C20" s="21" t="s">
        <v>105</v>
      </c>
      <c r="G20" s="21" t="s">
        <v>125</v>
      </c>
      <c r="H20" s="21" t="s">
        <v>126</v>
      </c>
      <c r="I20" t="s">
        <v>103</v>
      </c>
      <c r="J20" t="s">
        <v>104</v>
      </c>
      <c r="K20" t="s">
        <v>106</v>
      </c>
      <c r="L20" t="s">
        <v>107</v>
      </c>
      <c r="M20" t="s">
        <v>108</v>
      </c>
      <c r="N20" t="s">
        <v>109</v>
      </c>
      <c r="P20" t="s">
        <v>128</v>
      </c>
      <c r="Q20" t="s">
        <v>129</v>
      </c>
      <c r="S20" t="s">
        <v>130</v>
      </c>
      <c r="T20" t="s">
        <v>134</v>
      </c>
      <c r="V20" t="s">
        <v>135</v>
      </c>
      <c r="W20" t="s">
        <v>136</v>
      </c>
      <c r="Y20" t="s">
        <v>138</v>
      </c>
      <c r="Z20" t="s">
        <v>135</v>
      </c>
      <c r="AA20" t="s">
        <v>136</v>
      </c>
    </row>
    <row r="21" spans="3:27" x14ac:dyDescent="0.2">
      <c r="C21" s="22" t="s">
        <v>103</v>
      </c>
      <c r="D21" s="24">
        <v>21701722</v>
      </c>
      <c r="G21" t="s">
        <v>111</v>
      </c>
      <c r="H21" t="s">
        <v>112</v>
      </c>
      <c r="I21" s="24">
        <v>1554315</v>
      </c>
      <c r="J21" s="25">
        <v>117812</v>
      </c>
      <c r="K21" s="6">
        <v>247</v>
      </c>
      <c r="L21" s="23">
        <v>425330.24850000022</v>
      </c>
      <c r="M21" s="23">
        <v>1128984.7514999998</v>
      </c>
      <c r="N21" s="26">
        <v>0.72635517993456911</v>
      </c>
      <c r="P21" t="s">
        <v>131</v>
      </c>
      <c r="Q21" s="25">
        <f>I21</f>
        <v>1554315</v>
      </c>
      <c r="R21" s="25"/>
      <c r="S21" s="24">
        <f>I22</f>
        <v>948395</v>
      </c>
      <c r="T21" s="27">
        <f>Q21/S21-1</f>
        <v>0.63888991401262141</v>
      </c>
      <c r="V21" s="24">
        <f>D21</f>
        <v>21701722</v>
      </c>
      <c r="W21" s="24">
        <f>D41</f>
        <v>10744335</v>
      </c>
      <c r="Y21" t="s">
        <v>139</v>
      </c>
      <c r="Z21" t="str">
        <f>TEXT(V21,$Y21)</f>
        <v>$21.70 m</v>
      </c>
      <c r="AA21" t="str">
        <f>IF($F$6=3,"",TEXT(W21,$Y21))</f>
        <v>$10.74 m</v>
      </c>
    </row>
    <row r="22" spans="3:27" x14ac:dyDescent="0.2">
      <c r="C22" s="22" t="s">
        <v>104</v>
      </c>
      <c r="D22" s="25">
        <v>1344574</v>
      </c>
      <c r="G22" t="s">
        <v>110</v>
      </c>
      <c r="H22" t="s">
        <v>123</v>
      </c>
      <c r="I22" s="24">
        <v>948395</v>
      </c>
      <c r="J22" s="25">
        <v>56175</v>
      </c>
      <c r="K22" s="6">
        <v>161</v>
      </c>
      <c r="L22" s="23">
        <v>282132.02000000014</v>
      </c>
      <c r="M22" s="23">
        <v>666262.97999999986</v>
      </c>
      <c r="N22" s="26">
        <v>0.70251633549312242</v>
      </c>
      <c r="P22" t="s">
        <v>7</v>
      </c>
      <c r="Q22" s="25">
        <f>J21</f>
        <v>117812</v>
      </c>
      <c r="R22" s="25"/>
      <c r="S22" s="25">
        <f>J22</f>
        <v>56175</v>
      </c>
      <c r="T22" s="27">
        <f t="shared" ref="T22:T26" si="0">Q22/S22-1</f>
        <v>1.0972318647085002</v>
      </c>
      <c r="V22" s="25">
        <f t="shared" ref="V22:V26" si="1">D22</f>
        <v>1344574</v>
      </c>
      <c r="W22" s="24">
        <f t="shared" ref="W22:W26" si="2">D42</f>
        <v>680402</v>
      </c>
      <c r="Y22" t="s">
        <v>140</v>
      </c>
      <c r="Z22" t="str">
        <f t="shared" ref="Z22:Z25" si="3">TEXT(V22,$Y22)</f>
        <v>1,344.6 k</v>
      </c>
      <c r="AA22" t="str">
        <f t="shared" ref="AA22:AA26" si="4">IF($F$6=3,"",TEXT(W22,$Y22))</f>
        <v>680.4 k</v>
      </c>
    </row>
    <row r="23" spans="3:27" x14ac:dyDescent="0.2">
      <c r="C23" s="22" t="s">
        <v>106</v>
      </c>
      <c r="D23" s="6">
        <v>3791</v>
      </c>
      <c r="G23" t="s">
        <v>110</v>
      </c>
      <c r="H23" t="s">
        <v>122</v>
      </c>
      <c r="I23" s="24">
        <v>661752</v>
      </c>
      <c r="J23" s="25">
        <v>41034</v>
      </c>
      <c r="K23" s="6">
        <v>124</v>
      </c>
      <c r="L23" s="23">
        <v>201157.0112999999</v>
      </c>
      <c r="M23" s="23">
        <v>460594.9887000001</v>
      </c>
      <c r="N23" s="26">
        <v>0.69602356879918781</v>
      </c>
      <c r="P23" t="s">
        <v>132</v>
      </c>
      <c r="Q23" s="6">
        <f>K21</f>
        <v>247</v>
      </c>
      <c r="R23" s="6"/>
      <c r="S23" s="6">
        <f>K22</f>
        <v>161</v>
      </c>
      <c r="T23" s="27">
        <f t="shared" si="0"/>
        <v>0.53416149068322971</v>
      </c>
      <c r="V23" s="6">
        <f t="shared" si="1"/>
        <v>3791</v>
      </c>
      <c r="W23" s="24">
        <f t="shared" si="2"/>
        <v>1897</v>
      </c>
      <c r="Y23" t="s">
        <v>141</v>
      </c>
      <c r="Z23" t="str">
        <f t="shared" si="3"/>
        <v>3,791</v>
      </c>
      <c r="AA23" t="str">
        <f t="shared" si="4"/>
        <v>1,897</v>
      </c>
    </row>
    <row r="24" spans="3:27" x14ac:dyDescent="0.2">
      <c r="C24" s="22" t="s">
        <v>107</v>
      </c>
      <c r="D24" s="23">
        <v>6681539.3595000003</v>
      </c>
      <c r="G24" t="s">
        <v>110</v>
      </c>
      <c r="H24" t="s">
        <v>121</v>
      </c>
      <c r="I24" s="24">
        <v>672980</v>
      </c>
      <c r="J24" s="25">
        <v>42985</v>
      </c>
      <c r="K24" s="6">
        <v>127</v>
      </c>
      <c r="L24" s="23">
        <v>231498.09670000011</v>
      </c>
      <c r="M24" s="23">
        <v>441481.90329999989</v>
      </c>
      <c r="N24" s="26">
        <v>0.65601043611994392</v>
      </c>
      <c r="P24" t="s">
        <v>107</v>
      </c>
      <c r="Q24" s="23">
        <f>L21</f>
        <v>425330.24850000022</v>
      </c>
      <c r="R24" s="23"/>
      <c r="S24" s="23">
        <f>L22</f>
        <v>282132.02000000014</v>
      </c>
      <c r="T24" s="27">
        <f t="shared" si="0"/>
        <v>0.50755752041189806</v>
      </c>
      <c r="V24" s="23">
        <f t="shared" si="1"/>
        <v>6681539.3595000003</v>
      </c>
      <c r="W24" s="24">
        <f t="shared" si="2"/>
        <v>3334275.9826000039</v>
      </c>
      <c r="Y24" t="s">
        <v>139</v>
      </c>
      <c r="Z24" t="str">
        <f t="shared" si="3"/>
        <v>$6.68 m</v>
      </c>
      <c r="AA24" t="str">
        <f t="shared" si="4"/>
        <v>$3.33 m</v>
      </c>
    </row>
    <row r="25" spans="3:27" x14ac:dyDescent="0.2">
      <c r="C25" s="22" t="s">
        <v>108</v>
      </c>
      <c r="D25" s="23">
        <v>15020182.6405</v>
      </c>
      <c r="G25" t="s">
        <v>110</v>
      </c>
      <c r="H25" t="s">
        <v>120</v>
      </c>
      <c r="I25" s="24">
        <v>619073</v>
      </c>
      <c r="J25" s="25">
        <v>36502</v>
      </c>
      <c r="K25" s="6">
        <v>117</v>
      </c>
      <c r="L25" s="23">
        <v>161729.74280000001</v>
      </c>
      <c r="M25" s="23">
        <v>457343.25719999999</v>
      </c>
      <c r="N25" s="26">
        <v>0.7387549726768895</v>
      </c>
      <c r="P25" t="s">
        <v>108</v>
      </c>
      <c r="Q25" s="23">
        <f>M21</f>
        <v>1128984.7514999998</v>
      </c>
      <c r="R25" s="23"/>
      <c r="S25" s="23">
        <f>M22</f>
        <v>666262.97999999986</v>
      </c>
      <c r="T25" s="27">
        <f t="shared" si="0"/>
        <v>0.69450319977255837</v>
      </c>
      <c r="V25" s="23">
        <f t="shared" si="1"/>
        <v>15020182.6405</v>
      </c>
      <c r="W25" s="24">
        <f t="shared" si="2"/>
        <v>7410059.0173999965</v>
      </c>
      <c r="Y25" t="s">
        <v>139</v>
      </c>
      <c r="Z25" t="str">
        <f t="shared" si="3"/>
        <v>$15.02 m</v>
      </c>
      <c r="AA25" t="str">
        <f t="shared" si="4"/>
        <v>$7.41 m</v>
      </c>
    </row>
    <row r="26" spans="3:27" x14ac:dyDescent="0.2">
      <c r="C26" s="22" t="s">
        <v>109</v>
      </c>
      <c r="D26" s="26">
        <v>0.69211939220767826</v>
      </c>
      <c r="G26" t="s">
        <v>110</v>
      </c>
      <c r="H26" t="s">
        <v>119</v>
      </c>
      <c r="I26" s="24">
        <v>872431</v>
      </c>
      <c r="J26" s="25">
        <v>57787</v>
      </c>
      <c r="K26" s="6">
        <v>154</v>
      </c>
      <c r="L26" s="23">
        <v>337922.24649999995</v>
      </c>
      <c r="M26" s="23">
        <v>534508.75350000011</v>
      </c>
      <c r="N26" s="26">
        <v>0.61266593403948288</v>
      </c>
      <c r="P26" t="s">
        <v>133</v>
      </c>
      <c r="Q26" s="26">
        <f>N21</f>
        <v>0.72635517993456911</v>
      </c>
      <c r="R26" s="26"/>
      <c r="S26" s="26">
        <f>N22</f>
        <v>0.70251633549312242</v>
      </c>
      <c r="T26" s="27">
        <f t="shared" si="0"/>
        <v>3.3933509068815093E-2</v>
      </c>
      <c r="V26" s="26">
        <f t="shared" si="1"/>
        <v>0.69211939220767826</v>
      </c>
      <c r="W26" s="26">
        <f t="shared" si="2"/>
        <v>0.68967125628528858</v>
      </c>
      <c r="Y26" s="29" t="s">
        <v>142</v>
      </c>
      <c r="Z26" t="str">
        <f>TEXT(V26,$Y26)</f>
        <v>69.2%</v>
      </c>
      <c r="AA26" t="str">
        <f t="shared" si="4"/>
        <v>69.0%</v>
      </c>
    </row>
    <row r="27" spans="3:27" x14ac:dyDescent="0.2">
      <c r="G27" t="s">
        <v>110</v>
      </c>
      <c r="H27" t="s">
        <v>118</v>
      </c>
      <c r="I27" s="24">
        <v>529844</v>
      </c>
      <c r="J27" s="25">
        <v>30728</v>
      </c>
      <c r="K27" s="6">
        <v>104</v>
      </c>
      <c r="L27" s="23">
        <v>170404.47460000002</v>
      </c>
      <c r="M27" s="23">
        <v>359439.52539999998</v>
      </c>
      <c r="N27" s="26">
        <v>0.67838746008259032</v>
      </c>
    </row>
    <row r="28" spans="3:27" x14ac:dyDescent="0.2">
      <c r="G28" t="s">
        <v>110</v>
      </c>
      <c r="H28" t="s">
        <v>117</v>
      </c>
      <c r="I28" s="24">
        <v>734041</v>
      </c>
      <c r="J28" s="25">
        <v>42519</v>
      </c>
      <c r="K28" s="6">
        <v>121</v>
      </c>
      <c r="L28" s="23">
        <v>208438.13070000007</v>
      </c>
      <c r="M28" s="23">
        <v>525602.8692999999</v>
      </c>
      <c r="N28" s="26">
        <v>0.71604020660971246</v>
      </c>
    </row>
    <row r="29" spans="3:27" x14ac:dyDescent="0.2">
      <c r="G29" t="s">
        <v>110</v>
      </c>
      <c r="H29" t="s">
        <v>116</v>
      </c>
      <c r="I29" s="24">
        <v>821317</v>
      </c>
      <c r="J29" s="25">
        <v>51344</v>
      </c>
      <c r="K29" s="6">
        <v>146</v>
      </c>
      <c r="L29" s="23">
        <v>283500.11949999997</v>
      </c>
      <c r="M29" s="23">
        <v>537816.88049999997</v>
      </c>
      <c r="N29" s="26">
        <v>0.65482253563484005</v>
      </c>
    </row>
    <row r="30" spans="3:27" x14ac:dyDescent="0.2">
      <c r="G30" t="s">
        <v>110</v>
      </c>
      <c r="H30" t="s">
        <v>115</v>
      </c>
      <c r="I30" s="24">
        <v>820274</v>
      </c>
      <c r="J30" s="25">
        <v>50290</v>
      </c>
      <c r="K30" s="6">
        <v>142</v>
      </c>
      <c r="L30" s="23">
        <v>292019.29239999992</v>
      </c>
      <c r="M30" s="23">
        <v>528254.70760000008</v>
      </c>
      <c r="N30" s="26">
        <v>0.64399786851710539</v>
      </c>
    </row>
    <row r="31" spans="3:27" ht="15" x14ac:dyDescent="0.2">
      <c r="G31" t="s">
        <v>110</v>
      </c>
      <c r="H31" t="s">
        <v>114</v>
      </c>
      <c r="I31" s="24">
        <v>934941</v>
      </c>
      <c r="J31" s="25">
        <v>57877</v>
      </c>
      <c r="K31" s="6">
        <v>152</v>
      </c>
      <c r="L31" s="23">
        <v>296429.71189999999</v>
      </c>
      <c r="M31" s="23">
        <v>638511.28810000001</v>
      </c>
      <c r="N31" s="26">
        <v>0.68294286815959515</v>
      </c>
      <c r="S31" s="28"/>
    </row>
    <row r="32" spans="3:27" x14ac:dyDescent="0.2">
      <c r="G32" t="s">
        <v>110</v>
      </c>
      <c r="H32" t="s">
        <v>113</v>
      </c>
      <c r="I32" s="24">
        <v>737961</v>
      </c>
      <c r="J32" s="25">
        <v>44202</v>
      </c>
      <c r="K32" s="6">
        <v>139</v>
      </c>
      <c r="L32" s="23">
        <v>204338.54309999992</v>
      </c>
      <c r="M32" s="23">
        <v>533622.45690000011</v>
      </c>
      <c r="N32" s="26">
        <v>0.7231038725623713</v>
      </c>
      <c r="V32" t="s">
        <v>143</v>
      </c>
    </row>
    <row r="33" spans="3:14" x14ac:dyDescent="0.2">
      <c r="G33" t="s">
        <v>110</v>
      </c>
      <c r="H33" t="s">
        <v>112</v>
      </c>
      <c r="I33" s="24">
        <v>837011</v>
      </c>
      <c r="J33" s="25">
        <v>51147</v>
      </c>
      <c r="K33" s="6">
        <v>163</v>
      </c>
      <c r="L33" s="23">
        <v>239376.34459999995</v>
      </c>
      <c r="M33" s="23">
        <v>597634.65540000005</v>
      </c>
      <c r="N33" s="26">
        <v>0.71401051527399284</v>
      </c>
    </row>
    <row r="40" spans="3:14" x14ac:dyDescent="0.2">
      <c r="C40" s="21" t="s">
        <v>105</v>
      </c>
    </row>
    <row r="41" spans="3:14" x14ac:dyDescent="0.2">
      <c r="C41" t="s">
        <v>103</v>
      </c>
      <c r="D41" s="24">
        <v>10744335</v>
      </c>
    </row>
    <row r="42" spans="3:14" x14ac:dyDescent="0.2">
      <c r="C42" t="s">
        <v>104</v>
      </c>
      <c r="D42" s="25">
        <v>680402</v>
      </c>
    </row>
    <row r="43" spans="3:14" x14ac:dyDescent="0.2">
      <c r="C43" t="s">
        <v>106</v>
      </c>
      <c r="D43" s="6">
        <v>1897</v>
      </c>
    </row>
    <row r="44" spans="3:14" x14ac:dyDescent="0.2">
      <c r="C44" t="s">
        <v>107</v>
      </c>
      <c r="D44" s="23">
        <v>3334275.9826000039</v>
      </c>
    </row>
    <row r="45" spans="3:14" x14ac:dyDescent="0.2">
      <c r="C45" t="s">
        <v>108</v>
      </c>
      <c r="D45" s="23">
        <v>7410059.0173999965</v>
      </c>
    </row>
    <row r="46" spans="3:14" x14ac:dyDescent="0.2">
      <c r="C46" t="s">
        <v>109</v>
      </c>
      <c r="D46" s="26">
        <v>0.68967125628528858</v>
      </c>
    </row>
    <row r="49" spans="3:34" ht="15" x14ac:dyDescent="0.25">
      <c r="L49" s="11" t="s">
        <v>146</v>
      </c>
      <c r="O49" t="s">
        <v>149</v>
      </c>
      <c r="R49" s="11" t="s">
        <v>136</v>
      </c>
      <c r="W49" s="11" t="s">
        <v>151</v>
      </c>
      <c r="AE49" s="11" t="s">
        <v>153</v>
      </c>
    </row>
    <row r="50" spans="3:34" ht="15" x14ac:dyDescent="0.25">
      <c r="C50" s="11" t="s">
        <v>145</v>
      </c>
      <c r="O50" t="s">
        <v>89</v>
      </c>
      <c r="P50" t="s">
        <v>147</v>
      </c>
      <c r="Q50" t="s">
        <v>150</v>
      </c>
      <c r="R50" t="s">
        <v>147</v>
      </c>
      <c r="S50" t="s">
        <v>150</v>
      </c>
      <c r="W50" t="s">
        <v>89</v>
      </c>
      <c r="X50" t="s">
        <v>147</v>
      </c>
      <c r="Y50" t="s">
        <v>150</v>
      </c>
      <c r="Z50" t="s">
        <v>211</v>
      </c>
      <c r="AA50" t="s">
        <v>212</v>
      </c>
      <c r="AC50" t="s">
        <v>152</v>
      </c>
      <c r="AE50" t="s">
        <v>89</v>
      </c>
      <c r="AF50" t="s">
        <v>154</v>
      </c>
      <c r="AG50" t="s">
        <v>155</v>
      </c>
    </row>
    <row r="51" spans="3:34" x14ac:dyDescent="0.2">
      <c r="C51" s="21" t="s">
        <v>124</v>
      </c>
      <c r="D51" t="s">
        <v>103</v>
      </c>
      <c r="E51" t="s">
        <v>109</v>
      </c>
      <c r="G51" s="21" t="s">
        <v>124</v>
      </c>
      <c r="H51" t="s">
        <v>103</v>
      </c>
      <c r="I51" t="s">
        <v>109</v>
      </c>
      <c r="L51" t="s">
        <v>147</v>
      </c>
      <c r="M51" s="34" t="s">
        <v>158</v>
      </c>
      <c r="O51" t="str" cm="1">
        <f t="array" ref="O51:Q56">C52:E57</f>
        <v>Australia</v>
      </c>
      <c r="P51">
        <v>3545052</v>
      </c>
      <c r="Q51">
        <v>0.6843165872037984</v>
      </c>
      <c r="R51" cm="1">
        <f t="array" ref="R51:S56">H52:I57</f>
        <v>1753794</v>
      </c>
      <c r="S51">
        <v>0.69421174111668726</v>
      </c>
      <c r="W51" t="str" cm="1">
        <f t="array" ref="W51:AA56">_xlfn._xlws.SORT(O51:S56,L56+1,-1)</f>
        <v>New Zealand</v>
      </c>
      <c r="X51">
        <v>3776766</v>
      </c>
      <c r="Y51">
        <v>0.67625100734331955</v>
      </c>
      <c r="Z51">
        <v>1887921</v>
      </c>
      <c r="AA51">
        <v>0.68613004839715219</v>
      </c>
      <c r="AC51">
        <f t="shared" ref="AC51:AC56" si="5">_xlfn.XMATCH(W51,country.names)</f>
        <v>4</v>
      </c>
      <c r="AE51" t="str" cm="1">
        <f t="array" ref="AE51:AE56">W51:W56</f>
        <v>New Zealand</v>
      </c>
      <c r="AF51" t="str" cm="1">
        <f t="array" ref="AF51:AF56">TEXT(IF($L$56=1,X51:X56,Y51:Y56),INDEX(M$51:M$52,L56))</f>
        <v>$ 3.78 m</v>
      </c>
      <c r="AG51" t="str" cm="1">
        <f t="array" ref="AG51:AG56">TEXT(IF($L$56=1,Z51:Z56,AA51:AA56),INDEX($M$51:$M$52,L56))</f>
        <v>$ 1.89 m</v>
      </c>
      <c r="AH51" t="str">
        <f>IF($F$6=3,"",AG51)</f>
        <v>$ 1.89 m</v>
      </c>
    </row>
    <row r="52" spans="3:34" x14ac:dyDescent="0.2">
      <c r="C52" s="22" t="s">
        <v>26</v>
      </c>
      <c r="D52">
        <v>3545052</v>
      </c>
      <c r="E52" s="26">
        <v>0.6843165872037984</v>
      </c>
      <c r="G52" s="22" t="s">
        <v>26</v>
      </c>
      <c r="H52">
        <v>1753794</v>
      </c>
      <c r="I52" s="26">
        <v>0.69421174111668726</v>
      </c>
      <c r="L52" t="s">
        <v>109</v>
      </c>
      <c r="M52" s="34" t="s">
        <v>156</v>
      </c>
      <c r="O52" t="str">
        <v>Canada</v>
      </c>
      <c r="P52">
        <v>3583769</v>
      </c>
      <c r="Q52">
        <v>0.68941683682737409</v>
      </c>
      <c r="R52">
        <v>1722266</v>
      </c>
      <c r="S52">
        <v>0.68026427520487531</v>
      </c>
      <c r="W52" t="str">
        <v>India</v>
      </c>
      <c r="X52">
        <v>3760400</v>
      </c>
      <c r="Y52">
        <v>0.69917076265822797</v>
      </c>
      <c r="Z52">
        <v>1897420</v>
      </c>
      <c r="AA52">
        <v>0.68451681825847743</v>
      </c>
      <c r="AC52">
        <f t="shared" si="5"/>
        <v>3</v>
      </c>
      <c r="AE52" t="str">
        <v>India</v>
      </c>
      <c r="AF52" t="str">
        <v>$ 3.76 m</v>
      </c>
      <c r="AG52" t="str">
        <v>$ 1.90 m</v>
      </c>
      <c r="AH52" t="str">
        <f t="shared" ref="AH52:AH56" si="6">IF($F$6=3,"",AG52)</f>
        <v>$ 1.90 m</v>
      </c>
    </row>
    <row r="53" spans="3:34" x14ac:dyDescent="0.2">
      <c r="C53" s="22" t="s">
        <v>12</v>
      </c>
      <c r="D53">
        <v>3583769</v>
      </c>
      <c r="E53" s="26">
        <v>0.68941683682737409</v>
      </c>
      <c r="G53" s="22" t="s">
        <v>12</v>
      </c>
      <c r="H53">
        <v>1722266</v>
      </c>
      <c r="I53" s="26">
        <v>0.68026427520487531</v>
      </c>
      <c r="O53" t="str">
        <v>India</v>
      </c>
      <c r="P53">
        <v>3760400</v>
      </c>
      <c r="Q53">
        <v>0.69917076265822797</v>
      </c>
      <c r="R53">
        <v>1897420</v>
      </c>
      <c r="S53">
        <v>0.68451681825847743</v>
      </c>
      <c r="W53" t="str">
        <v>UK</v>
      </c>
      <c r="X53">
        <v>3590153</v>
      </c>
      <c r="Y53">
        <v>0.69853347339235949</v>
      </c>
      <c r="Z53">
        <v>1820756</v>
      </c>
      <c r="AA53">
        <v>0.69948987288796516</v>
      </c>
      <c r="AC53">
        <f t="shared" si="5"/>
        <v>5</v>
      </c>
      <c r="AE53" t="str">
        <v>UK</v>
      </c>
      <c r="AF53" t="str">
        <v>$ 3.59 m</v>
      </c>
      <c r="AG53" t="str">
        <v>$ 1.82 m</v>
      </c>
      <c r="AH53" t="str">
        <f t="shared" si="6"/>
        <v>$ 1.82 m</v>
      </c>
    </row>
    <row r="54" spans="3:34" ht="15" x14ac:dyDescent="0.25">
      <c r="C54" s="22" t="s">
        <v>21</v>
      </c>
      <c r="D54">
        <v>3760400</v>
      </c>
      <c r="E54" s="26">
        <v>0.69917076265822797</v>
      </c>
      <c r="G54" s="22" t="s">
        <v>21</v>
      </c>
      <c r="H54">
        <v>1897420</v>
      </c>
      <c r="I54" s="26">
        <v>0.68451681825847743</v>
      </c>
      <c r="L54" s="11" t="s">
        <v>148</v>
      </c>
      <c r="O54" t="str">
        <v>New Zealand</v>
      </c>
      <c r="P54">
        <v>3776766</v>
      </c>
      <c r="Q54">
        <v>0.67625100734331955</v>
      </c>
      <c r="R54">
        <v>1887921</v>
      </c>
      <c r="S54">
        <v>0.68613004839715219</v>
      </c>
      <c r="W54" t="str">
        <v>Canada</v>
      </c>
      <c r="X54">
        <v>3583769</v>
      </c>
      <c r="Y54">
        <v>0.68941683682737409</v>
      </c>
      <c r="Z54">
        <v>1722266</v>
      </c>
      <c r="AA54">
        <v>0.68026427520487531</v>
      </c>
      <c r="AC54">
        <f t="shared" si="5"/>
        <v>2</v>
      </c>
      <c r="AE54" t="str">
        <v>Canada</v>
      </c>
      <c r="AF54" t="str">
        <v>$ 3.58 m</v>
      </c>
      <c r="AG54" t="str">
        <v>$ 1.72 m</v>
      </c>
      <c r="AH54" t="str">
        <f t="shared" si="6"/>
        <v>$ 1.72 m</v>
      </c>
    </row>
    <row r="55" spans="3:34" x14ac:dyDescent="0.2">
      <c r="C55" s="22" t="s">
        <v>9</v>
      </c>
      <c r="D55">
        <v>3776766</v>
      </c>
      <c r="E55" s="26">
        <v>0.67625100734331955</v>
      </c>
      <c r="G55" s="22" t="s">
        <v>9</v>
      </c>
      <c r="H55">
        <v>1887921</v>
      </c>
      <c r="I55" s="26">
        <v>0.68613004839715219</v>
      </c>
      <c r="L55" s="39" t="str">
        <f>Dashboard!G42</f>
        <v>Sales</v>
      </c>
      <c r="O55" t="str">
        <v>UK</v>
      </c>
      <c r="P55">
        <v>3590153</v>
      </c>
      <c r="Q55">
        <v>0.69853347339235949</v>
      </c>
      <c r="R55">
        <v>1820756</v>
      </c>
      <c r="S55">
        <v>0.69948987288796516</v>
      </c>
      <c r="W55" t="str">
        <v>Australia</v>
      </c>
      <c r="X55">
        <v>3545052</v>
      </c>
      <c r="Y55">
        <v>0.6843165872037984</v>
      </c>
      <c r="Z55">
        <v>1753794</v>
      </c>
      <c r="AA55">
        <v>0.69421174111668726</v>
      </c>
      <c r="AC55">
        <f t="shared" si="5"/>
        <v>1</v>
      </c>
      <c r="AE55" t="str">
        <v>Australia</v>
      </c>
      <c r="AF55" t="str">
        <v>$ 3.55 m</v>
      </c>
      <c r="AG55" t="str">
        <v>$ 1.75 m</v>
      </c>
      <c r="AH55" t="str">
        <f t="shared" si="6"/>
        <v>$ 1.75 m</v>
      </c>
    </row>
    <row r="56" spans="3:34" x14ac:dyDescent="0.2">
      <c r="C56" s="22" t="s">
        <v>24</v>
      </c>
      <c r="D56">
        <v>3590153</v>
      </c>
      <c r="E56" s="26">
        <v>0.69853347339235949</v>
      </c>
      <c r="G56" s="22" t="s">
        <v>24</v>
      </c>
      <c r="H56">
        <v>1820756</v>
      </c>
      <c r="I56" s="26">
        <v>0.69948987288796516</v>
      </c>
      <c r="L56">
        <f>_xlfn.XMATCH(L55,sort.options.country.list)</f>
        <v>1</v>
      </c>
      <c r="O56" t="str">
        <v>USA</v>
      </c>
      <c r="P56">
        <v>3445582</v>
      </c>
      <c r="Q56">
        <v>0.70597317768086809</v>
      </c>
      <c r="R56">
        <v>1662178</v>
      </c>
      <c r="S56">
        <v>0.69377827615333609</v>
      </c>
      <c r="W56" t="str">
        <v>USA</v>
      </c>
      <c r="X56">
        <v>3445582</v>
      </c>
      <c r="Y56">
        <v>0.70597317768086809</v>
      </c>
      <c r="Z56">
        <v>1662178</v>
      </c>
      <c r="AA56">
        <v>0.69377827615333609</v>
      </c>
      <c r="AC56">
        <f t="shared" si="5"/>
        <v>6</v>
      </c>
      <c r="AE56" t="str">
        <v>USA</v>
      </c>
      <c r="AF56" t="str">
        <v>$ 3.45 m</v>
      </c>
      <c r="AG56" t="str">
        <v>$ 1.66 m</v>
      </c>
      <c r="AH56" t="str">
        <f t="shared" si="6"/>
        <v>$ 1.66 m</v>
      </c>
    </row>
    <row r="57" spans="3:34" x14ac:dyDescent="0.2">
      <c r="C57" s="22" t="s">
        <v>15</v>
      </c>
      <c r="D57">
        <v>3445582</v>
      </c>
      <c r="E57" s="26">
        <v>0.70597317768086809</v>
      </c>
      <c r="G57" s="22" t="s">
        <v>15</v>
      </c>
      <c r="H57">
        <v>1662178</v>
      </c>
      <c r="I57" s="26">
        <v>0.69377827615333609</v>
      </c>
    </row>
    <row r="59" spans="3:34" x14ac:dyDescent="0.2">
      <c r="AE59" t="s">
        <v>157</v>
      </c>
    </row>
    <row r="60" spans="3:34" x14ac:dyDescent="0.2">
      <c r="AE60" t="str">
        <f>"COUNTRY " &amp;UPPER(L55)</f>
        <v>COUNTRY SALES</v>
      </c>
    </row>
    <row r="64" spans="3:34" x14ac:dyDescent="0.2">
      <c r="O64" t="s">
        <v>168</v>
      </c>
      <c r="P64" s="1" t="str">
        <f>Dashboard!L42</f>
        <v>Delish</v>
      </c>
    </row>
    <row r="66" spans="3:48" ht="15" x14ac:dyDescent="0.25">
      <c r="C66" s="11" t="s">
        <v>159</v>
      </c>
      <c r="P66" s="34" t="s">
        <v>158</v>
      </c>
      <c r="Q66" s="34" t="s">
        <v>158</v>
      </c>
      <c r="R66" s="34"/>
    </row>
    <row r="67" spans="3:48" x14ac:dyDescent="0.2">
      <c r="C67" s="21" t="s">
        <v>124</v>
      </c>
      <c r="D67" t="s">
        <v>103</v>
      </c>
      <c r="E67" t="s">
        <v>108</v>
      </c>
      <c r="I67" t="s">
        <v>160</v>
      </c>
      <c r="J67" t="s">
        <v>161</v>
      </c>
      <c r="K67" t="s">
        <v>162</v>
      </c>
      <c r="L67" t="s">
        <v>163</v>
      </c>
      <c r="M67" t="s">
        <v>164</v>
      </c>
      <c r="N67" t="s">
        <v>166</v>
      </c>
      <c r="O67" t="s">
        <v>167</v>
      </c>
      <c r="P67" t="s">
        <v>169</v>
      </c>
      <c r="Q67" t="s">
        <v>170</v>
      </c>
      <c r="S67" t="s">
        <v>97</v>
      </c>
    </row>
    <row r="68" spans="3:48" x14ac:dyDescent="0.2">
      <c r="C68" s="22" t="s">
        <v>76</v>
      </c>
      <c r="D68">
        <v>7887334</v>
      </c>
      <c r="E68" s="23">
        <v>5474425.5558000002</v>
      </c>
      <c r="H68" t="s">
        <v>165</v>
      </c>
      <c r="I68" t="str">
        <f>C68&amp;H68</f>
        <v>Yummies⭐</v>
      </c>
      <c r="J68">
        <f>D68</f>
        <v>7887334</v>
      </c>
      <c r="K68" s="23">
        <f>E68</f>
        <v>5474425.5558000002</v>
      </c>
      <c r="L68">
        <v>1</v>
      </c>
      <c r="M68">
        <v>2</v>
      </c>
      <c r="N68">
        <f>J68</f>
        <v>7887334</v>
      </c>
      <c r="O68" t="e">
        <f>IF(C68=$P$64,N68,NA())</f>
        <v>#N/A</v>
      </c>
      <c r="P68" t="str">
        <f>TEXT(J68,$P$66)</f>
        <v>$ 7.89 m</v>
      </c>
      <c r="Q68" t="str">
        <f>TEXT(K68,$Q$66)</f>
        <v>$ 5.47 m</v>
      </c>
      <c r="S68" t="str">
        <f>_xlfn.TEXTJOIN(CHAR(10),,I68,P68,Q68)</f>
        <v>Yummies⭐
$ 7.89 m
$ 5.47 m</v>
      </c>
    </row>
    <row r="69" spans="3:48" x14ac:dyDescent="0.2">
      <c r="C69" s="22" t="s">
        <v>77</v>
      </c>
      <c r="D69">
        <v>6136837</v>
      </c>
      <c r="E69" s="23">
        <v>4225262.9296000022</v>
      </c>
      <c r="I69" t="str">
        <f t="shared" ref="I69:I71" si="7">C69&amp;H69</f>
        <v>Delish</v>
      </c>
      <c r="J69">
        <f t="shared" ref="J69:J71" si="8">D69</f>
        <v>6136837</v>
      </c>
      <c r="K69" s="23">
        <f t="shared" ref="K69:K71" si="9">E69</f>
        <v>4225262.9296000022</v>
      </c>
      <c r="L69">
        <v>2</v>
      </c>
      <c r="M69">
        <v>2</v>
      </c>
      <c r="N69">
        <f t="shared" ref="N69:N71" si="10">J69</f>
        <v>6136837</v>
      </c>
      <c r="O69">
        <f t="shared" ref="O69:O71" si="11">IF(C69=$P$64,N69,NA())</f>
        <v>6136837</v>
      </c>
      <c r="P69" t="str">
        <f t="shared" ref="P69:P71" si="12">TEXT(J69,$P$66)</f>
        <v>$ 6.14 m</v>
      </c>
      <c r="Q69" t="str">
        <f t="shared" ref="Q69:Q71" si="13">TEXT(K69,$Q$66)</f>
        <v>$ 4.23 m</v>
      </c>
      <c r="S69" t="str">
        <f t="shared" ref="S69:S71" si="14">_xlfn.TEXTJOIN(CHAR(10),,I69,P69,Q69)</f>
        <v>Delish
$ 6.14 m
$ 4.23 m</v>
      </c>
    </row>
    <row r="70" spans="3:48" x14ac:dyDescent="0.2">
      <c r="C70" s="22" t="s">
        <v>78</v>
      </c>
      <c r="D70">
        <v>4237639</v>
      </c>
      <c r="E70" s="23">
        <v>2912230.4287</v>
      </c>
      <c r="I70" t="str">
        <f t="shared" si="7"/>
        <v>Jucies</v>
      </c>
      <c r="J70">
        <f t="shared" si="8"/>
        <v>4237639</v>
      </c>
      <c r="K70" s="23">
        <f t="shared" si="9"/>
        <v>2912230.4287</v>
      </c>
      <c r="L70">
        <v>1</v>
      </c>
      <c r="M70">
        <v>1</v>
      </c>
      <c r="N70">
        <f t="shared" si="10"/>
        <v>4237639</v>
      </c>
      <c r="O70" t="e">
        <f t="shared" si="11"/>
        <v>#N/A</v>
      </c>
      <c r="P70" t="str">
        <f t="shared" si="12"/>
        <v>$ 4.24 m</v>
      </c>
      <c r="Q70" t="str">
        <f t="shared" si="13"/>
        <v>$ 2.91 m</v>
      </c>
      <c r="S70" t="str">
        <f t="shared" si="14"/>
        <v>Jucies
$ 4.24 m
$ 2.91 m</v>
      </c>
    </row>
    <row r="71" spans="3:48" x14ac:dyDescent="0.2">
      <c r="C71" s="22" t="s">
        <v>83</v>
      </c>
      <c r="D71">
        <v>3439912</v>
      </c>
      <c r="E71" s="23">
        <v>2408263.7264</v>
      </c>
      <c r="I71" t="str">
        <f t="shared" si="7"/>
        <v>Tempo</v>
      </c>
      <c r="J71">
        <f t="shared" si="8"/>
        <v>3439912</v>
      </c>
      <c r="K71" s="23">
        <f t="shared" si="9"/>
        <v>2408263.7264</v>
      </c>
      <c r="L71">
        <v>2</v>
      </c>
      <c r="M71">
        <v>1</v>
      </c>
      <c r="N71">
        <f t="shared" si="10"/>
        <v>3439912</v>
      </c>
      <c r="O71" t="e">
        <f t="shared" si="11"/>
        <v>#N/A</v>
      </c>
      <c r="P71" t="str">
        <f t="shared" si="12"/>
        <v>$ 3.44 m</v>
      </c>
      <c r="Q71" t="str">
        <f t="shared" si="13"/>
        <v>$ 2.41 m</v>
      </c>
      <c r="S71" t="str">
        <f t="shared" si="14"/>
        <v>Tempo
$ 3.44 m
$ 2.41 m</v>
      </c>
    </row>
    <row r="75" spans="3:48" x14ac:dyDescent="0.2">
      <c r="J75" t="s">
        <v>176</v>
      </c>
      <c r="K75">
        <f>2*MAX(K79:K103)</f>
        <v>1914094</v>
      </c>
    </row>
    <row r="77" spans="3:48" ht="15" x14ac:dyDescent="0.25">
      <c r="J77" s="11" t="s">
        <v>171</v>
      </c>
    </row>
    <row r="78" spans="3:48" ht="15" x14ac:dyDescent="0.25">
      <c r="C78" s="21" t="s">
        <v>75</v>
      </c>
      <c r="D78" s="21" t="s">
        <v>74</v>
      </c>
      <c r="E78" t="s">
        <v>103</v>
      </c>
      <c r="F78" t="s">
        <v>108</v>
      </c>
      <c r="G78" t="s">
        <v>109</v>
      </c>
      <c r="J78" t="s">
        <v>172</v>
      </c>
      <c r="K78" t="s">
        <v>173</v>
      </c>
      <c r="L78" t="s">
        <v>174</v>
      </c>
      <c r="M78" t="s">
        <v>175</v>
      </c>
      <c r="Q78" s="11" t="s">
        <v>178</v>
      </c>
      <c r="R78" s="11"/>
      <c r="T78" t="s">
        <v>182</v>
      </c>
      <c r="U78" s="44">
        <f>starting.date.for.trend+1</f>
        <v>44565</v>
      </c>
      <c r="V78" s="44">
        <f>U78+1</f>
        <v>44566</v>
      </c>
      <c r="W78" s="44">
        <f t="shared" ref="W78:AV78" si="15">V78+1</f>
        <v>44567</v>
      </c>
      <c r="X78" s="44">
        <f t="shared" si="15"/>
        <v>44568</v>
      </c>
      <c r="Y78" s="44">
        <f t="shared" si="15"/>
        <v>44569</v>
      </c>
      <c r="Z78" s="44">
        <f t="shared" si="15"/>
        <v>44570</v>
      </c>
      <c r="AA78" s="44">
        <f t="shared" si="15"/>
        <v>44571</v>
      </c>
      <c r="AB78" s="44">
        <f t="shared" si="15"/>
        <v>44572</v>
      </c>
      <c r="AC78" s="44">
        <f t="shared" si="15"/>
        <v>44573</v>
      </c>
      <c r="AD78" s="44">
        <f t="shared" si="15"/>
        <v>44574</v>
      </c>
      <c r="AE78" s="44">
        <f t="shared" si="15"/>
        <v>44575</v>
      </c>
      <c r="AF78" s="44">
        <f t="shared" si="15"/>
        <v>44576</v>
      </c>
      <c r="AG78" s="44">
        <f t="shared" si="15"/>
        <v>44577</v>
      </c>
      <c r="AH78" s="44">
        <f t="shared" si="15"/>
        <v>44578</v>
      </c>
      <c r="AI78" s="44">
        <f t="shared" si="15"/>
        <v>44579</v>
      </c>
      <c r="AJ78" s="44">
        <f t="shared" si="15"/>
        <v>44580</v>
      </c>
      <c r="AK78" s="44">
        <f t="shared" si="15"/>
        <v>44581</v>
      </c>
      <c r="AL78" s="44">
        <f t="shared" si="15"/>
        <v>44582</v>
      </c>
      <c r="AM78" s="44">
        <f t="shared" si="15"/>
        <v>44583</v>
      </c>
      <c r="AN78" s="44">
        <f t="shared" si="15"/>
        <v>44584</v>
      </c>
      <c r="AO78" s="44">
        <f t="shared" si="15"/>
        <v>44585</v>
      </c>
      <c r="AP78" s="44">
        <f t="shared" si="15"/>
        <v>44586</v>
      </c>
      <c r="AQ78" s="44">
        <f t="shared" si="15"/>
        <v>44587</v>
      </c>
      <c r="AR78" s="44">
        <f t="shared" si="15"/>
        <v>44588</v>
      </c>
      <c r="AS78" s="44">
        <f t="shared" si="15"/>
        <v>44589</v>
      </c>
      <c r="AT78" s="44">
        <f t="shared" si="15"/>
        <v>44590</v>
      </c>
      <c r="AU78" s="44">
        <f t="shared" si="15"/>
        <v>44591</v>
      </c>
      <c r="AV78" s="44">
        <f t="shared" si="15"/>
        <v>44592</v>
      </c>
    </row>
    <row r="79" spans="3:48" x14ac:dyDescent="0.2">
      <c r="C79" t="s">
        <v>77</v>
      </c>
      <c r="D79" t="s">
        <v>30</v>
      </c>
      <c r="E79">
        <v>779422</v>
      </c>
      <c r="F79" s="23">
        <v>531164.80779999995</v>
      </c>
      <c r="G79" s="26">
        <v>0.68148552106561011</v>
      </c>
      <c r="J79" t="str" cm="1">
        <f t="array" ref="J79:M85">_xlfn._xlws.SORT(_xlfn._xlws.FILTER(D79:G128,C79:C128=selected.team),$Q$100,$Q$103)</f>
        <v>Roddy Speechley</v>
      </c>
      <c r="K79">
        <v>957047</v>
      </c>
      <c r="L79">
        <v>671941.45200000005</v>
      </c>
      <c r="M79">
        <v>0.70209869734715225</v>
      </c>
      <c r="Q79" t="s">
        <v>179</v>
      </c>
      <c r="T79" t="str" cm="1">
        <f t="array" ref="T79:T85">INDEX(_xlfn.ANCHORARRAY(J79),,1)</f>
        <v>Roddy Speechley</v>
      </c>
      <c r="U79" t="b" cm="1">
        <f t="array" ref="U79:U85">CHOOSE($Q$87,COUNTIFS(sales[Sales Person],_xlfn.ANCHORARRAY($T79),sales[Date],U$78)&gt;0,SUMIFS(sales[Amount],sales[Sales Person],_xlfn.ANCHORARRAY($T79),sales[Date],U$78),SUMIFS(sales[Boxes],sales[Sales Person],_xlfn.ANCHORARRAY($T79),sales[Date],U$78),COUNTIFS(sales[Sales Person],_xlfn.ANCHORARRAY($T79),sales[Date],U$78))</f>
        <v>1</v>
      </c>
      <c r="V79" t="b" cm="1">
        <f t="array" ref="V79:V85">CHOOSE($Q$87,COUNTIFS(sales[Sales Person],_xlfn.ANCHORARRAY($T79),sales[Date],V$78)&gt;0,SUMIFS(sales[Amount],sales[Sales Person],_xlfn.ANCHORARRAY($T79),sales[Date],V$78),SUMIFS(sales[Boxes],sales[Sales Person],_xlfn.ANCHORARRAY($T79),sales[Date],V$78),COUNTIFS(sales[Sales Person],_xlfn.ANCHORARRAY($T79),sales[Date],V$78))</f>
        <v>1</v>
      </c>
      <c r="W79" t="b" cm="1">
        <f t="array" ref="W79:W85">CHOOSE($Q$87,COUNTIFS(sales[Sales Person],_xlfn.ANCHORARRAY($T79),sales[Date],W$78)&gt;0,SUMIFS(sales[Amount],sales[Sales Person],_xlfn.ANCHORARRAY($T79),sales[Date],W$78),SUMIFS(sales[Boxes],sales[Sales Person],_xlfn.ANCHORARRAY($T79),sales[Date],W$78),COUNTIFS(sales[Sales Person],_xlfn.ANCHORARRAY($T79),sales[Date],W$78))</f>
        <v>1</v>
      </c>
      <c r="X79" t="b" cm="1">
        <f t="array" ref="X79:X85">CHOOSE($Q$87,COUNTIFS(sales[Sales Person],_xlfn.ANCHORARRAY($T79),sales[Date],X$78)&gt;0,SUMIFS(sales[Amount],sales[Sales Person],_xlfn.ANCHORARRAY($T79),sales[Date],X$78),SUMIFS(sales[Boxes],sales[Sales Person],_xlfn.ANCHORARRAY($T79),sales[Date],X$78),COUNTIFS(sales[Sales Person],_xlfn.ANCHORARRAY($T79),sales[Date],X$78))</f>
        <v>1</v>
      </c>
      <c r="Y79" t="b" cm="1">
        <f t="array" ref="Y79:Y85">CHOOSE($Q$87,COUNTIFS(sales[Sales Person],_xlfn.ANCHORARRAY($T79),sales[Date],Y$78)&gt;0,SUMIFS(sales[Amount],sales[Sales Person],_xlfn.ANCHORARRAY($T79),sales[Date],Y$78),SUMIFS(sales[Boxes],sales[Sales Person],_xlfn.ANCHORARRAY($T79),sales[Date],Y$78),COUNTIFS(sales[Sales Person],_xlfn.ANCHORARRAY($T79),sales[Date],Y$78))</f>
        <v>0</v>
      </c>
      <c r="Z79" t="b" cm="1">
        <f t="array" ref="Z79:Z85">CHOOSE($Q$87,COUNTIFS(sales[Sales Person],_xlfn.ANCHORARRAY($T79),sales[Date],Z$78)&gt;0,SUMIFS(sales[Amount],sales[Sales Person],_xlfn.ANCHORARRAY($T79),sales[Date],Z$78),SUMIFS(sales[Boxes],sales[Sales Person],_xlfn.ANCHORARRAY($T79),sales[Date],Z$78),COUNTIFS(sales[Sales Person],_xlfn.ANCHORARRAY($T79),sales[Date],Z$78))</f>
        <v>0</v>
      </c>
      <c r="AA79" t="b" cm="1">
        <f t="array" ref="AA79:AA85">CHOOSE($Q$87,COUNTIFS(sales[Sales Person],_xlfn.ANCHORARRAY($T79),sales[Date],AA$78)&gt;0,SUMIFS(sales[Amount],sales[Sales Person],_xlfn.ANCHORARRAY($T79),sales[Date],AA$78),SUMIFS(sales[Boxes],sales[Sales Person],_xlfn.ANCHORARRAY($T79),sales[Date],AA$78),COUNTIFS(sales[Sales Person],_xlfn.ANCHORARRAY($T79),sales[Date],AA$78))</f>
        <v>1</v>
      </c>
      <c r="AB79" t="b" cm="1">
        <f t="array" ref="AB79:AB85">CHOOSE($Q$87,COUNTIFS(sales[Sales Person],_xlfn.ANCHORARRAY($T79),sales[Date],AB$78)&gt;0,SUMIFS(sales[Amount],sales[Sales Person],_xlfn.ANCHORARRAY($T79),sales[Date],AB$78),SUMIFS(sales[Boxes],sales[Sales Person],_xlfn.ANCHORARRAY($T79),sales[Date],AB$78),COUNTIFS(sales[Sales Person],_xlfn.ANCHORARRAY($T79),sales[Date],AB$78))</f>
        <v>1</v>
      </c>
      <c r="AC79" t="b" cm="1">
        <f t="array" ref="AC79:AC85">CHOOSE($Q$87,COUNTIFS(sales[Sales Person],_xlfn.ANCHORARRAY($T79),sales[Date],AC$78)&gt;0,SUMIFS(sales[Amount],sales[Sales Person],_xlfn.ANCHORARRAY($T79),sales[Date],AC$78),SUMIFS(sales[Boxes],sales[Sales Person],_xlfn.ANCHORARRAY($T79),sales[Date],AC$78),COUNTIFS(sales[Sales Person],_xlfn.ANCHORARRAY($T79),sales[Date],AC$78))</f>
        <v>0</v>
      </c>
      <c r="AD79" t="b" cm="1">
        <f t="array" ref="AD79:AD85">CHOOSE($Q$87,COUNTIFS(sales[Sales Person],_xlfn.ANCHORARRAY($T79),sales[Date],AD$78)&gt;0,SUMIFS(sales[Amount],sales[Sales Person],_xlfn.ANCHORARRAY($T79),sales[Date],AD$78),SUMIFS(sales[Boxes],sales[Sales Person],_xlfn.ANCHORARRAY($T79),sales[Date],AD$78),COUNTIFS(sales[Sales Person],_xlfn.ANCHORARRAY($T79),sales[Date],AD$78))</f>
        <v>0</v>
      </c>
      <c r="AE79" t="b" cm="1">
        <f t="array" ref="AE79:AE85">CHOOSE($Q$87,COUNTIFS(sales[Sales Person],_xlfn.ANCHORARRAY($T79),sales[Date],AE$78)&gt;0,SUMIFS(sales[Amount],sales[Sales Person],_xlfn.ANCHORARRAY($T79),sales[Date],AE$78),SUMIFS(sales[Boxes],sales[Sales Person],_xlfn.ANCHORARRAY($T79),sales[Date],AE$78),COUNTIFS(sales[Sales Person],_xlfn.ANCHORARRAY($T79),sales[Date],AE$78))</f>
        <v>1</v>
      </c>
      <c r="AF79" t="b" cm="1">
        <f t="array" ref="AF79:AF85">CHOOSE($Q$87,COUNTIFS(sales[Sales Person],_xlfn.ANCHORARRAY($T79),sales[Date],AF$78)&gt;0,SUMIFS(sales[Amount],sales[Sales Person],_xlfn.ANCHORARRAY($T79),sales[Date],AF$78),SUMIFS(sales[Boxes],sales[Sales Person],_xlfn.ANCHORARRAY($T79),sales[Date],AF$78),COUNTIFS(sales[Sales Person],_xlfn.ANCHORARRAY($T79),sales[Date],AF$78))</f>
        <v>0</v>
      </c>
      <c r="AG79" t="b" cm="1">
        <f t="array" ref="AG79:AG85">CHOOSE($Q$87,COUNTIFS(sales[Sales Person],_xlfn.ANCHORARRAY($T79),sales[Date],AG$78)&gt;0,SUMIFS(sales[Amount],sales[Sales Person],_xlfn.ANCHORARRAY($T79),sales[Date],AG$78),SUMIFS(sales[Boxes],sales[Sales Person],_xlfn.ANCHORARRAY($T79),sales[Date],AG$78),COUNTIFS(sales[Sales Person],_xlfn.ANCHORARRAY($T79),sales[Date],AG$78))</f>
        <v>0</v>
      </c>
      <c r="AH79" t="b" cm="1">
        <f t="array" ref="AH79:AH85">CHOOSE($Q$87,COUNTIFS(sales[Sales Person],_xlfn.ANCHORARRAY($T79),sales[Date],AH$78)&gt;0,SUMIFS(sales[Amount],sales[Sales Person],_xlfn.ANCHORARRAY($T79),sales[Date],AH$78),SUMIFS(sales[Boxes],sales[Sales Person],_xlfn.ANCHORARRAY($T79),sales[Date],AH$78),COUNTIFS(sales[Sales Person],_xlfn.ANCHORARRAY($T79),sales[Date],AH$78))</f>
        <v>0</v>
      </c>
      <c r="AI79" t="b" cm="1">
        <f t="array" ref="AI79:AI85">CHOOSE($Q$87,COUNTIFS(sales[Sales Person],_xlfn.ANCHORARRAY($T79),sales[Date],AI$78)&gt;0,SUMIFS(sales[Amount],sales[Sales Person],_xlfn.ANCHORARRAY($T79),sales[Date],AI$78),SUMIFS(sales[Boxes],sales[Sales Person],_xlfn.ANCHORARRAY($T79),sales[Date],AI$78),COUNTIFS(sales[Sales Person],_xlfn.ANCHORARRAY($T79),sales[Date],AI$78))</f>
        <v>1</v>
      </c>
      <c r="AJ79" t="b" cm="1">
        <f t="array" ref="AJ79:AJ85">CHOOSE($Q$87,COUNTIFS(sales[Sales Person],_xlfn.ANCHORARRAY($T79),sales[Date],AJ$78)&gt;0,SUMIFS(sales[Amount],sales[Sales Person],_xlfn.ANCHORARRAY($T79),sales[Date],AJ$78),SUMIFS(sales[Boxes],sales[Sales Person],_xlfn.ANCHORARRAY($T79),sales[Date],AJ$78),COUNTIFS(sales[Sales Person],_xlfn.ANCHORARRAY($T79),sales[Date],AJ$78))</f>
        <v>1</v>
      </c>
      <c r="AK79" t="b" cm="1">
        <f t="array" ref="AK79:AK85">CHOOSE($Q$87,COUNTIFS(sales[Sales Person],_xlfn.ANCHORARRAY($T79),sales[Date],AK$78)&gt;0,SUMIFS(sales[Amount],sales[Sales Person],_xlfn.ANCHORARRAY($T79),sales[Date],AK$78),SUMIFS(sales[Boxes],sales[Sales Person],_xlfn.ANCHORARRAY($T79),sales[Date],AK$78),COUNTIFS(sales[Sales Person],_xlfn.ANCHORARRAY($T79),sales[Date],AK$78))</f>
        <v>0</v>
      </c>
      <c r="AL79" t="b" cm="1">
        <f t="array" ref="AL79:AL85">CHOOSE($Q$87,COUNTIFS(sales[Sales Person],_xlfn.ANCHORARRAY($T79),sales[Date],AL$78)&gt;0,SUMIFS(sales[Amount],sales[Sales Person],_xlfn.ANCHORARRAY($T79),sales[Date],AL$78),SUMIFS(sales[Boxes],sales[Sales Person],_xlfn.ANCHORARRAY($T79),sales[Date],AL$78),COUNTIFS(sales[Sales Person],_xlfn.ANCHORARRAY($T79),sales[Date],AL$78))</f>
        <v>0</v>
      </c>
      <c r="AM79" t="b" cm="1">
        <f t="array" ref="AM79:AM85">CHOOSE($Q$87,COUNTIFS(sales[Sales Person],_xlfn.ANCHORARRAY($T79),sales[Date],AM$78)&gt;0,SUMIFS(sales[Amount],sales[Sales Person],_xlfn.ANCHORARRAY($T79),sales[Date],AM$78),SUMIFS(sales[Boxes],sales[Sales Person],_xlfn.ANCHORARRAY($T79),sales[Date],AM$78),COUNTIFS(sales[Sales Person],_xlfn.ANCHORARRAY($T79),sales[Date],AM$78))</f>
        <v>0</v>
      </c>
      <c r="AN79" t="b" cm="1">
        <f t="array" ref="AN79:AN85">CHOOSE($Q$87,COUNTIFS(sales[Sales Person],_xlfn.ANCHORARRAY($T79),sales[Date],AN$78)&gt;0,SUMIFS(sales[Amount],sales[Sales Person],_xlfn.ANCHORARRAY($T79),sales[Date],AN$78),SUMIFS(sales[Boxes],sales[Sales Person],_xlfn.ANCHORARRAY($T79),sales[Date],AN$78),COUNTIFS(sales[Sales Person],_xlfn.ANCHORARRAY($T79),sales[Date],AN$78))</f>
        <v>0</v>
      </c>
      <c r="AO79" t="b" cm="1">
        <f t="array" ref="AO79:AO85">CHOOSE($Q$87,COUNTIFS(sales[Sales Person],_xlfn.ANCHORARRAY($T79),sales[Date],AO$78)&gt;0,SUMIFS(sales[Amount],sales[Sales Person],_xlfn.ANCHORARRAY($T79),sales[Date],AO$78),SUMIFS(sales[Boxes],sales[Sales Person],_xlfn.ANCHORARRAY($T79),sales[Date],AO$78),COUNTIFS(sales[Sales Person],_xlfn.ANCHORARRAY($T79),sales[Date],AO$78))</f>
        <v>0</v>
      </c>
      <c r="AP79" t="b" cm="1">
        <f t="array" ref="AP79:AP85">CHOOSE($Q$87,COUNTIFS(sales[Sales Person],_xlfn.ANCHORARRAY($T79),sales[Date],AP$78)&gt;0,SUMIFS(sales[Amount],sales[Sales Person],_xlfn.ANCHORARRAY($T79),sales[Date],AP$78),SUMIFS(sales[Boxes],sales[Sales Person],_xlfn.ANCHORARRAY($T79),sales[Date],AP$78),COUNTIFS(sales[Sales Person],_xlfn.ANCHORARRAY($T79),sales[Date],AP$78))</f>
        <v>1</v>
      </c>
      <c r="AQ79" t="b" cm="1">
        <f t="array" ref="AQ79:AQ85">CHOOSE($Q$87,COUNTIFS(sales[Sales Person],_xlfn.ANCHORARRAY($T79),sales[Date],AQ$78)&gt;0,SUMIFS(sales[Amount],sales[Sales Person],_xlfn.ANCHORARRAY($T79),sales[Date],AQ$78),SUMIFS(sales[Boxes],sales[Sales Person],_xlfn.ANCHORARRAY($T79),sales[Date],AQ$78),COUNTIFS(sales[Sales Person],_xlfn.ANCHORARRAY($T79),sales[Date],AQ$78))</f>
        <v>1</v>
      </c>
      <c r="AR79" t="b" cm="1">
        <f t="array" ref="AR79:AR85">CHOOSE($Q$87,COUNTIFS(sales[Sales Person],_xlfn.ANCHORARRAY($T79),sales[Date],AR$78)&gt;0,SUMIFS(sales[Amount],sales[Sales Person],_xlfn.ANCHORARRAY($T79),sales[Date],AR$78),SUMIFS(sales[Boxes],sales[Sales Person],_xlfn.ANCHORARRAY($T79),sales[Date],AR$78),COUNTIFS(sales[Sales Person],_xlfn.ANCHORARRAY($T79),sales[Date],AR$78))</f>
        <v>1</v>
      </c>
      <c r="AS79" t="b" cm="1">
        <f t="array" ref="AS79:AS85">CHOOSE($Q$87,COUNTIFS(sales[Sales Person],_xlfn.ANCHORARRAY($T79),sales[Date],AS$78)&gt;0,SUMIFS(sales[Amount],sales[Sales Person],_xlfn.ANCHORARRAY($T79),sales[Date],AS$78),SUMIFS(sales[Boxes],sales[Sales Person],_xlfn.ANCHORARRAY($T79),sales[Date],AS$78),COUNTIFS(sales[Sales Person],_xlfn.ANCHORARRAY($T79),sales[Date],AS$78))</f>
        <v>1</v>
      </c>
      <c r="AT79" t="b" cm="1">
        <f t="array" ref="AT79:AT85">CHOOSE($Q$87,COUNTIFS(sales[Sales Person],_xlfn.ANCHORARRAY($T79),sales[Date],AT$78)&gt;0,SUMIFS(sales[Amount],sales[Sales Person],_xlfn.ANCHORARRAY($T79),sales[Date],AT$78),SUMIFS(sales[Boxes],sales[Sales Person],_xlfn.ANCHORARRAY($T79),sales[Date],AT$78),COUNTIFS(sales[Sales Person],_xlfn.ANCHORARRAY($T79),sales[Date],AT$78))</f>
        <v>0</v>
      </c>
      <c r="AU79" t="b" cm="1">
        <f t="array" ref="AU79:AU85">CHOOSE($Q$87,COUNTIFS(sales[Sales Person],_xlfn.ANCHORARRAY($T79),sales[Date],AU$78)&gt;0,SUMIFS(sales[Amount],sales[Sales Person],_xlfn.ANCHORARRAY($T79),sales[Date],AU$78),SUMIFS(sales[Boxes],sales[Sales Person],_xlfn.ANCHORARRAY($T79),sales[Date],AU$78),COUNTIFS(sales[Sales Person],_xlfn.ANCHORARRAY($T79),sales[Date],AU$78))</f>
        <v>0</v>
      </c>
      <c r="AV79" t="b" cm="1">
        <f t="array" ref="AV79:AV85">CHOOSE($Q$87,COUNTIFS(sales[Sales Person],_xlfn.ANCHORARRAY($T79),sales[Date],AV$78)&gt;0,SUMIFS(sales[Amount],sales[Sales Person],_xlfn.ANCHORARRAY($T79),sales[Date],AV$78),SUMIFS(sales[Boxes],sales[Sales Person],_xlfn.ANCHORARRAY($T79),sales[Date],AV$78),COUNTIFS(sales[Sales Person],_xlfn.ANCHORARRAY($T79),sales[Date],AV$78))</f>
        <v>0</v>
      </c>
    </row>
    <row r="80" spans="3:48" x14ac:dyDescent="0.2">
      <c r="C80" t="s">
        <v>77</v>
      </c>
      <c r="D80" t="s">
        <v>25</v>
      </c>
      <c r="E80">
        <v>922635</v>
      </c>
      <c r="F80" s="23">
        <v>619837.69369999971</v>
      </c>
      <c r="G80" s="26">
        <v>0.67181246505931347</v>
      </c>
      <c r="J80" t="str">
        <v>Wilone O'Kielt</v>
      </c>
      <c r="K80">
        <v>944580</v>
      </c>
      <c r="L80">
        <v>655816.69989999989</v>
      </c>
      <c r="M80">
        <v>0.69429450115395186</v>
      </c>
      <c r="Q80" t="s">
        <v>147</v>
      </c>
      <c r="T80" t="str">
        <v>Wilone O'Kielt</v>
      </c>
      <c r="U80" t="b">
        <v>1</v>
      </c>
      <c r="V80" t="b">
        <v>0</v>
      </c>
      <c r="W80" t="b">
        <v>1</v>
      </c>
      <c r="X80" t="b">
        <v>1</v>
      </c>
      <c r="Y80" t="b">
        <v>0</v>
      </c>
      <c r="Z80" t="b">
        <v>0</v>
      </c>
      <c r="AA80" t="b">
        <v>1</v>
      </c>
      <c r="AB80" t="b">
        <v>0</v>
      </c>
      <c r="AC80" t="b">
        <v>1</v>
      </c>
      <c r="AD80" t="b">
        <v>1</v>
      </c>
      <c r="AE80" t="b">
        <v>1</v>
      </c>
      <c r="AF80" t="b">
        <v>0</v>
      </c>
      <c r="AG80" t="b">
        <v>0</v>
      </c>
      <c r="AH80" t="b">
        <v>0</v>
      </c>
      <c r="AI80" t="b">
        <v>0</v>
      </c>
      <c r="AJ80" t="b">
        <v>0</v>
      </c>
      <c r="AK80" t="b">
        <v>0</v>
      </c>
      <c r="AL80" t="b">
        <v>0</v>
      </c>
      <c r="AM80" t="b">
        <v>0</v>
      </c>
      <c r="AN80" t="b">
        <v>0</v>
      </c>
      <c r="AO80" t="b">
        <v>1</v>
      </c>
      <c r="AP80" t="b">
        <v>1</v>
      </c>
      <c r="AQ80" t="b">
        <v>1</v>
      </c>
      <c r="AR80" t="b">
        <v>1</v>
      </c>
      <c r="AS80" t="b">
        <v>1</v>
      </c>
      <c r="AT80" t="b">
        <v>0</v>
      </c>
      <c r="AU80" t="b">
        <v>0</v>
      </c>
      <c r="AV80" t="b">
        <v>0</v>
      </c>
    </row>
    <row r="81" spans="3:48" x14ac:dyDescent="0.2">
      <c r="C81" t="s">
        <v>77</v>
      </c>
      <c r="D81" t="s">
        <v>58</v>
      </c>
      <c r="E81">
        <v>925057</v>
      </c>
      <c r="F81" s="23">
        <v>646165.54050000012</v>
      </c>
      <c r="G81" s="26">
        <v>0.69851429749734351</v>
      </c>
      <c r="J81" t="str">
        <v>Gigi Bohling</v>
      </c>
      <c r="K81">
        <v>925057</v>
      </c>
      <c r="L81">
        <v>646165.54050000012</v>
      </c>
      <c r="M81">
        <v>0.69851429749734351</v>
      </c>
      <c r="Q81" t="s">
        <v>7</v>
      </c>
      <c r="T81" t="str">
        <v>Gigi Bohling</v>
      </c>
      <c r="U81" t="b">
        <v>1</v>
      </c>
      <c r="V81" t="b">
        <v>0</v>
      </c>
      <c r="W81" t="b">
        <v>0</v>
      </c>
      <c r="X81" t="b">
        <v>0</v>
      </c>
      <c r="Y81" t="b">
        <v>0</v>
      </c>
      <c r="Z81" t="b">
        <v>0</v>
      </c>
      <c r="AA81" t="b">
        <v>0</v>
      </c>
      <c r="AB81" t="b">
        <v>0</v>
      </c>
      <c r="AC81" t="b">
        <v>0</v>
      </c>
      <c r="AD81" t="b">
        <v>1</v>
      </c>
      <c r="AE81" t="b">
        <v>1</v>
      </c>
      <c r="AF81" t="b">
        <v>0</v>
      </c>
      <c r="AG81" t="b">
        <v>0</v>
      </c>
      <c r="AH81" t="b">
        <v>1</v>
      </c>
      <c r="AI81" t="b">
        <v>0</v>
      </c>
      <c r="AJ81" t="b">
        <v>1</v>
      </c>
      <c r="AK81" t="b">
        <v>0</v>
      </c>
      <c r="AL81" t="b">
        <v>1</v>
      </c>
      <c r="AM81" t="b">
        <v>0</v>
      </c>
      <c r="AN81" t="b">
        <v>0</v>
      </c>
      <c r="AO81" t="b">
        <v>0</v>
      </c>
      <c r="AP81" t="b">
        <v>1</v>
      </c>
      <c r="AQ81" t="b">
        <v>1</v>
      </c>
      <c r="AR81" t="b">
        <v>1</v>
      </c>
      <c r="AS81" t="b">
        <v>1</v>
      </c>
      <c r="AT81" t="b">
        <v>0</v>
      </c>
      <c r="AU81" t="b">
        <v>0</v>
      </c>
      <c r="AV81" t="b">
        <v>1</v>
      </c>
    </row>
    <row r="82" spans="3:48" x14ac:dyDescent="0.2">
      <c r="C82" t="s">
        <v>77</v>
      </c>
      <c r="D82" t="s">
        <v>54</v>
      </c>
      <c r="E82">
        <v>780038</v>
      </c>
      <c r="F82" s="23">
        <v>536614.89100000006</v>
      </c>
      <c r="G82" s="26">
        <v>0.68793429422669161</v>
      </c>
      <c r="J82" t="str">
        <v>Dotty Strutley</v>
      </c>
      <c r="K82">
        <v>922635</v>
      </c>
      <c r="L82">
        <v>619837.69369999971</v>
      </c>
      <c r="M82">
        <v>0.67181246505931347</v>
      </c>
      <c r="Q82" t="s">
        <v>132</v>
      </c>
      <c r="T82" t="str">
        <v>Dotty Strutley</v>
      </c>
      <c r="U82" t="b">
        <v>0</v>
      </c>
      <c r="V82" t="b">
        <v>1</v>
      </c>
      <c r="W82" t="b">
        <v>0</v>
      </c>
      <c r="X82" t="b">
        <v>1</v>
      </c>
      <c r="Y82" t="b">
        <v>0</v>
      </c>
      <c r="Z82" t="b">
        <v>0</v>
      </c>
      <c r="AA82" t="b">
        <v>1</v>
      </c>
      <c r="AB82" t="b">
        <v>1</v>
      </c>
      <c r="AC82" t="b">
        <v>1</v>
      </c>
      <c r="AD82" t="b">
        <v>1</v>
      </c>
      <c r="AE82" t="b">
        <v>0</v>
      </c>
      <c r="AF82" t="b">
        <v>0</v>
      </c>
      <c r="AG82" t="b">
        <v>0</v>
      </c>
      <c r="AH82" t="b">
        <v>0</v>
      </c>
      <c r="AI82" t="b">
        <v>0</v>
      </c>
      <c r="AJ82" t="b">
        <v>1</v>
      </c>
      <c r="AK82" t="b">
        <v>0</v>
      </c>
      <c r="AL82" t="b">
        <v>1</v>
      </c>
      <c r="AM82" t="b">
        <v>0</v>
      </c>
      <c r="AN82" t="b">
        <v>0</v>
      </c>
      <c r="AO82" t="b">
        <v>1</v>
      </c>
      <c r="AP82" t="b">
        <v>1</v>
      </c>
      <c r="AQ82" t="b">
        <v>1</v>
      </c>
      <c r="AR82" t="b">
        <v>1</v>
      </c>
      <c r="AS82" t="b">
        <v>0</v>
      </c>
      <c r="AT82" t="b">
        <v>0</v>
      </c>
      <c r="AU82" t="b">
        <v>0</v>
      </c>
      <c r="AV82" t="b">
        <v>0</v>
      </c>
    </row>
    <row r="83" spans="3:48" x14ac:dyDescent="0.2">
      <c r="C83" t="s">
        <v>77</v>
      </c>
      <c r="D83" t="s">
        <v>53</v>
      </c>
      <c r="E83">
        <v>828058</v>
      </c>
      <c r="F83" s="23">
        <v>563721.84470000002</v>
      </c>
      <c r="G83" s="26">
        <v>0.68077579674370636</v>
      </c>
      <c r="J83" t="str">
        <v>Kaine Padly</v>
      </c>
      <c r="K83">
        <v>828058</v>
      </c>
      <c r="L83">
        <v>563721.84470000002</v>
      </c>
      <c r="M83">
        <v>0.68077579674370636</v>
      </c>
      <c r="T83" t="str">
        <v>Kaine Padly</v>
      </c>
      <c r="U83" t="b">
        <v>1</v>
      </c>
      <c r="V83" t="b">
        <v>0</v>
      </c>
      <c r="W83" t="b">
        <v>0</v>
      </c>
      <c r="X83" t="b">
        <v>1</v>
      </c>
      <c r="Y83" t="b">
        <v>0</v>
      </c>
      <c r="Z83" t="b">
        <v>0</v>
      </c>
      <c r="AA83" t="b">
        <v>0</v>
      </c>
      <c r="AB83" t="b">
        <v>0</v>
      </c>
      <c r="AC83" t="b">
        <v>0</v>
      </c>
      <c r="AD83" t="b">
        <v>1</v>
      </c>
      <c r="AE83" t="b">
        <v>1</v>
      </c>
      <c r="AF83" t="b">
        <v>0</v>
      </c>
      <c r="AG83" t="b">
        <v>0</v>
      </c>
      <c r="AH83" t="b">
        <v>1</v>
      </c>
      <c r="AI83" t="b">
        <v>0</v>
      </c>
      <c r="AJ83" t="b">
        <v>1</v>
      </c>
      <c r="AK83" t="b">
        <v>0</v>
      </c>
      <c r="AL83" t="b">
        <v>0</v>
      </c>
      <c r="AM83" t="b">
        <v>0</v>
      </c>
      <c r="AN83" t="b">
        <v>0</v>
      </c>
      <c r="AO83" t="b">
        <v>1</v>
      </c>
      <c r="AP83" t="b">
        <v>0</v>
      </c>
      <c r="AQ83" t="b">
        <v>1</v>
      </c>
      <c r="AR83" t="b">
        <v>1</v>
      </c>
      <c r="AS83" t="b">
        <v>0</v>
      </c>
      <c r="AT83" t="b">
        <v>0</v>
      </c>
      <c r="AU83" t="b">
        <v>0</v>
      </c>
      <c r="AV83" t="b">
        <v>0</v>
      </c>
    </row>
    <row r="84" spans="3:48" x14ac:dyDescent="0.2">
      <c r="C84" t="s">
        <v>77</v>
      </c>
      <c r="D84" t="s">
        <v>59</v>
      </c>
      <c r="E84">
        <v>957047</v>
      </c>
      <c r="F84" s="23">
        <v>671941.45200000005</v>
      </c>
      <c r="G84" s="26">
        <v>0.70209869734715225</v>
      </c>
      <c r="J84" t="str">
        <v>Jan Morforth</v>
      </c>
      <c r="K84">
        <v>780038</v>
      </c>
      <c r="L84">
        <v>536614.89100000006</v>
      </c>
      <c r="M84">
        <v>0.68793429422669161</v>
      </c>
      <c r="T84" t="str">
        <v>Jan Morforth</v>
      </c>
      <c r="U84" t="b">
        <v>0</v>
      </c>
      <c r="V84" t="b">
        <v>1</v>
      </c>
      <c r="W84" t="b">
        <v>1</v>
      </c>
      <c r="X84" t="b">
        <v>1</v>
      </c>
      <c r="Y84" t="b">
        <v>0</v>
      </c>
      <c r="Z84" t="b">
        <v>0</v>
      </c>
      <c r="AA84" t="b">
        <v>1</v>
      </c>
      <c r="AB84" t="b">
        <v>1</v>
      </c>
      <c r="AC84" t="b">
        <v>0</v>
      </c>
      <c r="AD84" t="b">
        <v>1</v>
      </c>
      <c r="AE84" t="b">
        <v>1</v>
      </c>
      <c r="AF84" t="b">
        <v>0</v>
      </c>
      <c r="AG84" t="b">
        <v>0</v>
      </c>
      <c r="AH84" t="b">
        <v>0</v>
      </c>
      <c r="AI84" t="b">
        <v>1</v>
      </c>
      <c r="AJ84" t="b">
        <v>1</v>
      </c>
      <c r="AK84" t="b">
        <v>0</v>
      </c>
      <c r="AL84" t="b">
        <v>0</v>
      </c>
      <c r="AM84" t="b">
        <v>0</v>
      </c>
      <c r="AN84" t="b">
        <v>0</v>
      </c>
      <c r="AO84" t="b">
        <v>1</v>
      </c>
      <c r="AP84" t="b">
        <v>1</v>
      </c>
      <c r="AQ84" t="b">
        <v>1</v>
      </c>
      <c r="AR84" t="b">
        <v>1</v>
      </c>
      <c r="AS84" t="b">
        <v>0</v>
      </c>
      <c r="AT84" t="b">
        <v>0</v>
      </c>
      <c r="AU84" t="b">
        <v>0</v>
      </c>
      <c r="AV84" t="b">
        <v>0</v>
      </c>
    </row>
    <row r="85" spans="3:48" ht="15" x14ac:dyDescent="0.25">
      <c r="C85" t="s">
        <v>77</v>
      </c>
      <c r="D85" t="s">
        <v>33</v>
      </c>
      <c r="E85">
        <v>944580</v>
      </c>
      <c r="F85" s="23">
        <v>655816.69989999989</v>
      </c>
      <c r="G85" s="26">
        <v>0.69429450115395186</v>
      </c>
      <c r="J85" t="str">
        <v>Curtice Advani</v>
      </c>
      <c r="K85">
        <v>779422</v>
      </c>
      <c r="L85">
        <v>531164.80779999995</v>
      </c>
      <c r="M85">
        <v>0.68148552106561011</v>
      </c>
      <c r="Q85" s="11" t="s">
        <v>136</v>
      </c>
      <c r="R85" s="11"/>
      <c r="T85" t="str">
        <v>Curtice Advani</v>
      </c>
      <c r="U85" t="b">
        <v>0</v>
      </c>
      <c r="V85" t="b">
        <v>0</v>
      </c>
      <c r="W85" t="b">
        <v>1</v>
      </c>
      <c r="X85" t="b">
        <v>0</v>
      </c>
      <c r="Y85" t="b">
        <v>0</v>
      </c>
      <c r="Z85" t="b">
        <v>0</v>
      </c>
      <c r="AA85" t="b">
        <v>0</v>
      </c>
      <c r="AB85" t="b">
        <v>0</v>
      </c>
      <c r="AC85" t="b">
        <v>0</v>
      </c>
      <c r="AD85" t="b">
        <v>1</v>
      </c>
      <c r="AE85" t="b">
        <v>1</v>
      </c>
      <c r="AF85" t="b">
        <v>0</v>
      </c>
      <c r="AG85" t="b">
        <v>0</v>
      </c>
      <c r="AH85" t="b">
        <v>0</v>
      </c>
      <c r="AI85" t="b">
        <v>0</v>
      </c>
      <c r="AJ85" t="b">
        <v>0</v>
      </c>
      <c r="AK85" t="b">
        <v>0</v>
      </c>
      <c r="AL85" t="b">
        <v>1</v>
      </c>
      <c r="AM85" t="b">
        <v>0</v>
      </c>
      <c r="AN85" t="b">
        <v>0</v>
      </c>
      <c r="AO85" t="b">
        <v>1</v>
      </c>
      <c r="AP85" t="b">
        <v>1</v>
      </c>
      <c r="AQ85" t="b">
        <v>1</v>
      </c>
      <c r="AR85" t="b">
        <v>1</v>
      </c>
      <c r="AS85" t="b">
        <v>0</v>
      </c>
      <c r="AT85" t="b">
        <v>0</v>
      </c>
      <c r="AU85" t="b">
        <v>0</v>
      </c>
      <c r="AV85" t="b">
        <v>0</v>
      </c>
    </row>
    <row r="86" spans="3:48" x14ac:dyDescent="0.2">
      <c r="C86" t="s">
        <v>78</v>
      </c>
      <c r="D86" t="s">
        <v>41</v>
      </c>
      <c r="E86">
        <v>867510</v>
      </c>
      <c r="F86" s="23">
        <v>633091.56099999999</v>
      </c>
      <c r="G86" s="26">
        <v>0.7297801304884094</v>
      </c>
      <c r="Q86" s="1" t="str">
        <f>Dashboard!O24</f>
        <v>Shipped?</v>
      </c>
    </row>
    <row r="87" spans="3:48" x14ac:dyDescent="0.2">
      <c r="C87" t="s">
        <v>78</v>
      </c>
      <c r="D87" t="s">
        <v>18</v>
      </c>
      <c r="E87">
        <v>817572</v>
      </c>
      <c r="F87" s="23">
        <v>579961.52909999993</v>
      </c>
      <c r="G87" s="26">
        <v>0.70937058644376261</v>
      </c>
      <c r="Q87">
        <f>_xlfn.XMATCH(Q86,graph.options)</f>
        <v>1</v>
      </c>
    </row>
    <row r="88" spans="3:48" x14ac:dyDescent="0.2">
      <c r="C88" t="s">
        <v>78</v>
      </c>
      <c r="D88" t="s">
        <v>28</v>
      </c>
      <c r="E88">
        <v>794920</v>
      </c>
      <c r="F88" s="23">
        <v>529082.27729999996</v>
      </c>
      <c r="G88" s="26">
        <v>0.6655792750213857</v>
      </c>
    </row>
    <row r="89" spans="3:48" x14ac:dyDescent="0.2">
      <c r="C89" t="s">
        <v>78</v>
      </c>
      <c r="D89" t="s">
        <v>32</v>
      </c>
      <c r="E89">
        <v>897554</v>
      </c>
      <c r="F89" s="23">
        <v>597610.71669999999</v>
      </c>
      <c r="G89" s="26">
        <v>0.66582146221842919</v>
      </c>
    </row>
    <row r="90" spans="3:48" x14ac:dyDescent="0.2">
      <c r="C90" t="s">
        <v>78</v>
      </c>
      <c r="D90" t="s">
        <v>23</v>
      </c>
      <c r="E90">
        <v>860083</v>
      </c>
      <c r="F90" s="23">
        <v>572484.34459999995</v>
      </c>
      <c r="G90" s="26">
        <v>0.66561523085562668</v>
      </c>
    </row>
    <row r="91" spans="3:48" x14ac:dyDescent="0.2">
      <c r="C91" t="s">
        <v>83</v>
      </c>
      <c r="D91" t="s">
        <v>39</v>
      </c>
      <c r="E91">
        <v>798868</v>
      </c>
      <c r="F91" s="23">
        <v>558631.26149999991</v>
      </c>
      <c r="G91" s="26">
        <v>0.6992785560317849</v>
      </c>
    </row>
    <row r="92" spans="3:48" ht="15" x14ac:dyDescent="0.25">
      <c r="C92" t="s">
        <v>83</v>
      </c>
      <c r="D92" t="s">
        <v>56</v>
      </c>
      <c r="E92">
        <v>884835</v>
      </c>
      <c r="F92" s="23">
        <v>621603.34939999995</v>
      </c>
      <c r="G92" s="26">
        <v>0.70250764198974947</v>
      </c>
      <c r="O92" s="11" t="s">
        <v>187</v>
      </c>
      <c r="Q92" s="11" t="s">
        <v>183</v>
      </c>
      <c r="S92" s="11" t="s">
        <v>188</v>
      </c>
    </row>
    <row r="93" spans="3:48" x14ac:dyDescent="0.2">
      <c r="C93" t="s">
        <v>83</v>
      </c>
      <c r="D93" t="s">
        <v>34</v>
      </c>
      <c r="E93">
        <v>895363</v>
      </c>
      <c r="F93" s="23">
        <v>616665.12589999987</v>
      </c>
      <c r="G93" s="26">
        <v>0.68873197340073233</v>
      </c>
      <c r="O93" t="str" cm="1">
        <f t="array" ref="O93:O96">_xlfn._xlws.SORT(_xlfn.UNIQUE(people[Team]),1,1)</f>
        <v>Delish</v>
      </c>
      <c r="Q93" t="s">
        <v>1</v>
      </c>
      <c r="R93" t="s">
        <v>189</v>
      </c>
      <c r="S93" t="str">
        <f>Q93&amp;IF(Q93=$Q$99,$R$93,"")</f>
        <v>Sales Person</v>
      </c>
    </row>
    <row r="94" spans="3:48" x14ac:dyDescent="0.2">
      <c r="C94" t="s">
        <v>83</v>
      </c>
      <c r="D94" t="s">
        <v>60</v>
      </c>
      <c r="E94">
        <v>860846</v>
      </c>
      <c r="F94" s="23">
        <v>611363.98959999997</v>
      </c>
      <c r="G94" s="26">
        <v>0.7101897314966904</v>
      </c>
      <c r="O94" t="str">
        <v>Jucies</v>
      </c>
      <c r="Q94" t="s">
        <v>147</v>
      </c>
      <c r="S94" t="str">
        <f t="shared" ref="S94:S96" si="16">Q94&amp;IF(Q94=$Q$99,$R$93,"")</f>
        <v>Sales</v>
      </c>
    </row>
    <row r="95" spans="3:48" x14ac:dyDescent="0.2">
      <c r="C95" t="s">
        <v>76</v>
      </c>
      <c r="D95" t="s">
        <v>8</v>
      </c>
      <c r="E95">
        <v>886375</v>
      </c>
      <c r="F95" s="23">
        <v>609886.89379999996</v>
      </c>
      <c r="G95" s="26">
        <v>0.68806869981666896</v>
      </c>
      <c r="O95" t="str">
        <v>Tempo</v>
      </c>
      <c r="Q95" t="s">
        <v>184</v>
      </c>
      <c r="S95" t="str">
        <f t="shared" si="16"/>
        <v>Profit🔽</v>
      </c>
    </row>
    <row r="96" spans="3:48" x14ac:dyDescent="0.2">
      <c r="C96" t="s">
        <v>76</v>
      </c>
      <c r="D96" t="s">
        <v>11</v>
      </c>
      <c r="E96">
        <v>890708</v>
      </c>
      <c r="F96" s="23">
        <v>597186.40569999989</v>
      </c>
      <c r="G96" s="26">
        <v>0.6704626046919977</v>
      </c>
      <c r="O96" t="str">
        <v>Yummies</v>
      </c>
      <c r="Q96" t="s">
        <v>109</v>
      </c>
      <c r="S96" t="str">
        <f t="shared" si="16"/>
        <v>Profit %</v>
      </c>
    </row>
    <row r="97" spans="3:20" x14ac:dyDescent="0.2">
      <c r="C97" t="s">
        <v>76</v>
      </c>
      <c r="D97" t="s">
        <v>57</v>
      </c>
      <c r="E97">
        <v>913325</v>
      </c>
      <c r="F97" s="23">
        <v>640549.34090000007</v>
      </c>
      <c r="G97" s="26">
        <v>0.70133779421345088</v>
      </c>
    </row>
    <row r="98" spans="3:20" ht="15" x14ac:dyDescent="0.25">
      <c r="C98" t="s">
        <v>76</v>
      </c>
      <c r="D98" t="s">
        <v>47</v>
      </c>
      <c r="E98">
        <v>779044</v>
      </c>
      <c r="F98" s="23">
        <v>544767.5064999999</v>
      </c>
      <c r="G98" s="26">
        <v>0.69927694263738616</v>
      </c>
      <c r="Q98" s="11" t="s">
        <v>136</v>
      </c>
    </row>
    <row r="99" spans="3:20" x14ac:dyDescent="0.2">
      <c r="C99" t="s">
        <v>76</v>
      </c>
      <c r="D99" t="s">
        <v>14</v>
      </c>
      <c r="E99">
        <v>963956</v>
      </c>
      <c r="F99" s="23">
        <v>669657.29139999999</v>
      </c>
      <c r="G99" s="26">
        <v>0.69469694820095518</v>
      </c>
      <c r="Q99" s="1" t="str">
        <f>Dashboard!N42</f>
        <v>Profit</v>
      </c>
    </row>
    <row r="100" spans="3:20" x14ac:dyDescent="0.2">
      <c r="C100" t="s">
        <v>76</v>
      </c>
      <c r="D100" t="s">
        <v>44</v>
      </c>
      <c r="E100">
        <v>889602</v>
      </c>
      <c r="F100" s="23">
        <v>592612.33100000001</v>
      </c>
      <c r="G100" s="26">
        <v>0.66615444996751361</v>
      </c>
      <c r="Q100">
        <f>_xlfn.XMATCH(Q99,sort.options.for.peoples.table)</f>
        <v>3</v>
      </c>
    </row>
    <row r="101" spans="3:20" x14ac:dyDescent="0.2">
      <c r="C101" t="s">
        <v>76</v>
      </c>
      <c r="D101" t="s">
        <v>52</v>
      </c>
      <c r="E101">
        <v>797629</v>
      </c>
      <c r="F101" s="23">
        <v>546390.15619999997</v>
      </c>
      <c r="G101" s="26">
        <v>0.68501791710181048</v>
      </c>
    </row>
    <row r="102" spans="3:20" ht="15" x14ac:dyDescent="0.25">
      <c r="C102" t="s">
        <v>76</v>
      </c>
      <c r="D102" t="s">
        <v>20</v>
      </c>
      <c r="E102">
        <v>903616</v>
      </c>
      <c r="F102" s="23">
        <v>646552.99309999996</v>
      </c>
      <c r="G102" s="26">
        <v>0.71551742454759537</v>
      </c>
      <c r="Q102" s="11" t="s">
        <v>185</v>
      </c>
    </row>
    <row r="103" spans="3:20" x14ac:dyDescent="0.2">
      <c r="C103" t="s">
        <v>76</v>
      </c>
      <c r="D103" t="s">
        <v>48</v>
      </c>
      <c r="E103">
        <v>863079</v>
      </c>
      <c r="F103" s="23">
        <v>626822.6372</v>
      </c>
      <c r="G103" s="26">
        <v>0.72626333997235482</v>
      </c>
      <c r="Q103">
        <f>IF(Q100=1,1,-1)</f>
        <v>-1</v>
      </c>
    </row>
    <row r="106" spans="3:20" ht="15" x14ac:dyDescent="0.25">
      <c r="R106" s="11" t="s">
        <v>137</v>
      </c>
    </row>
    <row r="107" spans="3:20" x14ac:dyDescent="0.2">
      <c r="K107" t="s">
        <v>196</v>
      </c>
      <c r="R107" t="s">
        <v>194</v>
      </c>
      <c r="S107" t="s">
        <v>139</v>
      </c>
    </row>
    <row r="108" spans="3:20" x14ac:dyDescent="0.2">
      <c r="D108" s="21" t="s">
        <v>124</v>
      </c>
      <c r="E108" t="s">
        <v>109</v>
      </c>
      <c r="F108" t="s">
        <v>108</v>
      </c>
      <c r="G108" t="s">
        <v>103</v>
      </c>
      <c r="J108" t="s">
        <v>190</v>
      </c>
      <c r="K108" t="s">
        <v>61</v>
      </c>
      <c r="L108" t="s">
        <v>191</v>
      </c>
      <c r="M108" t="s">
        <v>192</v>
      </c>
      <c r="N108" t="s">
        <v>193</v>
      </c>
      <c r="O108" t="s">
        <v>184</v>
      </c>
      <c r="P108" t="s">
        <v>5</v>
      </c>
      <c r="R108" t="s">
        <v>184</v>
      </c>
      <c r="S108" t="s">
        <v>5</v>
      </c>
      <c r="T108" t="s">
        <v>195</v>
      </c>
    </row>
    <row r="109" spans="3:20" x14ac:dyDescent="0.2">
      <c r="D109" s="22" t="s">
        <v>64</v>
      </c>
      <c r="E109" s="26">
        <v>0.68967125628528858</v>
      </c>
      <c r="F109" s="23">
        <v>7410059.0173999965</v>
      </c>
      <c r="G109">
        <v>10744335</v>
      </c>
      <c r="J109">
        <f>COUNTIFS($C$6:$C$10,D109)</f>
        <v>1</v>
      </c>
      <c r="K109" t="str">
        <f>D109&amp;IF(J109&gt;0,$K$107,"")</f>
        <v>Bars◉</v>
      </c>
      <c r="L109">
        <v>1</v>
      </c>
      <c r="M109" s="26">
        <f>E109</f>
        <v>0.68967125628528858</v>
      </c>
      <c r="N109" s="47">
        <f>1-M109</f>
        <v>0.31032874371471142</v>
      </c>
      <c r="O109" s="23">
        <f>F109</f>
        <v>7410059.0173999965</v>
      </c>
      <c r="P109" s="23">
        <f>G109</f>
        <v>10744335</v>
      </c>
      <c r="R109" t="str">
        <f>TEXT(O109,R$107)</f>
        <v>$7.41</v>
      </c>
      <c r="S109" t="str">
        <f>TEXT(P109,S$107)</f>
        <v>$10.74 m</v>
      </c>
      <c r="T109" t="str">
        <f>R109&amp;" / "&amp;S109</f>
        <v>$7.41 / $10.74 m</v>
      </c>
    </row>
    <row r="110" spans="3:20" x14ac:dyDescent="0.2">
      <c r="D110" s="22" t="s">
        <v>66</v>
      </c>
      <c r="E110" s="26">
        <v>0.60270394769867852</v>
      </c>
      <c r="F110" s="23">
        <v>4267036.0657000057</v>
      </c>
      <c r="G110">
        <v>7079821</v>
      </c>
      <c r="J110">
        <f t="shared" ref="J110:J111" si="17">COUNTIFS($C$6:$C$10,D110)</f>
        <v>0</v>
      </c>
      <c r="K110" t="str">
        <f t="shared" ref="K110:K111" si="18">D110&amp;IF(J110&gt;0,$K$107,"")</f>
        <v>Bites</v>
      </c>
      <c r="L110">
        <v>1</v>
      </c>
      <c r="M110" s="26">
        <f t="shared" ref="M110:M111" si="19">E110</f>
        <v>0.60270394769867852</v>
      </c>
      <c r="N110" s="47">
        <f t="shared" ref="N110:N111" si="20">1-M110</f>
        <v>0.39729605230132148</v>
      </c>
      <c r="O110" s="23">
        <f t="shared" ref="O110:P111" si="21">F110</f>
        <v>4267036.0657000057</v>
      </c>
      <c r="P110" s="23">
        <f t="shared" si="21"/>
        <v>7079821</v>
      </c>
      <c r="R110" t="str">
        <f t="shared" ref="R110:S111" si="22">TEXT(O110,R$107)</f>
        <v>$4.27</v>
      </c>
      <c r="S110" t="str">
        <f t="shared" si="22"/>
        <v>$7.08 m</v>
      </c>
      <c r="T110" t="str">
        <f t="shared" ref="T110:T111" si="23">R110&amp;" / "&amp;S110</f>
        <v>$4.27 / $7.08 m</v>
      </c>
    </row>
    <row r="111" spans="3:20" x14ac:dyDescent="0.2">
      <c r="D111" s="22" t="s">
        <v>67</v>
      </c>
      <c r="E111" s="26">
        <v>0.86216135519034354</v>
      </c>
      <c r="F111" s="23">
        <v>3343087.5573999998</v>
      </c>
      <c r="G111">
        <v>3877566</v>
      </c>
      <c r="J111">
        <f t="shared" si="17"/>
        <v>0</v>
      </c>
      <c r="K111" t="str">
        <f t="shared" si="18"/>
        <v>Other</v>
      </c>
      <c r="L111">
        <v>1</v>
      </c>
      <c r="M111" s="26">
        <f t="shared" si="19"/>
        <v>0.86216135519034354</v>
      </c>
      <c r="N111" s="47">
        <f t="shared" si="20"/>
        <v>0.13783864480965646</v>
      </c>
      <c r="O111" s="23">
        <f t="shared" si="21"/>
        <v>3343087.5573999998</v>
      </c>
      <c r="P111" s="23">
        <f t="shared" si="21"/>
        <v>3877566</v>
      </c>
      <c r="R111" t="str">
        <f t="shared" si="22"/>
        <v>$3.34</v>
      </c>
      <c r="S111" t="str">
        <f t="shared" si="22"/>
        <v>$3.88 m</v>
      </c>
      <c r="T111" t="str">
        <f t="shared" si="23"/>
        <v>$3.34 / $3.88 m</v>
      </c>
    </row>
    <row r="116" spans="3:60" x14ac:dyDescent="0.2">
      <c r="AF116" t="str" cm="1">
        <f t="array" ref="AF116:AF119">graph.options</f>
        <v>Shipped?</v>
      </c>
    </row>
    <row r="117" spans="3:60" x14ac:dyDescent="0.2">
      <c r="AF117" t="str">
        <v>Sales</v>
      </c>
    </row>
    <row r="118" spans="3:60" x14ac:dyDescent="0.2">
      <c r="AF118" t="str">
        <v>Boxes</v>
      </c>
    </row>
    <row r="119" spans="3:60" x14ac:dyDescent="0.2">
      <c r="AF119" t="str">
        <v>Shipments</v>
      </c>
    </row>
    <row r="122" spans="3:60" x14ac:dyDescent="0.2">
      <c r="AH122" t="s">
        <v>208</v>
      </c>
      <c r="AI122" s="33" t="str">
        <f>Dashboard!W15</f>
        <v>Sales</v>
      </c>
    </row>
    <row r="123" spans="3:60" x14ac:dyDescent="0.2">
      <c r="D123" t="s">
        <v>206</v>
      </c>
      <c r="E123">
        <f>2*MAX(E126:E147)</f>
        <v>2178624</v>
      </c>
      <c r="O123" t="s">
        <v>203</v>
      </c>
      <c r="AF123" t="s">
        <v>207</v>
      </c>
      <c r="AI123">
        <f>_xlfn.XMATCH(AI122,graph.options)</f>
        <v>2</v>
      </c>
    </row>
    <row r="124" spans="3:60" x14ac:dyDescent="0.2">
      <c r="W124" t="s">
        <v>205</v>
      </c>
    </row>
    <row r="125" spans="3:60" ht="15" x14ac:dyDescent="0.25">
      <c r="C125" s="21" t="s">
        <v>61</v>
      </c>
      <c r="D125" s="21" t="s">
        <v>3</v>
      </c>
      <c r="E125" t="s">
        <v>103</v>
      </c>
      <c r="F125" t="s">
        <v>104</v>
      </c>
      <c r="G125" t="s">
        <v>108</v>
      </c>
      <c r="H125" t="s">
        <v>109</v>
      </c>
      <c r="K125" s="11" t="s">
        <v>146</v>
      </c>
      <c r="N125" s="49" t="s">
        <v>204</v>
      </c>
      <c r="O125" s="11" t="s">
        <v>61</v>
      </c>
      <c r="P125" s="11" t="s">
        <v>3</v>
      </c>
      <c r="Q125" s="11" t="s">
        <v>147</v>
      </c>
      <c r="R125" s="11" t="s">
        <v>7</v>
      </c>
      <c r="S125" s="11" t="s">
        <v>184</v>
      </c>
      <c r="T125" s="11" t="s">
        <v>109</v>
      </c>
      <c r="W125" s="11" t="str" cm="1">
        <f t="array" ref="W125:AA125">TRANSPOSE(L126:L130)</f>
        <v>Product</v>
      </c>
      <c r="X125" s="11" t="str">
        <v>Sales🔽</v>
      </c>
      <c r="Y125" s="11" t="str">
        <v>Boxes</v>
      </c>
      <c r="Z125" s="11" t="str">
        <v>Profit</v>
      </c>
      <c r="AA125" s="11" t="str">
        <v>Profit %</v>
      </c>
      <c r="AB125" s="11" t="s">
        <v>204</v>
      </c>
      <c r="AF125" t="s">
        <v>3</v>
      </c>
      <c r="AG125" s="44">
        <f>starting.date.for.trend+1</f>
        <v>44565</v>
      </c>
      <c r="AH125" s="44">
        <f>AG125+1</f>
        <v>44566</v>
      </c>
      <c r="AI125" s="44">
        <f>AH125+1</f>
        <v>44567</v>
      </c>
      <c r="AJ125" s="44">
        <f t="shared" ref="AJ125:AY125" si="24">AI125+1</f>
        <v>44568</v>
      </c>
      <c r="AK125" s="44">
        <f t="shared" si="24"/>
        <v>44569</v>
      </c>
      <c r="AL125" s="44">
        <f t="shared" si="24"/>
        <v>44570</v>
      </c>
      <c r="AM125" s="44">
        <f t="shared" si="24"/>
        <v>44571</v>
      </c>
      <c r="AN125" s="44">
        <f t="shared" si="24"/>
        <v>44572</v>
      </c>
      <c r="AO125" s="44">
        <f t="shared" si="24"/>
        <v>44573</v>
      </c>
      <c r="AP125" s="44">
        <f t="shared" si="24"/>
        <v>44574</v>
      </c>
      <c r="AQ125" s="44">
        <f t="shared" si="24"/>
        <v>44575</v>
      </c>
      <c r="AR125" s="44">
        <f t="shared" si="24"/>
        <v>44576</v>
      </c>
      <c r="AS125" s="44">
        <f t="shared" si="24"/>
        <v>44577</v>
      </c>
      <c r="AT125" s="44">
        <f t="shared" si="24"/>
        <v>44578</v>
      </c>
      <c r="AU125" s="44">
        <f t="shared" si="24"/>
        <v>44579</v>
      </c>
      <c r="AV125" s="44">
        <f t="shared" si="24"/>
        <v>44580</v>
      </c>
      <c r="AW125" s="44">
        <f t="shared" si="24"/>
        <v>44581</v>
      </c>
      <c r="AX125" s="44">
        <f t="shared" si="24"/>
        <v>44582</v>
      </c>
      <c r="AY125" s="44">
        <f t="shared" si="24"/>
        <v>44583</v>
      </c>
      <c r="AZ125" s="44">
        <f>AY125+1</f>
        <v>44584</v>
      </c>
      <c r="BA125" s="44">
        <f>AZ125+1</f>
        <v>44585</v>
      </c>
      <c r="BB125" s="44">
        <f t="shared" ref="BB125:BD125" si="25">BA125+1</f>
        <v>44586</v>
      </c>
      <c r="BC125" s="44">
        <f t="shared" si="25"/>
        <v>44587</v>
      </c>
      <c r="BD125" s="44">
        <f t="shared" si="25"/>
        <v>44588</v>
      </c>
      <c r="BE125" s="44">
        <f>BD125+1</f>
        <v>44589</v>
      </c>
      <c r="BF125" s="44">
        <f>BE125+1</f>
        <v>44590</v>
      </c>
      <c r="BG125" s="44">
        <f t="shared" ref="BG125:BH125" si="26">BF125+1</f>
        <v>44591</v>
      </c>
      <c r="BH125" s="44">
        <f t="shared" si="26"/>
        <v>44592</v>
      </c>
    </row>
    <row r="126" spans="3:60" x14ac:dyDescent="0.2">
      <c r="C126" t="s">
        <v>64</v>
      </c>
      <c r="D126" t="s">
        <v>22</v>
      </c>
      <c r="E126">
        <v>1015994</v>
      </c>
      <c r="F126">
        <v>66004</v>
      </c>
      <c r="G126" s="23">
        <v>970068.41680000001</v>
      </c>
      <c r="H126" s="26">
        <v>0.95479738738614595</v>
      </c>
      <c r="J126" t="s">
        <v>189</v>
      </c>
      <c r="K126" t="s">
        <v>3</v>
      </c>
      <c r="L126" t="str">
        <f>K126&amp;IF(K126=$L$132,$J$126,"")</f>
        <v>Product</v>
      </c>
      <c r="N126" s="50">
        <f>COUNTIFS($C$6:$C$8,O126)</f>
        <v>1</v>
      </c>
      <c r="O126" t="str" cm="1">
        <f t="array" ref="O126:T147">C126:H147</f>
        <v>Bars</v>
      </c>
      <c r="P126" t="str">
        <v>85% Dark Bars</v>
      </c>
      <c r="Q126">
        <v>1015994</v>
      </c>
      <c r="R126">
        <v>66004</v>
      </c>
      <c r="S126">
        <v>970068.41680000001</v>
      </c>
      <c r="T126">
        <v>0.95479738738614595</v>
      </c>
      <c r="W126" t="str" cm="1">
        <f t="array" ref="W126:AA147">_xlfn.SORTBY(P126:T147,N126:N147,-1,INDEX(P126:T147,,L133),L135)</f>
        <v>99% Dark &amp; Pure</v>
      </c>
      <c r="X126">
        <v>1089312</v>
      </c>
      <c r="Y126">
        <v>60878</v>
      </c>
      <c r="Z126">
        <v>805669.22240000009</v>
      </c>
      <c r="AA126">
        <v>0.73961291383919403</v>
      </c>
      <c r="AB126" cm="1">
        <f t="array" ref="AB126:AB147">_xlfn.SORTBY(N126:N147,N126:N147,-1,INDEX(P126:T147,,L133),L135)</f>
        <v>1</v>
      </c>
      <c r="AF126" t="str" cm="1">
        <f t="array" ref="AF126:AF147">W126:W147</f>
        <v>99% Dark &amp; Pure</v>
      </c>
      <c r="AG126" cm="1">
        <f t="array" ref="AG126:AG147">CHOOSE($AI$123,COUNTIFS(sales[Product],_xlfn.ANCHORARRAY($AF126),sales[Date],AG$125)&gt;0, SUMIFS(sales[Amount],sales[Product],_xlfn.ANCHORARRAY($AF126),sales[Date],AG$125), SUMIFS(sales[Boxes],sales[Product],_xlfn.ANCHORARRAY($AF126),sales[Date],AG$125), COUNTIFS(sales[Product],_xlfn.ANCHORARRAY($AF126),sales[Date], AG$125))</f>
        <v>7749</v>
      </c>
      <c r="AH126" cm="1">
        <f t="array" ref="AH126:AH147">CHOOSE($AI$123,COUNTIFS(sales[Product],_xlfn.ANCHORARRAY($AF126),sales[Date],AH$125)&gt;0, SUMIFS(sales[Amount],sales[Product],_xlfn.ANCHORARRAY($AF126),sales[Date],AH$125), SUMIFS(sales[Boxes],sales[Product],_xlfn.ANCHORARRAY($AF126),sales[Date],AH$125), COUNTIFS(sales[Product],_xlfn.ANCHORARRAY($AF126),sales[Date], AH$125))</f>
        <v>22610</v>
      </c>
      <c r="AI126" cm="1">
        <f t="array" ref="AI126:AI147">CHOOSE($AI$123,COUNTIFS(sales[Product],_xlfn.ANCHORARRAY($AF126),sales[Date],AI$125)&gt;0, SUMIFS(sales[Amount],sales[Product],_xlfn.ANCHORARRAY($AF126),sales[Date],AI$125), SUMIFS(sales[Boxes],sales[Product],_xlfn.ANCHORARRAY($AF126),sales[Date],AI$125), COUNTIFS(sales[Product],_xlfn.ANCHORARRAY($AF126),sales[Date], AI$125))</f>
        <v>2401</v>
      </c>
      <c r="AJ126" cm="1">
        <f t="array" ref="AJ126:AJ147">CHOOSE($AI$123,COUNTIFS(sales[Product],_xlfn.ANCHORARRAY($AF126),sales[Date],AJ$125)&gt;0, SUMIFS(sales[Amount],sales[Product],_xlfn.ANCHORARRAY($AF126),sales[Date],AJ$125), SUMIFS(sales[Boxes],sales[Product],_xlfn.ANCHORARRAY($AF126),sales[Date],AJ$125), COUNTIFS(sales[Product],_xlfn.ANCHORARRAY($AF126),sales[Date], AJ$125))</f>
        <v>3843</v>
      </c>
      <c r="AK126" cm="1">
        <f t="array" ref="AK126:AK147">CHOOSE($AI$123,COUNTIFS(sales[Product],_xlfn.ANCHORARRAY($AF126),sales[Date],AK$125)&gt;0, SUMIFS(sales[Amount],sales[Product],_xlfn.ANCHORARRAY($AF126),sales[Date],AK$125), SUMIFS(sales[Boxes],sales[Product],_xlfn.ANCHORARRAY($AF126),sales[Date],AK$125), COUNTIFS(sales[Product],_xlfn.ANCHORARRAY($AF126),sales[Date], AK$125))</f>
        <v>0</v>
      </c>
      <c r="AL126" cm="1">
        <f t="array" ref="AL126:AL147">CHOOSE($AI$123,COUNTIFS(sales[Product],_xlfn.ANCHORARRAY($AF126),sales[Date],AL$125)&gt;0, SUMIFS(sales[Amount],sales[Product],_xlfn.ANCHORARRAY($AF126),sales[Date],AL$125), SUMIFS(sales[Boxes],sales[Product],_xlfn.ANCHORARRAY($AF126),sales[Date],AL$125), COUNTIFS(sales[Product],_xlfn.ANCHORARRAY($AF126),sales[Date], AL$125))</f>
        <v>0</v>
      </c>
      <c r="AM126" cm="1">
        <f t="array" ref="AM126:AM147">CHOOSE($AI$123,COUNTIFS(sales[Product],_xlfn.ANCHORARRAY($AF126),sales[Date],AM$125)&gt;0, SUMIFS(sales[Amount],sales[Product],_xlfn.ANCHORARRAY($AF126),sales[Date],AM$125), SUMIFS(sales[Boxes],sales[Product],_xlfn.ANCHORARRAY($AF126),sales[Date],AM$125), COUNTIFS(sales[Product],_xlfn.ANCHORARRAY($AF126),sales[Date], AM$125))</f>
        <v>10402</v>
      </c>
      <c r="AN126" cm="1">
        <f t="array" ref="AN126:AN147">CHOOSE($AI$123,COUNTIFS(sales[Product],_xlfn.ANCHORARRAY($AF126),sales[Date],AN$125)&gt;0, SUMIFS(sales[Amount],sales[Product],_xlfn.ANCHORARRAY($AF126),sales[Date],AN$125), SUMIFS(sales[Boxes],sales[Product],_xlfn.ANCHORARRAY($AF126),sales[Date],AN$125), COUNTIFS(sales[Product],_xlfn.ANCHORARRAY($AF126),sales[Date], AN$125))</f>
        <v>14511</v>
      </c>
      <c r="AO126" cm="1">
        <f t="array" ref="AO126:AO147">CHOOSE($AI$123,COUNTIFS(sales[Product],_xlfn.ANCHORARRAY($AF126),sales[Date],AO$125)&gt;0, SUMIFS(sales[Amount],sales[Product],_xlfn.ANCHORARRAY($AF126),sales[Date],AO$125), SUMIFS(sales[Boxes],sales[Product],_xlfn.ANCHORARRAY($AF126),sales[Date],AO$125), COUNTIFS(sales[Product],_xlfn.ANCHORARRAY($AF126),sales[Date], AO$125))</f>
        <v>21910</v>
      </c>
      <c r="AP126" cm="1">
        <f t="array" ref="AP126:AP147">CHOOSE($AI$123,COUNTIFS(sales[Product],_xlfn.ANCHORARRAY($AF126),sales[Date],AP$125)&gt;0, SUMIFS(sales[Amount],sales[Product],_xlfn.ANCHORARRAY($AF126),sales[Date],AP$125), SUMIFS(sales[Boxes],sales[Product],_xlfn.ANCHORARRAY($AF126),sales[Date],AP$125), COUNTIFS(sales[Product],_xlfn.ANCHORARRAY($AF126),sales[Date], AP$125))</f>
        <v>0</v>
      </c>
      <c r="AQ126" cm="1">
        <f t="array" ref="AQ126:AQ147">CHOOSE($AI$123,COUNTIFS(sales[Product],_xlfn.ANCHORARRAY($AF126),sales[Date],AQ$125)&gt;0, SUMIFS(sales[Amount],sales[Product],_xlfn.ANCHORARRAY($AF126),sales[Date],AQ$125), SUMIFS(sales[Boxes],sales[Product],_xlfn.ANCHORARRAY($AF126),sales[Date],AQ$125), COUNTIFS(sales[Product],_xlfn.ANCHORARRAY($AF126),sales[Date], AQ$125))</f>
        <v>0</v>
      </c>
      <c r="AR126" cm="1">
        <f t="array" ref="AR126:AR147">CHOOSE($AI$123,COUNTIFS(sales[Product],_xlfn.ANCHORARRAY($AF126),sales[Date],AR$125)&gt;0, SUMIFS(sales[Amount],sales[Product],_xlfn.ANCHORARRAY($AF126),sales[Date],AR$125), SUMIFS(sales[Boxes],sales[Product],_xlfn.ANCHORARRAY($AF126),sales[Date],AR$125), COUNTIFS(sales[Product],_xlfn.ANCHORARRAY($AF126),sales[Date], AR$125))</f>
        <v>0</v>
      </c>
      <c r="AS126" cm="1">
        <f t="array" ref="AS126:AS147">CHOOSE($AI$123,COUNTIFS(sales[Product],_xlfn.ANCHORARRAY($AF126),sales[Date],AS$125)&gt;0, SUMIFS(sales[Amount],sales[Product],_xlfn.ANCHORARRAY($AF126),sales[Date],AS$125), SUMIFS(sales[Boxes],sales[Product],_xlfn.ANCHORARRAY($AF126),sales[Date],AS$125), COUNTIFS(sales[Product],_xlfn.ANCHORARRAY($AF126),sales[Date], AS$125))</f>
        <v>0</v>
      </c>
      <c r="AT126" cm="1">
        <f t="array" ref="AT126:AT147">CHOOSE($AI$123,COUNTIFS(sales[Product],_xlfn.ANCHORARRAY($AF126),sales[Date],AT$125)&gt;0, SUMIFS(sales[Amount],sales[Product],_xlfn.ANCHORARRAY($AF126),sales[Date],AT$125), SUMIFS(sales[Boxes],sales[Product],_xlfn.ANCHORARRAY($AF126),sales[Date],AT$125), COUNTIFS(sales[Product],_xlfn.ANCHORARRAY($AF126),sales[Date], AT$125))</f>
        <v>10206</v>
      </c>
      <c r="AU126" cm="1">
        <f t="array" ref="AU126:AU147">CHOOSE($AI$123,COUNTIFS(sales[Product],_xlfn.ANCHORARRAY($AF126),sales[Date],AU$125)&gt;0, SUMIFS(sales[Amount],sales[Product],_xlfn.ANCHORARRAY($AF126),sales[Date],AU$125), SUMIFS(sales[Boxes],sales[Product],_xlfn.ANCHORARRAY($AF126),sales[Date],AU$125), COUNTIFS(sales[Product],_xlfn.ANCHORARRAY($AF126),sales[Date], AU$125))</f>
        <v>9849</v>
      </c>
      <c r="AV126" cm="1">
        <f t="array" ref="AV126:AV147">CHOOSE($AI$123,COUNTIFS(sales[Product],_xlfn.ANCHORARRAY($AF126),sales[Date],AV$125)&gt;0, SUMIFS(sales[Amount],sales[Product],_xlfn.ANCHORARRAY($AF126),sales[Date],AV$125), SUMIFS(sales[Boxes],sales[Product],_xlfn.ANCHORARRAY($AF126),sales[Date],AV$125), COUNTIFS(sales[Product],_xlfn.ANCHORARRAY($AF126),sales[Date], AV$125))</f>
        <v>13349</v>
      </c>
      <c r="AW126" cm="1">
        <f t="array" ref="AW126:AW147">CHOOSE($AI$123,COUNTIFS(sales[Product],_xlfn.ANCHORARRAY($AF126),sales[Date],AW$125)&gt;0, SUMIFS(sales[Amount],sales[Product],_xlfn.ANCHORARRAY($AF126),sales[Date],AW$125), SUMIFS(sales[Boxes],sales[Product],_xlfn.ANCHORARRAY($AF126),sales[Date],AW$125), COUNTIFS(sales[Product],_xlfn.ANCHORARRAY($AF126),sales[Date], AW$125))</f>
        <v>0</v>
      </c>
      <c r="AX126" cm="1">
        <f t="array" ref="AX126:AX147">CHOOSE($AI$123,COUNTIFS(sales[Product],_xlfn.ANCHORARRAY($AF126),sales[Date],AX$125)&gt;0, SUMIFS(sales[Amount],sales[Product],_xlfn.ANCHORARRAY($AF126),sales[Date],AX$125), SUMIFS(sales[Boxes],sales[Product],_xlfn.ANCHORARRAY($AF126),sales[Date],AX$125), COUNTIFS(sales[Product],_xlfn.ANCHORARRAY($AF126),sales[Date], AX$125))</f>
        <v>0</v>
      </c>
      <c r="AY126" cm="1">
        <f t="array" ref="AY126:AY147">CHOOSE($AI$123,COUNTIFS(sales[Product],_xlfn.ANCHORARRAY($AF126),sales[Date],AY$125)&gt;0, SUMIFS(sales[Amount],sales[Product],_xlfn.ANCHORARRAY($AF126),sales[Date],AY$125), SUMIFS(sales[Boxes],sales[Product],_xlfn.ANCHORARRAY($AF126),sales[Date],AY$125), COUNTIFS(sales[Product],_xlfn.ANCHORARRAY($AF126),sales[Date], AY$125))</f>
        <v>0</v>
      </c>
      <c r="AZ126" cm="1">
        <f t="array" ref="AZ126:AZ147">CHOOSE($AI$123,COUNTIFS(sales[Product],_xlfn.ANCHORARRAY($AF126),sales[Date],AZ$125)&gt;0, SUMIFS(sales[Amount],sales[Product],_xlfn.ANCHORARRAY($AF126),sales[Date],AZ$125), SUMIFS(sales[Boxes],sales[Product],_xlfn.ANCHORARRAY($AF126),sales[Date],AZ$125), COUNTIFS(sales[Product],_xlfn.ANCHORARRAY($AF126),sales[Date], AZ$125))</f>
        <v>0</v>
      </c>
      <c r="BA126" cm="1">
        <f t="array" ref="BA126:BA147">CHOOSE($AI$123,COUNTIFS(sales[Product],_xlfn.ANCHORARRAY($AF126),sales[Date],BA$125)&gt;0, SUMIFS(sales[Amount],sales[Product],_xlfn.ANCHORARRAY($AF126),sales[Date],BA$125), SUMIFS(sales[Boxes],sales[Product],_xlfn.ANCHORARRAY($AF126),sales[Date],BA$125), COUNTIFS(sales[Product],_xlfn.ANCHORARRAY($AF126),sales[Date], BA$125))</f>
        <v>6363</v>
      </c>
      <c r="BB126" cm="1">
        <f t="array" ref="BB126:BB147">CHOOSE($AI$123,COUNTIFS(sales[Product],_xlfn.ANCHORARRAY($AF126),sales[Date],BB$125)&gt;0, SUMIFS(sales[Amount],sales[Product],_xlfn.ANCHORARRAY($AF126),sales[Date],BB$125), SUMIFS(sales[Boxes],sales[Product],_xlfn.ANCHORARRAY($AF126),sales[Date],BB$125), COUNTIFS(sales[Product],_xlfn.ANCHORARRAY($AF126),sales[Date], BB$125))</f>
        <v>11004</v>
      </c>
      <c r="BC126" cm="1">
        <f t="array" ref="BC126:BC147">CHOOSE($AI$123,COUNTIFS(sales[Product],_xlfn.ANCHORARRAY($AF126),sales[Date],BC$125)&gt;0, SUMIFS(sales[Amount],sales[Product],_xlfn.ANCHORARRAY($AF126),sales[Date],BC$125), SUMIFS(sales[Boxes],sales[Product],_xlfn.ANCHORARRAY($AF126),sales[Date],BC$125), COUNTIFS(sales[Product],_xlfn.ANCHORARRAY($AF126),sales[Date], BC$125))</f>
        <v>5033</v>
      </c>
      <c r="BD126" cm="1">
        <f t="array" ref="BD126:BD147">CHOOSE($AI$123,COUNTIFS(sales[Product],_xlfn.ANCHORARRAY($AF126),sales[Date],BD$125)&gt;0, SUMIFS(sales[Amount],sales[Product],_xlfn.ANCHORARRAY($AF126),sales[Date],BD$125), SUMIFS(sales[Boxes],sales[Product],_xlfn.ANCHORARRAY($AF126),sales[Date],BD$125), COUNTIFS(sales[Product],_xlfn.ANCHORARRAY($AF126),sales[Date], BD$125))</f>
        <v>20846</v>
      </c>
      <c r="BE126" cm="1">
        <f t="array" ref="BE126:BE147">CHOOSE($AI$123,COUNTIFS(sales[Product],_xlfn.ANCHORARRAY($AF126),sales[Date],BE$125)&gt;0, SUMIFS(sales[Amount],sales[Product],_xlfn.ANCHORARRAY($AF126),sales[Date],BE$125), SUMIFS(sales[Boxes],sales[Product],_xlfn.ANCHORARRAY($AF126),sales[Date],BE$125), COUNTIFS(sales[Product],_xlfn.ANCHORARRAY($AF126),sales[Date], BE$125))</f>
        <v>15148</v>
      </c>
      <c r="BF126" cm="1">
        <f t="array" ref="BF126:BF147">CHOOSE($AI$123,COUNTIFS(sales[Product],_xlfn.ANCHORARRAY($AF126),sales[Date],BF$125)&gt;0, SUMIFS(sales[Amount],sales[Product],_xlfn.ANCHORARRAY($AF126),sales[Date],BF$125), SUMIFS(sales[Boxes],sales[Product],_xlfn.ANCHORARRAY($AF126),sales[Date],BF$125), COUNTIFS(sales[Product],_xlfn.ANCHORARRAY($AF126),sales[Date], BF$125))</f>
        <v>0</v>
      </c>
      <c r="BG126" cm="1">
        <f t="array" ref="BG126:BG147">CHOOSE($AI$123,COUNTIFS(sales[Product],_xlfn.ANCHORARRAY($AF126),sales[Date],BG$125)&gt;0, SUMIFS(sales[Amount],sales[Product],_xlfn.ANCHORARRAY($AF126),sales[Date],BG$125), SUMIFS(sales[Boxes],sales[Product],_xlfn.ANCHORARRAY($AF126),sales[Date],BG$125), COUNTIFS(sales[Product],_xlfn.ANCHORARRAY($AF126),sales[Date], BG$125))</f>
        <v>0</v>
      </c>
      <c r="BH126" cm="1">
        <f t="array" ref="BH126:BH147">CHOOSE($AI$123,COUNTIFS(sales[Product],_xlfn.ANCHORARRAY($AF126),sales[Date],BH$125)&gt;0, SUMIFS(sales[Amount],sales[Product],_xlfn.ANCHORARRAY($AF126),sales[Date],BH$125), SUMIFS(sales[Boxes],sales[Product],_xlfn.ANCHORARRAY($AF126),sales[Date],BH$125), COUNTIFS(sales[Product],_xlfn.ANCHORARRAY($AF126),sales[Date], BH$125))</f>
        <v>0</v>
      </c>
    </row>
    <row r="127" spans="3:60" x14ac:dyDescent="0.2">
      <c r="C127" t="s">
        <v>64</v>
      </c>
      <c r="D127" t="s">
        <v>16</v>
      </c>
      <c r="E127">
        <v>1089312</v>
      </c>
      <c r="F127">
        <v>60878</v>
      </c>
      <c r="G127" s="23">
        <v>805669.22240000009</v>
      </c>
      <c r="H127" s="26">
        <v>0.73961291383919403</v>
      </c>
      <c r="K127" t="s">
        <v>147</v>
      </c>
      <c r="L127" t="str">
        <f t="shared" ref="L127:L130" si="27">K127&amp;IF(K127=$L$132,$J$126,"")</f>
        <v>Sales🔽</v>
      </c>
      <c r="N127" s="50">
        <f t="shared" ref="N127:N147" si="28">COUNTIFS($C$6:$C$8,O127)</f>
        <v>1</v>
      </c>
      <c r="O127" t="str">
        <v>Bars</v>
      </c>
      <c r="P127" t="str">
        <v>99% Dark &amp; Pure</v>
      </c>
      <c r="Q127">
        <v>1089312</v>
      </c>
      <c r="R127">
        <v>60878</v>
      </c>
      <c r="S127">
        <v>805669.22240000009</v>
      </c>
      <c r="T127">
        <v>0.73961291383919403</v>
      </c>
      <c r="W127" t="str">
        <v>85% Dark Bars</v>
      </c>
      <c r="X127">
        <v>1015994</v>
      </c>
      <c r="Y127">
        <v>66004</v>
      </c>
      <c r="Z127">
        <v>970068.41680000001</v>
      </c>
      <c r="AA127">
        <v>0.95479738738614595</v>
      </c>
      <c r="AB127">
        <v>1</v>
      </c>
      <c r="AF127" t="str">
        <v>85% Dark Bars</v>
      </c>
      <c r="AG127">
        <v>0</v>
      </c>
      <c r="AH127">
        <v>0</v>
      </c>
      <c r="AI127">
        <v>0</v>
      </c>
      <c r="AJ127">
        <v>15078</v>
      </c>
      <c r="AK127">
        <v>0</v>
      </c>
      <c r="AL127">
        <v>0</v>
      </c>
      <c r="AM127">
        <v>12243</v>
      </c>
      <c r="AN127">
        <v>0</v>
      </c>
      <c r="AO127">
        <v>1526</v>
      </c>
      <c r="AP127">
        <v>12264</v>
      </c>
      <c r="AQ127">
        <v>0</v>
      </c>
      <c r="AR127">
        <v>0</v>
      </c>
      <c r="AS127">
        <v>0</v>
      </c>
      <c r="AT127">
        <v>4319</v>
      </c>
      <c r="AU127">
        <v>24633</v>
      </c>
      <c r="AV127">
        <v>16653</v>
      </c>
      <c r="AW127">
        <v>0</v>
      </c>
      <c r="AX127">
        <v>24045</v>
      </c>
      <c r="AY127">
        <v>0</v>
      </c>
      <c r="AZ127">
        <v>0</v>
      </c>
      <c r="BA127">
        <v>11480</v>
      </c>
      <c r="BB127">
        <v>6580</v>
      </c>
      <c r="BC127">
        <v>11984</v>
      </c>
      <c r="BD127">
        <v>0</v>
      </c>
      <c r="BE127">
        <v>0</v>
      </c>
      <c r="BF127">
        <v>0</v>
      </c>
      <c r="BG127">
        <v>0</v>
      </c>
      <c r="BH127">
        <v>0</v>
      </c>
    </row>
    <row r="128" spans="3:60" x14ac:dyDescent="0.2">
      <c r="C128" t="s">
        <v>64</v>
      </c>
      <c r="D128" t="s">
        <v>51</v>
      </c>
      <c r="E128">
        <v>995050</v>
      </c>
      <c r="F128">
        <v>52337</v>
      </c>
      <c r="G128" s="23">
        <v>296429.55550000025</v>
      </c>
      <c r="H128" s="26">
        <v>0.29790418119692502</v>
      </c>
      <c r="K128" t="s">
        <v>7</v>
      </c>
      <c r="L128" t="str">
        <f t="shared" si="27"/>
        <v>Boxes</v>
      </c>
      <c r="N128" s="50">
        <f t="shared" si="28"/>
        <v>1</v>
      </c>
      <c r="O128" t="str">
        <v>Bars</v>
      </c>
      <c r="P128" t="str">
        <v>Almond Choco</v>
      </c>
      <c r="Q128">
        <v>995050</v>
      </c>
      <c r="R128">
        <v>52337</v>
      </c>
      <c r="S128">
        <v>296429.55550000025</v>
      </c>
      <c r="T128">
        <v>0.29790418119692502</v>
      </c>
      <c r="W128" t="str">
        <v>Raspberry Choco</v>
      </c>
      <c r="X128">
        <v>1005046</v>
      </c>
      <c r="Y128">
        <v>55688</v>
      </c>
      <c r="Z128">
        <v>665443.86959999998</v>
      </c>
      <c r="AA128">
        <v>0.66210289837480074</v>
      </c>
      <c r="AB128">
        <v>1</v>
      </c>
      <c r="AF128" t="str">
        <v>Raspberry Choco</v>
      </c>
      <c r="AG128">
        <v>0</v>
      </c>
      <c r="AH128">
        <v>0</v>
      </c>
      <c r="AI128">
        <v>6552</v>
      </c>
      <c r="AJ128">
        <v>18011</v>
      </c>
      <c r="AK128">
        <v>0</v>
      </c>
      <c r="AL128">
        <v>0</v>
      </c>
      <c r="AM128">
        <v>6468</v>
      </c>
      <c r="AN128">
        <v>21903</v>
      </c>
      <c r="AO128">
        <v>3339</v>
      </c>
      <c r="AP128">
        <v>32088</v>
      </c>
      <c r="AQ128">
        <v>13517</v>
      </c>
      <c r="AR128">
        <v>0</v>
      </c>
      <c r="AS128">
        <v>0</v>
      </c>
      <c r="AT128">
        <v>0</v>
      </c>
      <c r="AU128">
        <v>1197</v>
      </c>
      <c r="AV128">
        <v>13272</v>
      </c>
      <c r="AW128">
        <v>0</v>
      </c>
      <c r="AX128">
        <v>30947</v>
      </c>
      <c r="AY128">
        <v>0</v>
      </c>
      <c r="AZ128">
        <v>0</v>
      </c>
      <c r="BA128">
        <v>0</v>
      </c>
      <c r="BB128">
        <v>12404</v>
      </c>
      <c r="BC128">
        <v>10633</v>
      </c>
      <c r="BD128">
        <v>0</v>
      </c>
      <c r="BE128">
        <v>7217</v>
      </c>
      <c r="BF128">
        <v>0</v>
      </c>
      <c r="BG128">
        <v>0</v>
      </c>
      <c r="BH128">
        <v>0</v>
      </c>
    </row>
    <row r="129" spans="3:60" x14ac:dyDescent="0.2">
      <c r="C129" t="s">
        <v>64</v>
      </c>
      <c r="D129" t="s">
        <v>17</v>
      </c>
      <c r="E129">
        <v>932491</v>
      </c>
      <c r="F129">
        <v>75226</v>
      </c>
      <c r="G129" s="23">
        <v>475034.17139999976</v>
      </c>
      <c r="H129" s="26">
        <v>0.50942493965089186</v>
      </c>
      <c r="K129" t="s">
        <v>184</v>
      </c>
      <c r="L129" t="str">
        <f t="shared" si="27"/>
        <v>Profit</v>
      </c>
      <c r="N129" s="50">
        <f t="shared" si="28"/>
        <v>1</v>
      </c>
      <c r="O129" t="str">
        <v>Bars</v>
      </c>
      <c r="P129" t="str">
        <v>Baker's Choco Chips</v>
      </c>
      <c r="Q129">
        <v>932491</v>
      </c>
      <c r="R129">
        <v>75226</v>
      </c>
      <c r="S129">
        <v>475034.17139999976</v>
      </c>
      <c r="T129">
        <v>0.50942493965089186</v>
      </c>
      <c r="W129" t="str">
        <v>Almond Choco</v>
      </c>
      <c r="X129">
        <v>995050</v>
      </c>
      <c r="Y129">
        <v>52337</v>
      </c>
      <c r="Z129">
        <v>296429.55550000025</v>
      </c>
      <c r="AA129">
        <v>0.29790418119692502</v>
      </c>
      <c r="AB129">
        <v>1</v>
      </c>
      <c r="AF129" t="str">
        <v>Almond Choco</v>
      </c>
      <c r="AG129">
        <v>10724</v>
      </c>
      <c r="AH129">
        <v>0</v>
      </c>
      <c r="AI129">
        <v>0</v>
      </c>
      <c r="AJ129">
        <v>18844</v>
      </c>
      <c r="AK129">
        <v>0</v>
      </c>
      <c r="AL129">
        <v>0</v>
      </c>
      <c r="AM129">
        <v>1505</v>
      </c>
      <c r="AN129">
        <v>19243</v>
      </c>
      <c r="AO129">
        <v>0</v>
      </c>
      <c r="AP129">
        <v>13804</v>
      </c>
      <c r="AQ129">
        <v>1666</v>
      </c>
      <c r="AR129">
        <v>0</v>
      </c>
      <c r="AS129">
        <v>0</v>
      </c>
      <c r="AT129">
        <v>0</v>
      </c>
      <c r="AU129">
        <v>329</v>
      </c>
      <c r="AV129">
        <v>3206</v>
      </c>
      <c r="AW129">
        <v>0</v>
      </c>
      <c r="AX129">
        <v>16394</v>
      </c>
      <c r="AY129">
        <v>0</v>
      </c>
      <c r="AZ129">
        <v>0</v>
      </c>
      <c r="BA129">
        <v>4858</v>
      </c>
      <c r="BB129">
        <v>11473</v>
      </c>
      <c r="BC129">
        <v>2982</v>
      </c>
      <c r="BD129">
        <v>0</v>
      </c>
      <c r="BE129">
        <v>0</v>
      </c>
      <c r="BF129">
        <v>0</v>
      </c>
      <c r="BG129">
        <v>0</v>
      </c>
      <c r="BH129">
        <v>0</v>
      </c>
    </row>
    <row r="130" spans="3:60" x14ac:dyDescent="0.2">
      <c r="C130" t="s">
        <v>64</v>
      </c>
      <c r="D130" t="s">
        <v>29</v>
      </c>
      <c r="E130">
        <v>994021</v>
      </c>
      <c r="F130">
        <v>48730</v>
      </c>
      <c r="G130" s="23">
        <v>950212.73</v>
      </c>
      <c r="H130" s="26">
        <v>0.95592822485641649</v>
      </c>
      <c r="K130" t="s">
        <v>109</v>
      </c>
      <c r="L130" t="str">
        <f t="shared" si="27"/>
        <v>Profit %</v>
      </c>
      <c r="N130" s="50">
        <f t="shared" si="28"/>
        <v>1</v>
      </c>
      <c r="O130" t="str">
        <v>Bars</v>
      </c>
      <c r="P130" t="str">
        <v>Caramel Stuffed Bars</v>
      </c>
      <c r="Q130">
        <v>994021</v>
      </c>
      <c r="R130">
        <v>48730</v>
      </c>
      <c r="S130">
        <v>950212.73</v>
      </c>
      <c r="T130">
        <v>0.95592822485641649</v>
      </c>
      <c r="W130" t="str">
        <v>Caramel Stuffed Bars</v>
      </c>
      <c r="X130">
        <v>994021</v>
      </c>
      <c r="Y130">
        <v>48730</v>
      </c>
      <c r="Z130">
        <v>950212.73</v>
      </c>
      <c r="AA130">
        <v>0.95592822485641649</v>
      </c>
      <c r="AB130">
        <v>1</v>
      </c>
      <c r="AF130" t="str">
        <v>Caramel Stuffed Bars</v>
      </c>
      <c r="AG130">
        <v>5810</v>
      </c>
      <c r="AH130">
        <v>8505</v>
      </c>
      <c r="AI130">
        <v>0</v>
      </c>
      <c r="AJ130">
        <v>24934</v>
      </c>
      <c r="AK130">
        <v>0</v>
      </c>
      <c r="AL130">
        <v>0</v>
      </c>
      <c r="AM130">
        <v>14049</v>
      </c>
      <c r="AN130">
        <v>0</v>
      </c>
      <c r="AO130">
        <v>9933</v>
      </c>
      <c r="AP130">
        <v>0</v>
      </c>
      <c r="AQ130">
        <v>14588</v>
      </c>
      <c r="AR130">
        <v>0</v>
      </c>
      <c r="AS130">
        <v>0</v>
      </c>
      <c r="AT130">
        <v>0</v>
      </c>
      <c r="AU130">
        <v>1246</v>
      </c>
      <c r="AV130">
        <v>0</v>
      </c>
      <c r="AW130">
        <v>0</v>
      </c>
      <c r="AX130">
        <v>0</v>
      </c>
      <c r="AY130">
        <v>0</v>
      </c>
      <c r="AZ130">
        <v>0</v>
      </c>
      <c r="BA130">
        <v>3066</v>
      </c>
      <c r="BB130">
        <v>15190</v>
      </c>
      <c r="BC130">
        <v>20419</v>
      </c>
      <c r="BD130">
        <v>0</v>
      </c>
      <c r="BE130">
        <v>7112</v>
      </c>
      <c r="BF130">
        <v>0</v>
      </c>
      <c r="BG130">
        <v>0</v>
      </c>
      <c r="BH130">
        <v>0</v>
      </c>
    </row>
    <row r="131" spans="3:60" x14ac:dyDescent="0.2">
      <c r="C131" t="s">
        <v>64</v>
      </c>
      <c r="D131" t="s">
        <v>46</v>
      </c>
      <c r="E131">
        <v>943551</v>
      </c>
      <c r="F131">
        <v>74319</v>
      </c>
      <c r="G131" s="23">
        <v>825123.67350000003</v>
      </c>
      <c r="H131" s="26">
        <v>0.87448762547016545</v>
      </c>
      <c r="N131" s="50">
        <f t="shared" si="28"/>
        <v>1</v>
      </c>
      <c r="O131" t="str">
        <v>Bars</v>
      </c>
      <c r="P131" t="str">
        <v>Fruit &amp; Nut Bars</v>
      </c>
      <c r="Q131">
        <v>943551</v>
      </c>
      <c r="R131">
        <v>74319</v>
      </c>
      <c r="S131">
        <v>825123.67350000003</v>
      </c>
      <c r="T131">
        <v>0.87448762547016545</v>
      </c>
      <c r="W131" t="str">
        <v>Smooth Sliky Salty</v>
      </c>
      <c r="X131">
        <v>990794</v>
      </c>
      <c r="Y131">
        <v>61790</v>
      </c>
      <c r="Z131">
        <v>680620.55800000008</v>
      </c>
      <c r="AA131">
        <v>0.68694456970873874</v>
      </c>
      <c r="AB131">
        <v>1</v>
      </c>
      <c r="AF131" t="str">
        <v>Smooth Sliky Salty</v>
      </c>
      <c r="AG131">
        <v>1337</v>
      </c>
      <c r="AH131">
        <v>6223</v>
      </c>
      <c r="AI131">
        <v>12124</v>
      </c>
      <c r="AJ131">
        <v>3773</v>
      </c>
      <c r="AK131">
        <v>0</v>
      </c>
      <c r="AL131">
        <v>0</v>
      </c>
      <c r="AM131">
        <v>994</v>
      </c>
      <c r="AN131">
        <v>18788</v>
      </c>
      <c r="AO131">
        <v>0</v>
      </c>
      <c r="AP131">
        <v>1883</v>
      </c>
      <c r="AQ131">
        <v>13846</v>
      </c>
      <c r="AR131">
        <v>0</v>
      </c>
      <c r="AS131">
        <v>0</v>
      </c>
      <c r="AT131">
        <v>0</v>
      </c>
      <c r="AU131">
        <v>0</v>
      </c>
      <c r="AV131">
        <v>13419</v>
      </c>
      <c r="AW131">
        <v>0</v>
      </c>
      <c r="AX131">
        <v>22372</v>
      </c>
      <c r="AY131">
        <v>0</v>
      </c>
      <c r="AZ131">
        <v>0</v>
      </c>
      <c r="BA131">
        <v>21763</v>
      </c>
      <c r="BB131">
        <v>8799</v>
      </c>
      <c r="BC131">
        <v>0</v>
      </c>
      <c r="BD131">
        <v>0</v>
      </c>
      <c r="BE131">
        <v>1638</v>
      </c>
      <c r="BF131">
        <v>0</v>
      </c>
      <c r="BG131">
        <v>0</v>
      </c>
      <c r="BH131">
        <v>0</v>
      </c>
    </row>
    <row r="132" spans="3:60" x14ac:dyDescent="0.2">
      <c r="C132" t="s">
        <v>64</v>
      </c>
      <c r="D132" t="s">
        <v>31</v>
      </c>
      <c r="E132">
        <v>942921</v>
      </c>
      <c r="F132">
        <v>37635</v>
      </c>
      <c r="G132" s="23">
        <v>872724.19799999997</v>
      </c>
      <c r="H132" s="26">
        <v>0.92555388839574049</v>
      </c>
      <c r="K132" t="s">
        <v>199</v>
      </c>
      <c r="L132" s="1" t="str">
        <f>Dashboard!S42</f>
        <v>Sales</v>
      </c>
      <c r="N132" s="50">
        <f t="shared" si="28"/>
        <v>1</v>
      </c>
      <c r="O132" t="str">
        <v>Bars</v>
      </c>
      <c r="P132" t="str">
        <v>Milk Bars</v>
      </c>
      <c r="Q132">
        <v>942921</v>
      </c>
      <c r="R132">
        <v>37635</v>
      </c>
      <c r="S132">
        <v>872724.19799999997</v>
      </c>
      <c r="T132">
        <v>0.92555388839574049</v>
      </c>
      <c r="W132" t="str">
        <v>Orange Choco</v>
      </c>
      <c r="X132">
        <v>946099</v>
      </c>
      <c r="Y132">
        <v>96847</v>
      </c>
      <c r="Z132">
        <v>95104.410999999731</v>
      </c>
      <c r="AA132">
        <v>0.10052268420112455</v>
      </c>
      <c r="AB132">
        <v>1</v>
      </c>
      <c r="AF132" t="str">
        <v>Orange Choco</v>
      </c>
      <c r="AG132">
        <v>3276</v>
      </c>
      <c r="AH132">
        <v>14126</v>
      </c>
      <c r="AI132">
        <v>0</v>
      </c>
      <c r="AJ132">
        <v>4165</v>
      </c>
      <c r="AK132">
        <v>0</v>
      </c>
      <c r="AL132">
        <v>0</v>
      </c>
      <c r="AM132">
        <v>7679</v>
      </c>
      <c r="AN132">
        <v>0</v>
      </c>
      <c r="AO132">
        <v>0</v>
      </c>
      <c r="AP132">
        <v>24486</v>
      </c>
      <c r="AQ132">
        <v>7805</v>
      </c>
      <c r="AR132">
        <v>0</v>
      </c>
      <c r="AS132">
        <v>0</v>
      </c>
      <c r="AT132">
        <v>0</v>
      </c>
      <c r="AU132">
        <v>11144</v>
      </c>
      <c r="AV132">
        <v>3647</v>
      </c>
      <c r="AW132">
        <v>0</v>
      </c>
      <c r="AX132">
        <v>24311</v>
      </c>
      <c r="AY132">
        <v>0</v>
      </c>
      <c r="AZ132">
        <v>0</v>
      </c>
      <c r="BA132">
        <v>3997</v>
      </c>
      <c r="BB132">
        <v>14476</v>
      </c>
      <c r="BC132">
        <v>3143</v>
      </c>
      <c r="BD132">
        <v>7140</v>
      </c>
      <c r="BE132">
        <v>2842</v>
      </c>
      <c r="BF132">
        <v>0</v>
      </c>
      <c r="BG132">
        <v>0</v>
      </c>
      <c r="BH132">
        <v>0</v>
      </c>
    </row>
    <row r="133" spans="3:60" x14ac:dyDescent="0.2">
      <c r="C133" t="s">
        <v>64</v>
      </c>
      <c r="D133" t="s">
        <v>35</v>
      </c>
      <c r="E133">
        <v>889056</v>
      </c>
      <c r="F133">
        <v>50948</v>
      </c>
      <c r="G133" s="23">
        <v>773628.21120000002</v>
      </c>
      <c r="H133" s="26">
        <v>0.87016814598855419</v>
      </c>
      <c r="K133" t="s">
        <v>202</v>
      </c>
      <c r="L133">
        <f>_xlfn.XMATCH(L132,sort.options.product.table)</f>
        <v>2</v>
      </c>
      <c r="N133" s="50">
        <f t="shared" si="28"/>
        <v>1</v>
      </c>
      <c r="O133" t="str">
        <v>Bars</v>
      </c>
      <c r="P133" t="str">
        <v>Mint Chip Choco</v>
      </c>
      <c r="Q133">
        <v>889056</v>
      </c>
      <c r="R133">
        <v>50948</v>
      </c>
      <c r="S133">
        <v>773628.21120000002</v>
      </c>
      <c r="T133">
        <v>0.87016814598855419</v>
      </c>
      <c r="W133" t="str">
        <v>Fruit &amp; Nut Bars</v>
      </c>
      <c r="X133">
        <v>943551</v>
      </c>
      <c r="Y133">
        <v>74319</v>
      </c>
      <c r="Z133">
        <v>825123.67350000003</v>
      </c>
      <c r="AA133">
        <v>0.87448762547016545</v>
      </c>
      <c r="AB133">
        <v>1</v>
      </c>
      <c r="AF133" t="str">
        <v>Fruit &amp; Nut Bars</v>
      </c>
      <c r="AG133">
        <v>3332</v>
      </c>
      <c r="AH133">
        <v>0</v>
      </c>
      <c r="AI133">
        <v>3192</v>
      </c>
      <c r="AJ133">
        <v>0</v>
      </c>
      <c r="AK133">
        <v>0</v>
      </c>
      <c r="AL133">
        <v>0</v>
      </c>
      <c r="AM133">
        <v>0</v>
      </c>
      <c r="AN133">
        <v>2639</v>
      </c>
      <c r="AO133">
        <v>0</v>
      </c>
      <c r="AP133">
        <v>3157</v>
      </c>
      <c r="AQ133">
        <v>11641</v>
      </c>
      <c r="AR133">
        <v>0</v>
      </c>
      <c r="AS133">
        <v>0</v>
      </c>
      <c r="AT133">
        <v>0</v>
      </c>
      <c r="AU133">
        <v>0</v>
      </c>
      <c r="AV133">
        <v>0</v>
      </c>
      <c r="AW133">
        <v>7497</v>
      </c>
      <c r="AX133">
        <v>0</v>
      </c>
      <c r="AY133">
        <v>0</v>
      </c>
      <c r="AZ133">
        <v>0</v>
      </c>
      <c r="BA133">
        <v>15113</v>
      </c>
      <c r="BB133">
        <v>19299</v>
      </c>
      <c r="BC133">
        <v>11445</v>
      </c>
      <c r="BD133">
        <v>15057</v>
      </c>
      <c r="BE133">
        <v>18508</v>
      </c>
      <c r="BF133">
        <v>0</v>
      </c>
      <c r="BG133">
        <v>0</v>
      </c>
      <c r="BH133">
        <v>0</v>
      </c>
    </row>
    <row r="134" spans="3:60" x14ac:dyDescent="0.2">
      <c r="C134" t="s">
        <v>64</v>
      </c>
      <c r="D134" t="s">
        <v>36</v>
      </c>
      <c r="E134">
        <v>946099</v>
      </c>
      <c r="F134">
        <v>96847</v>
      </c>
      <c r="G134" s="23">
        <v>95104.410999999731</v>
      </c>
      <c r="H134" s="26">
        <v>0.10052268420112455</v>
      </c>
      <c r="N134" s="50">
        <f t="shared" si="28"/>
        <v>1</v>
      </c>
      <c r="O134" t="str">
        <v>Bars</v>
      </c>
      <c r="P134" t="str">
        <v>Orange Choco</v>
      </c>
      <c r="Q134">
        <v>946099</v>
      </c>
      <c r="R134">
        <v>96847</v>
      </c>
      <c r="S134">
        <v>95104.410999999731</v>
      </c>
      <c r="T134">
        <v>0.10052268420112455</v>
      </c>
      <c r="W134" t="str">
        <v>Milk Bars</v>
      </c>
      <c r="X134">
        <v>942921</v>
      </c>
      <c r="Y134">
        <v>37635</v>
      </c>
      <c r="Z134">
        <v>872724.19799999997</v>
      </c>
      <c r="AA134">
        <v>0.92555388839574049</v>
      </c>
      <c r="AB134">
        <v>1</v>
      </c>
      <c r="AF134" t="str">
        <v>Milk Bars</v>
      </c>
      <c r="AG134">
        <v>10171</v>
      </c>
      <c r="AH134">
        <v>0</v>
      </c>
      <c r="AI134">
        <v>0</v>
      </c>
      <c r="AJ134">
        <v>25382</v>
      </c>
      <c r="AK134">
        <v>0</v>
      </c>
      <c r="AL134">
        <v>0</v>
      </c>
      <c r="AM134">
        <v>16121</v>
      </c>
      <c r="AN134">
        <v>7952</v>
      </c>
      <c r="AO134">
        <v>4039</v>
      </c>
      <c r="AP134">
        <v>6811</v>
      </c>
      <c r="AQ134">
        <v>10052</v>
      </c>
      <c r="AR134">
        <v>0</v>
      </c>
      <c r="AS134">
        <v>0</v>
      </c>
      <c r="AT134">
        <v>0</v>
      </c>
      <c r="AU134">
        <v>23877</v>
      </c>
      <c r="AV134">
        <v>9716</v>
      </c>
      <c r="AW134">
        <v>0</v>
      </c>
      <c r="AX134">
        <v>0</v>
      </c>
      <c r="AY134">
        <v>0</v>
      </c>
      <c r="AZ134">
        <v>0</v>
      </c>
      <c r="BA134">
        <v>0</v>
      </c>
      <c r="BB134">
        <v>1008</v>
      </c>
      <c r="BC134">
        <v>0</v>
      </c>
      <c r="BD134">
        <v>0</v>
      </c>
      <c r="BE134">
        <v>0</v>
      </c>
      <c r="BF134">
        <v>0</v>
      </c>
      <c r="BG134">
        <v>0</v>
      </c>
      <c r="BH134">
        <v>0</v>
      </c>
    </row>
    <row r="135" spans="3:60" x14ac:dyDescent="0.2">
      <c r="C135" t="s">
        <v>64</v>
      </c>
      <c r="D135" t="s">
        <v>10</v>
      </c>
      <c r="E135">
        <v>1005046</v>
      </c>
      <c r="F135">
        <v>55688</v>
      </c>
      <c r="G135" s="23">
        <v>665443.86959999998</v>
      </c>
      <c r="H135" s="26">
        <v>0.66210289837480074</v>
      </c>
      <c r="K135" t="s">
        <v>200</v>
      </c>
      <c r="L135">
        <f>IF(L133=1,1,-1)</f>
        <v>-1</v>
      </c>
      <c r="N135" s="50">
        <f t="shared" si="28"/>
        <v>1</v>
      </c>
      <c r="O135" t="str">
        <v>Bars</v>
      </c>
      <c r="P135" t="str">
        <v>Raspberry Choco</v>
      </c>
      <c r="Q135">
        <v>1005046</v>
      </c>
      <c r="R135">
        <v>55688</v>
      </c>
      <c r="S135">
        <v>665443.86959999998</v>
      </c>
      <c r="T135">
        <v>0.66210289837480074</v>
      </c>
      <c r="W135" t="str">
        <v>Baker's Choco Chips</v>
      </c>
      <c r="X135">
        <v>932491</v>
      </c>
      <c r="Y135">
        <v>75226</v>
      </c>
      <c r="Z135">
        <v>475034.17139999976</v>
      </c>
      <c r="AA135">
        <v>0.50942493965089186</v>
      </c>
      <c r="AB135">
        <v>1</v>
      </c>
      <c r="AF135" t="str">
        <v>Baker's Choco Chips</v>
      </c>
      <c r="AG135">
        <v>0</v>
      </c>
      <c r="AH135">
        <v>1323</v>
      </c>
      <c r="AI135">
        <v>14609</v>
      </c>
      <c r="AJ135">
        <v>9408</v>
      </c>
      <c r="AK135">
        <v>0</v>
      </c>
      <c r="AL135">
        <v>0</v>
      </c>
      <c r="AM135">
        <v>28476</v>
      </c>
      <c r="AN135">
        <v>20706</v>
      </c>
      <c r="AO135">
        <v>1253</v>
      </c>
      <c r="AP135">
        <v>7833</v>
      </c>
      <c r="AQ135">
        <v>3955</v>
      </c>
      <c r="AR135">
        <v>0</v>
      </c>
      <c r="AS135">
        <v>0</v>
      </c>
      <c r="AT135">
        <v>0</v>
      </c>
      <c r="AU135">
        <v>14819</v>
      </c>
      <c r="AV135">
        <v>0</v>
      </c>
      <c r="AW135">
        <v>0</v>
      </c>
      <c r="AX135">
        <v>6377</v>
      </c>
      <c r="AY135">
        <v>0</v>
      </c>
      <c r="AZ135">
        <v>0</v>
      </c>
      <c r="BA135">
        <v>2772</v>
      </c>
      <c r="BB135">
        <v>6111</v>
      </c>
      <c r="BC135">
        <v>11074</v>
      </c>
      <c r="BD135">
        <v>0</v>
      </c>
      <c r="BE135">
        <v>12971</v>
      </c>
      <c r="BF135">
        <v>0</v>
      </c>
      <c r="BG135">
        <v>0</v>
      </c>
      <c r="BH135">
        <v>0</v>
      </c>
    </row>
    <row r="136" spans="3:60" x14ac:dyDescent="0.2">
      <c r="C136" t="s">
        <v>64</v>
      </c>
      <c r="D136" t="s">
        <v>55</v>
      </c>
      <c r="E136">
        <v>990794</v>
      </c>
      <c r="F136">
        <v>61790</v>
      </c>
      <c r="G136" s="23">
        <v>680620.55800000008</v>
      </c>
      <c r="H136" s="26">
        <v>0.68694456970873874</v>
      </c>
      <c r="N136" s="50">
        <f t="shared" si="28"/>
        <v>1</v>
      </c>
      <c r="O136" t="str">
        <v>Bars</v>
      </c>
      <c r="P136" t="str">
        <v>Smooth Sliky Salty</v>
      </c>
      <c r="Q136">
        <v>990794</v>
      </c>
      <c r="R136">
        <v>61790</v>
      </c>
      <c r="S136">
        <v>680620.55800000008</v>
      </c>
      <c r="T136">
        <v>0.68694456970873874</v>
      </c>
      <c r="W136" t="str">
        <v>Mint Chip Choco</v>
      </c>
      <c r="X136">
        <v>889056</v>
      </c>
      <c r="Y136">
        <v>50948</v>
      </c>
      <c r="Z136">
        <v>773628.21120000002</v>
      </c>
      <c r="AA136">
        <v>0.87016814598855419</v>
      </c>
      <c r="AB136">
        <v>1</v>
      </c>
      <c r="AF136" t="str">
        <v>Mint Chip Choco</v>
      </c>
      <c r="AG136">
        <v>0</v>
      </c>
      <c r="AH136">
        <v>15169</v>
      </c>
      <c r="AI136">
        <v>0</v>
      </c>
      <c r="AJ136">
        <v>0</v>
      </c>
      <c r="AK136">
        <v>0</v>
      </c>
      <c r="AL136">
        <v>0</v>
      </c>
      <c r="AM136">
        <v>13818</v>
      </c>
      <c r="AN136">
        <v>0</v>
      </c>
      <c r="AO136">
        <v>1477</v>
      </c>
      <c r="AP136">
        <v>1148</v>
      </c>
      <c r="AQ136">
        <v>812</v>
      </c>
      <c r="AR136">
        <v>0</v>
      </c>
      <c r="AS136">
        <v>0</v>
      </c>
      <c r="AT136">
        <v>2569</v>
      </c>
      <c r="AU136">
        <v>18172</v>
      </c>
      <c r="AV136">
        <v>0</v>
      </c>
      <c r="AW136">
        <v>0</v>
      </c>
      <c r="AX136">
        <v>11592</v>
      </c>
      <c r="AY136">
        <v>0</v>
      </c>
      <c r="AZ136">
        <v>0</v>
      </c>
      <c r="BA136">
        <v>5026</v>
      </c>
      <c r="BB136">
        <v>1393</v>
      </c>
      <c r="BC136">
        <v>15323</v>
      </c>
      <c r="BD136">
        <v>0</v>
      </c>
      <c r="BE136">
        <v>16800</v>
      </c>
      <c r="BF136">
        <v>0</v>
      </c>
      <c r="BG136">
        <v>0</v>
      </c>
      <c r="BH136">
        <v>0</v>
      </c>
    </row>
    <row r="137" spans="3:60" x14ac:dyDescent="0.2">
      <c r="C137" t="s">
        <v>66</v>
      </c>
      <c r="D137" t="s">
        <v>49</v>
      </c>
      <c r="E137">
        <v>1030323</v>
      </c>
      <c r="F137">
        <v>86978</v>
      </c>
      <c r="G137" s="23">
        <v>786784.60000000009</v>
      </c>
      <c r="H137" s="26">
        <v>0.76362907554233006</v>
      </c>
      <c r="K137" t="s">
        <v>201</v>
      </c>
      <c r="L137" s="1" t="str">
        <f>Dashboard!V42</f>
        <v>On</v>
      </c>
      <c r="N137" s="50">
        <f t="shared" si="28"/>
        <v>0</v>
      </c>
      <c r="O137" t="str">
        <v>Bites</v>
      </c>
      <c r="P137" t="str">
        <v>50% Dark Bites</v>
      </c>
      <c r="Q137">
        <v>1030323</v>
      </c>
      <c r="R137">
        <v>86978</v>
      </c>
      <c r="S137">
        <v>786784.60000000009</v>
      </c>
      <c r="T137">
        <v>0.76362907554233006</v>
      </c>
      <c r="W137" t="str">
        <v>Choco Coated Almonds</v>
      </c>
      <c r="X137">
        <v>1075109</v>
      </c>
      <c r="Y137">
        <v>59624</v>
      </c>
      <c r="Z137">
        <v>391293.26879999985</v>
      </c>
      <c r="AA137">
        <v>0.36395683488836933</v>
      </c>
      <c r="AB137">
        <v>0</v>
      </c>
      <c r="AF137" t="str">
        <v>Choco Coated Almonds</v>
      </c>
      <c r="AG137">
        <v>8869</v>
      </c>
      <c r="AH137">
        <v>0</v>
      </c>
      <c r="AI137">
        <v>11088</v>
      </c>
      <c r="AJ137">
        <v>20223</v>
      </c>
      <c r="AK137">
        <v>0</v>
      </c>
      <c r="AL137">
        <v>0</v>
      </c>
      <c r="AM137">
        <v>0</v>
      </c>
      <c r="AN137">
        <v>17115</v>
      </c>
      <c r="AO137">
        <v>3920</v>
      </c>
      <c r="AP137">
        <v>7168</v>
      </c>
      <c r="AQ137">
        <v>25060</v>
      </c>
      <c r="AR137">
        <v>0</v>
      </c>
      <c r="AS137">
        <v>0</v>
      </c>
      <c r="AT137">
        <v>0</v>
      </c>
      <c r="AU137">
        <v>0</v>
      </c>
      <c r="AV137">
        <v>14196</v>
      </c>
      <c r="AW137">
        <v>0</v>
      </c>
      <c r="AX137">
        <v>17241</v>
      </c>
      <c r="AY137">
        <v>0</v>
      </c>
      <c r="AZ137">
        <v>0</v>
      </c>
      <c r="BA137">
        <v>21168</v>
      </c>
      <c r="BB137">
        <v>5747</v>
      </c>
      <c r="BC137">
        <v>0</v>
      </c>
      <c r="BD137">
        <v>10766</v>
      </c>
      <c r="BE137">
        <v>0</v>
      </c>
      <c r="BF137">
        <v>0</v>
      </c>
      <c r="BG137">
        <v>0</v>
      </c>
      <c r="BH137">
        <v>0</v>
      </c>
    </row>
    <row r="138" spans="3:60" x14ac:dyDescent="0.2">
      <c r="C138" t="s">
        <v>66</v>
      </c>
      <c r="D138" t="s">
        <v>50</v>
      </c>
      <c r="E138">
        <v>938049</v>
      </c>
      <c r="F138">
        <v>82174</v>
      </c>
      <c r="G138" s="23">
        <v>260696.93540000007</v>
      </c>
      <c r="H138" s="26">
        <v>0.2779139846639142</v>
      </c>
      <c r="N138" s="50">
        <f t="shared" si="28"/>
        <v>0</v>
      </c>
      <c r="O138" t="str">
        <v>Bites</v>
      </c>
      <c r="P138" t="str">
        <v>70% Dark Bites</v>
      </c>
      <c r="Q138">
        <v>938049</v>
      </c>
      <c r="R138">
        <v>82174</v>
      </c>
      <c r="S138">
        <v>260696.93540000007</v>
      </c>
      <c r="T138">
        <v>0.2779139846639142</v>
      </c>
      <c r="W138" t="str">
        <v>Organic Choco Syrup</v>
      </c>
      <c r="X138">
        <v>1047011</v>
      </c>
      <c r="Y138">
        <v>45761</v>
      </c>
      <c r="Z138">
        <v>966357.23750000005</v>
      </c>
      <c r="AA138">
        <v>0.92296760731262617</v>
      </c>
      <c r="AB138">
        <v>0</v>
      </c>
      <c r="AF138" t="str">
        <v>Organic Choco Syrup</v>
      </c>
      <c r="AG138">
        <v>0</v>
      </c>
      <c r="AH138">
        <v>0</v>
      </c>
      <c r="AI138">
        <v>0</v>
      </c>
      <c r="AJ138">
        <v>9527</v>
      </c>
      <c r="AK138">
        <v>0</v>
      </c>
      <c r="AL138">
        <v>0</v>
      </c>
      <c r="AM138">
        <v>4389</v>
      </c>
      <c r="AN138">
        <v>9205</v>
      </c>
      <c r="AO138">
        <v>0</v>
      </c>
      <c r="AP138">
        <v>9065</v>
      </c>
      <c r="AQ138">
        <v>18298</v>
      </c>
      <c r="AR138">
        <v>0</v>
      </c>
      <c r="AS138">
        <v>0</v>
      </c>
      <c r="AT138">
        <v>25893</v>
      </c>
      <c r="AU138">
        <v>1379</v>
      </c>
      <c r="AV138">
        <v>5124</v>
      </c>
      <c r="AW138">
        <v>0</v>
      </c>
      <c r="AX138">
        <v>3073</v>
      </c>
      <c r="AY138">
        <v>0</v>
      </c>
      <c r="AZ138">
        <v>0</v>
      </c>
      <c r="BA138">
        <v>350</v>
      </c>
      <c r="BB138">
        <v>3724</v>
      </c>
      <c r="BC138">
        <v>23317</v>
      </c>
      <c r="BD138">
        <v>2716</v>
      </c>
      <c r="BE138">
        <v>15638</v>
      </c>
      <c r="BF138">
        <v>0</v>
      </c>
      <c r="BG138">
        <v>0</v>
      </c>
      <c r="BH138">
        <v>0</v>
      </c>
    </row>
    <row r="139" spans="3:60" x14ac:dyDescent="0.2">
      <c r="C139" t="s">
        <v>66</v>
      </c>
      <c r="D139" t="s">
        <v>38</v>
      </c>
      <c r="E139">
        <v>1027054</v>
      </c>
      <c r="F139">
        <v>39893</v>
      </c>
      <c r="G139" s="23">
        <v>774068.55119999999</v>
      </c>
      <c r="H139" s="26">
        <v>0.75367853219012826</v>
      </c>
      <c r="N139" s="50">
        <f t="shared" si="28"/>
        <v>0</v>
      </c>
      <c r="O139" t="str">
        <v>Bites</v>
      </c>
      <c r="P139" t="str">
        <v>After Nines</v>
      </c>
      <c r="Q139">
        <v>1027054</v>
      </c>
      <c r="R139">
        <v>39893</v>
      </c>
      <c r="S139">
        <v>774068.55119999999</v>
      </c>
      <c r="T139">
        <v>0.75367853219012826</v>
      </c>
      <c r="W139" t="str">
        <v>50% Dark Bites</v>
      </c>
      <c r="X139">
        <v>1030323</v>
      </c>
      <c r="Y139">
        <v>86978</v>
      </c>
      <c r="Z139">
        <v>786784.60000000009</v>
      </c>
      <c r="AA139">
        <v>0.76362907554233006</v>
      </c>
      <c r="AB139">
        <v>0</v>
      </c>
      <c r="AF139" t="str">
        <v>50% Dark Bites</v>
      </c>
      <c r="AG139">
        <v>0</v>
      </c>
      <c r="AH139">
        <v>20433</v>
      </c>
      <c r="AI139">
        <v>0</v>
      </c>
      <c r="AJ139">
        <v>2079</v>
      </c>
      <c r="AK139">
        <v>0</v>
      </c>
      <c r="AL139">
        <v>0</v>
      </c>
      <c r="AM139">
        <v>10374</v>
      </c>
      <c r="AN139">
        <v>5663</v>
      </c>
      <c r="AO139">
        <v>0</v>
      </c>
      <c r="AP139">
        <v>16254</v>
      </c>
      <c r="AQ139">
        <v>16303</v>
      </c>
      <c r="AR139">
        <v>0</v>
      </c>
      <c r="AS139">
        <v>0</v>
      </c>
      <c r="AT139">
        <v>4816</v>
      </c>
      <c r="AU139">
        <v>4557</v>
      </c>
      <c r="AV139">
        <v>0</v>
      </c>
      <c r="AW139">
        <v>0</v>
      </c>
      <c r="AX139">
        <v>16121</v>
      </c>
      <c r="AY139">
        <v>0</v>
      </c>
      <c r="AZ139">
        <v>0</v>
      </c>
      <c r="BA139">
        <v>0</v>
      </c>
      <c r="BB139">
        <v>0</v>
      </c>
      <c r="BC139">
        <v>21091</v>
      </c>
      <c r="BD139">
        <v>3983</v>
      </c>
      <c r="BE139">
        <v>0</v>
      </c>
      <c r="BF139">
        <v>0</v>
      </c>
      <c r="BG139">
        <v>0</v>
      </c>
      <c r="BH139">
        <v>0</v>
      </c>
    </row>
    <row r="140" spans="3:60" x14ac:dyDescent="0.2">
      <c r="C140" t="s">
        <v>66</v>
      </c>
      <c r="D140" t="s">
        <v>45</v>
      </c>
      <c r="E140">
        <v>1075109</v>
      </c>
      <c r="F140">
        <v>59624</v>
      </c>
      <c r="G140" s="23">
        <v>391293.26879999985</v>
      </c>
      <c r="H140" s="26">
        <v>0.36395683488836933</v>
      </c>
      <c r="N140" s="50">
        <f t="shared" si="28"/>
        <v>0</v>
      </c>
      <c r="O140" t="str">
        <v>Bites</v>
      </c>
      <c r="P140" t="str">
        <v>Choco Coated Almonds</v>
      </c>
      <c r="Q140">
        <v>1075109</v>
      </c>
      <c r="R140">
        <v>59624</v>
      </c>
      <c r="S140">
        <v>391293.26879999985</v>
      </c>
      <c r="T140">
        <v>0.36395683488836933</v>
      </c>
      <c r="W140" t="str">
        <v>Spicy Special Slims</v>
      </c>
      <c r="X140">
        <v>1029490</v>
      </c>
      <c r="Y140">
        <v>58052</v>
      </c>
      <c r="Z140">
        <v>494912.35279999976</v>
      </c>
      <c r="AA140">
        <v>0.48073546396759537</v>
      </c>
      <c r="AB140">
        <v>0</v>
      </c>
      <c r="AF140" t="str">
        <v>Spicy Special Slims</v>
      </c>
      <c r="AG140">
        <v>14931</v>
      </c>
      <c r="AH140">
        <v>0</v>
      </c>
      <c r="AI140">
        <v>7539</v>
      </c>
      <c r="AJ140">
        <v>15778</v>
      </c>
      <c r="AK140">
        <v>0</v>
      </c>
      <c r="AL140">
        <v>0</v>
      </c>
      <c r="AM140">
        <v>14875</v>
      </c>
      <c r="AN140">
        <v>22239</v>
      </c>
      <c r="AO140">
        <v>0</v>
      </c>
      <c r="AP140">
        <v>2947</v>
      </c>
      <c r="AQ140">
        <v>0</v>
      </c>
      <c r="AR140">
        <v>0</v>
      </c>
      <c r="AS140">
        <v>0</v>
      </c>
      <c r="AT140">
        <v>0</v>
      </c>
      <c r="AU140">
        <v>7245</v>
      </c>
      <c r="AV140">
        <v>0</v>
      </c>
      <c r="AW140">
        <v>0</v>
      </c>
      <c r="AX140">
        <v>0</v>
      </c>
      <c r="AY140">
        <v>0</v>
      </c>
      <c r="AZ140">
        <v>0</v>
      </c>
      <c r="BA140">
        <v>0</v>
      </c>
      <c r="BB140">
        <v>4900</v>
      </c>
      <c r="BC140">
        <v>10703</v>
      </c>
      <c r="BD140">
        <v>22771</v>
      </c>
      <c r="BE140">
        <v>18459</v>
      </c>
      <c r="BF140">
        <v>0</v>
      </c>
      <c r="BG140">
        <v>0</v>
      </c>
      <c r="BH140">
        <v>0</v>
      </c>
    </row>
    <row r="141" spans="3:60" x14ac:dyDescent="0.2">
      <c r="C141" t="s">
        <v>66</v>
      </c>
      <c r="D141" t="s">
        <v>37</v>
      </c>
      <c r="E141">
        <v>992271</v>
      </c>
      <c r="F141">
        <v>64557</v>
      </c>
      <c r="G141" s="23">
        <v>810252.53850000002</v>
      </c>
      <c r="H141" s="26">
        <v>0.81656375979949025</v>
      </c>
      <c r="N141" s="50">
        <f t="shared" si="28"/>
        <v>0</v>
      </c>
      <c r="O141" t="str">
        <v>Bites</v>
      </c>
      <c r="P141" t="str">
        <v>Eclairs</v>
      </c>
      <c r="Q141">
        <v>992271</v>
      </c>
      <c r="R141">
        <v>64557</v>
      </c>
      <c r="S141">
        <v>810252.53850000002</v>
      </c>
      <c r="T141">
        <v>0.81656375979949025</v>
      </c>
      <c r="W141" t="str">
        <v>After Nines</v>
      </c>
      <c r="X141">
        <v>1027054</v>
      </c>
      <c r="Y141">
        <v>39893</v>
      </c>
      <c r="Z141">
        <v>774068.55119999999</v>
      </c>
      <c r="AA141">
        <v>0.75367853219012826</v>
      </c>
      <c r="AB141">
        <v>0</v>
      </c>
      <c r="AF141" t="str">
        <v>After Nines</v>
      </c>
      <c r="AG141">
        <v>0</v>
      </c>
      <c r="AH141">
        <v>31570</v>
      </c>
      <c r="AI141">
        <v>826</v>
      </c>
      <c r="AJ141">
        <v>11424</v>
      </c>
      <c r="AK141">
        <v>0</v>
      </c>
      <c r="AL141">
        <v>0</v>
      </c>
      <c r="AM141">
        <v>0</v>
      </c>
      <c r="AN141">
        <v>0</v>
      </c>
      <c r="AO141">
        <v>0</v>
      </c>
      <c r="AP141">
        <v>16366</v>
      </c>
      <c r="AQ141">
        <v>10542</v>
      </c>
      <c r="AR141">
        <v>0</v>
      </c>
      <c r="AS141">
        <v>0</v>
      </c>
      <c r="AT141">
        <v>0</v>
      </c>
      <c r="AU141">
        <v>13937</v>
      </c>
      <c r="AV141">
        <v>0</v>
      </c>
      <c r="AW141">
        <v>13062</v>
      </c>
      <c r="AX141">
        <v>5117</v>
      </c>
      <c r="AY141">
        <v>0</v>
      </c>
      <c r="AZ141">
        <v>0</v>
      </c>
      <c r="BA141">
        <v>10843</v>
      </c>
      <c r="BB141">
        <v>490</v>
      </c>
      <c r="BC141">
        <v>15561</v>
      </c>
      <c r="BD141">
        <v>0</v>
      </c>
      <c r="BE141">
        <v>14819</v>
      </c>
      <c r="BF141">
        <v>0</v>
      </c>
      <c r="BG141">
        <v>0</v>
      </c>
      <c r="BH141">
        <v>0</v>
      </c>
    </row>
    <row r="142" spans="3:60" x14ac:dyDescent="0.2">
      <c r="C142" t="s">
        <v>66</v>
      </c>
      <c r="D142" t="s">
        <v>43</v>
      </c>
      <c r="E142">
        <v>987525</v>
      </c>
      <c r="F142">
        <v>50674</v>
      </c>
      <c r="G142" s="23">
        <v>749027.81900000013</v>
      </c>
      <c r="H142" s="26">
        <v>0.75848998151945535</v>
      </c>
      <c r="N142" s="50">
        <f t="shared" si="28"/>
        <v>0</v>
      </c>
      <c r="O142" t="str">
        <v>Bites</v>
      </c>
      <c r="P142" t="str">
        <v>Peanut Butter Cubes</v>
      </c>
      <c r="Q142">
        <v>987525</v>
      </c>
      <c r="R142">
        <v>50674</v>
      </c>
      <c r="S142">
        <v>749027.81900000013</v>
      </c>
      <c r="T142">
        <v>0.75848998151945535</v>
      </c>
      <c r="W142" t="str">
        <v>Eclairs</v>
      </c>
      <c r="X142">
        <v>992271</v>
      </c>
      <c r="Y142">
        <v>64557</v>
      </c>
      <c r="Z142">
        <v>810252.53850000002</v>
      </c>
      <c r="AA142">
        <v>0.81656375979949025</v>
      </c>
      <c r="AB142">
        <v>0</v>
      </c>
      <c r="AF142" t="str">
        <v>Eclairs</v>
      </c>
      <c r="AG142">
        <v>0</v>
      </c>
      <c r="AH142">
        <v>13412</v>
      </c>
      <c r="AI142">
        <v>3731</v>
      </c>
      <c r="AJ142">
        <v>3598</v>
      </c>
      <c r="AK142">
        <v>0</v>
      </c>
      <c r="AL142">
        <v>0</v>
      </c>
      <c r="AM142">
        <v>6090</v>
      </c>
      <c r="AN142">
        <v>0</v>
      </c>
      <c r="AO142">
        <v>10045</v>
      </c>
      <c r="AP142">
        <v>19817</v>
      </c>
      <c r="AQ142">
        <v>2205</v>
      </c>
      <c r="AR142">
        <v>0</v>
      </c>
      <c r="AS142">
        <v>0</v>
      </c>
      <c r="AT142">
        <v>0</v>
      </c>
      <c r="AU142">
        <v>0</v>
      </c>
      <c r="AV142">
        <v>5558</v>
      </c>
      <c r="AW142">
        <v>0</v>
      </c>
      <c r="AX142">
        <v>29015</v>
      </c>
      <c r="AY142">
        <v>0</v>
      </c>
      <c r="AZ142">
        <v>0</v>
      </c>
      <c r="BA142">
        <v>0</v>
      </c>
      <c r="BB142">
        <v>7588</v>
      </c>
      <c r="BC142">
        <v>10661</v>
      </c>
      <c r="BD142">
        <v>0</v>
      </c>
      <c r="BE142">
        <v>3150</v>
      </c>
      <c r="BF142">
        <v>0</v>
      </c>
      <c r="BG142">
        <v>0</v>
      </c>
      <c r="BH142">
        <v>0</v>
      </c>
    </row>
    <row r="143" spans="3:60" x14ac:dyDescent="0.2">
      <c r="C143" t="s">
        <v>66</v>
      </c>
      <c r="D143" t="s">
        <v>40</v>
      </c>
      <c r="E143">
        <v>1029490</v>
      </c>
      <c r="F143">
        <v>58052</v>
      </c>
      <c r="G143" s="23">
        <v>494912.35279999976</v>
      </c>
      <c r="H143" s="26">
        <v>0.48073546396759537</v>
      </c>
      <c r="N143" s="50">
        <f t="shared" si="28"/>
        <v>0</v>
      </c>
      <c r="O143" t="str">
        <v>Bites</v>
      </c>
      <c r="P143" t="str">
        <v>Spicy Special Slims</v>
      </c>
      <c r="Q143">
        <v>1029490</v>
      </c>
      <c r="R143">
        <v>58052</v>
      </c>
      <c r="S143">
        <v>494912.35279999976</v>
      </c>
      <c r="T143">
        <v>0.48073546396759537</v>
      </c>
      <c r="W143" t="str">
        <v>Peanut Butter Cubes</v>
      </c>
      <c r="X143">
        <v>987525</v>
      </c>
      <c r="Y143">
        <v>50674</v>
      </c>
      <c r="Z143">
        <v>749027.81900000013</v>
      </c>
      <c r="AA143">
        <v>0.75848998151945535</v>
      </c>
      <c r="AB143">
        <v>0</v>
      </c>
      <c r="AF143" t="str">
        <v>Peanut Butter Cubes</v>
      </c>
      <c r="AG143">
        <v>0</v>
      </c>
      <c r="AH143">
        <v>1400</v>
      </c>
      <c r="AI143">
        <v>7525</v>
      </c>
      <c r="AJ143">
        <v>39305</v>
      </c>
      <c r="AK143">
        <v>0</v>
      </c>
      <c r="AL143">
        <v>0</v>
      </c>
      <c r="AM143">
        <v>3381</v>
      </c>
      <c r="AN143">
        <v>24423</v>
      </c>
      <c r="AO143">
        <v>0</v>
      </c>
      <c r="AP143">
        <v>0</v>
      </c>
      <c r="AQ143">
        <v>0</v>
      </c>
      <c r="AR143">
        <v>0</v>
      </c>
      <c r="AS143">
        <v>0</v>
      </c>
      <c r="AT143">
        <v>0</v>
      </c>
      <c r="AU143">
        <v>23324</v>
      </c>
      <c r="AV143">
        <v>0</v>
      </c>
      <c r="AW143">
        <v>0</v>
      </c>
      <c r="AX143">
        <v>21315</v>
      </c>
      <c r="AY143">
        <v>0</v>
      </c>
      <c r="AZ143">
        <v>0</v>
      </c>
      <c r="BA143">
        <v>19901</v>
      </c>
      <c r="BB143">
        <v>5334</v>
      </c>
      <c r="BC143">
        <v>0</v>
      </c>
      <c r="BD143">
        <v>6811</v>
      </c>
      <c r="BE143">
        <v>35672</v>
      </c>
      <c r="BF143">
        <v>0</v>
      </c>
      <c r="BG143">
        <v>0</v>
      </c>
      <c r="BH143">
        <v>0</v>
      </c>
    </row>
    <row r="144" spans="3:60" x14ac:dyDescent="0.2">
      <c r="C144" t="s">
        <v>67</v>
      </c>
      <c r="D144" t="s">
        <v>42</v>
      </c>
      <c r="E144">
        <v>902384</v>
      </c>
      <c r="F144">
        <v>50098</v>
      </c>
      <c r="G144" s="23">
        <v>778271.21479999996</v>
      </c>
      <c r="H144" s="26">
        <v>0.86246123025230936</v>
      </c>
      <c r="N144" s="50">
        <f t="shared" si="28"/>
        <v>0</v>
      </c>
      <c r="O144" t="str">
        <v>Other</v>
      </c>
      <c r="P144" t="str">
        <v>Drinking Coco</v>
      </c>
      <c r="Q144">
        <v>902384</v>
      </c>
      <c r="R144">
        <v>50098</v>
      </c>
      <c r="S144">
        <v>778271.21479999996</v>
      </c>
      <c r="T144">
        <v>0.86246123025230936</v>
      </c>
      <c r="W144" t="str">
        <v>White Choc</v>
      </c>
      <c r="X144">
        <v>979188</v>
      </c>
      <c r="Y144">
        <v>87237</v>
      </c>
      <c r="Z144">
        <v>958207.50150000001</v>
      </c>
      <c r="AA144">
        <v>0.97857357473743556</v>
      </c>
      <c r="AB144">
        <v>0</v>
      </c>
      <c r="AF144" t="str">
        <v>White Choc</v>
      </c>
      <c r="AG144">
        <v>9114</v>
      </c>
      <c r="AH144">
        <v>9646</v>
      </c>
      <c r="AI144">
        <v>23065</v>
      </c>
      <c r="AJ144">
        <v>20615</v>
      </c>
      <c r="AK144">
        <v>0</v>
      </c>
      <c r="AL144">
        <v>0</v>
      </c>
      <c r="AM144">
        <v>0</v>
      </c>
      <c r="AN144">
        <v>0</v>
      </c>
      <c r="AO144">
        <v>0</v>
      </c>
      <c r="AP144">
        <v>959</v>
      </c>
      <c r="AQ144">
        <v>16548</v>
      </c>
      <c r="AR144">
        <v>0</v>
      </c>
      <c r="AS144">
        <v>0</v>
      </c>
      <c r="AT144">
        <v>0</v>
      </c>
      <c r="AU144">
        <v>5901</v>
      </c>
      <c r="AV144">
        <v>14021</v>
      </c>
      <c r="AW144">
        <v>2611</v>
      </c>
      <c r="AX144">
        <v>0</v>
      </c>
      <c r="AY144">
        <v>0</v>
      </c>
      <c r="AZ144">
        <v>0</v>
      </c>
      <c r="BA144">
        <v>0</v>
      </c>
      <c r="BB144">
        <v>6146</v>
      </c>
      <c r="BC144">
        <v>4116</v>
      </c>
      <c r="BD144">
        <v>0</v>
      </c>
      <c r="BE144">
        <v>1925</v>
      </c>
      <c r="BF144">
        <v>0</v>
      </c>
      <c r="BG144">
        <v>0</v>
      </c>
      <c r="BH144">
        <v>2485</v>
      </c>
    </row>
    <row r="145" spans="3:60" x14ac:dyDescent="0.2">
      <c r="C145" t="s">
        <v>67</v>
      </c>
      <c r="D145" t="s">
        <v>19</v>
      </c>
      <c r="E145">
        <v>948983</v>
      </c>
      <c r="F145">
        <v>39124</v>
      </c>
      <c r="G145" s="23">
        <v>640251.60360000003</v>
      </c>
      <c r="H145" s="26">
        <v>0.67467130981271528</v>
      </c>
      <c r="N145" s="50">
        <f t="shared" si="28"/>
        <v>0</v>
      </c>
      <c r="O145" t="str">
        <v>Other</v>
      </c>
      <c r="P145" t="str">
        <v>Manuka Honey Choco</v>
      </c>
      <c r="Q145">
        <v>948983</v>
      </c>
      <c r="R145">
        <v>39124</v>
      </c>
      <c r="S145">
        <v>640251.60360000003</v>
      </c>
      <c r="T145">
        <v>0.67467130981271528</v>
      </c>
      <c r="W145" t="str">
        <v>Manuka Honey Choco</v>
      </c>
      <c r="X145">
        <v>948983</v>
      </c>
      <c r="Y145">
        <v>39124</v>
      </c>
      <c r="Z145">
        <v>640251.60360000003</v>
      </c>
      <c r="AA145">
        <v>0.67467130981271528</v>
      </c>
      <c r="AB145">
        <v>0</v>
      </c>
      <c r="AF145" t="str">
        <v>Manuka Honey Choco</v>
      </c>
      <c r="AG145">
        <v>0</v>
      </c>
      <c r="AH145">
        <v>1792</v>
      </c>
      <c r="AI145">
        <v>9198</v>
      </c>
      <c r="AJ145">
        <v>13062</v>
      </c>
      <c r="AK145">
        <v>0</v>
      </c>
      <c r="AL145">
        <v>0</v>
      </c>
      <c r="AM145">
        <v>5495</v>
      </c>
      <c r="AN145">
        <v>11312</v>
      </c>
      <c r="AO145">
        <v>0</v>
      </c>
      <c r="AP145">
        <v>1484</v>
      </c>
      <c r="AQ145">
        <v>6307</v>
      </c>
      <c r="AR145">
        <v>0</v>
      </c>
      <c r="AS145">
        <v>0</v>
      </c>
      <c r="AT145">
        <v>0</v>
      </c>
      <c r="AU145">
        <v>1666</v>
      </c>
      <c r="AV145">
        <v>14105</v>
      </c>
      <c r="AW145">
        <v>0</v>
      </c>
      <c r="AX145">
        <v>18753</v>
      </c>
      <c r="AY145">
        <v>0</v>
      </c>
      <c r="AZ145">
        <v>0</v>
      </c>
      <c r="BA145">
        <v>3227</v>
      </c>
      <c r="BB145">
        <v>11249</v>
      </c>
      <c r="BC145">
        <v>0</v>
      </c>
      <c r="BD145">
        <v>14441</v>
      </c>
      <c r="BE145">
        <v>8008</v>
      </c>
      <c r="BF145">
        <v>0</v>
      </c>
      <c r="BG145">
        <v>0</v>
      </c>
      <c r="BH145">
        <v>8162</v>
      </c>
    </row>
    <row r="146" spans="3:60" x14ac:dyDescent="0.2">
      <c r="C146" t="s">
        <v>67</v>
      </c>
      <c r="D146" t="s">
        <v>27</v>
      </c>
      <c r="E146">
        <v>1047011</v>
      </c>
      <c r="F146">
        <v>45761</v>
      </c>
      <c r="G146" s="23">
        <v>966357.23750000005</v>
      </c>
      <c r="H146" s="26">
        <v>0.92296760731262617</v>
      </c>
      <c r="N146" s="50">
        <f t="shared" si="28"/>
        <v>0</v>
      </c>
      <c r="O146" t="str">
        <v>Other</v>
      </c>
      <c r="P146" t="str">
        <v>Organic Choco Syrup</v>
      </c>
      <c r="Q146">
        <v>1047011</v>
      </c>
      <c r="R146">
        <v>45761</v>
      </c>
      <c r="S146">
        <v>966357.23750000005</v>
      </c>
      <c r="T146">
        <v>0.92296760731262617</v>
      </c>
      <c r="W146" t="str">
        <v>70% Dark Bites</v>
      </c>
      <c r="X146">
        <v>938049</v>
      </c>
      <c r="Y146">
        <v>82174</v>
      </c>
      <c r="Z146">
        <v>260696.93540000007</v>
      </c>
      <c r="AA146">
        <v>0.2779139846639142</v>
      </c>
      <c r="AB146">
        <v>0</v>
      </c>
      <c r="AF146" t="str">
        <v>70% Dark Bites</v>
      </c>
      <c r="AG146">
        <v>8225</v>
      </c>
      <c r="AH146">
        <v>0</v>
      </c>
      <c r="AI146">
        <v>13349</v>
      </c>
      <c r="AJ146">
        <v>13209</v>
      </c>
      <c r="AK146">
        <v>0</v>
      </c>
      <c r="AL146">
        <v>0</v>
      </c>
      <c r="AM146">
        <v>1988</v>
      </c>
      <c r="AN146">
        <v>0</v>
      </c>
      <c r="AO146">
        <v>0</v>
      </c>
      <c r="AP146">
        <v>7882</v>
      </c>
      <c r="AQ146">
        <v>0</v>
      </c>
      <c r="AR146">
        <v>0</v>
      </c>
      <c r="AS146">
        <v>0</v>
      </c>
      <c r="AT146">
        <v>0</v>
      </c>
      <c r="AU146">
        <v>10899</v>
      </c>
      <c r="AV146">
        <v>0</v>
      </c>
      <c r="AW146">
        <v>0</v>
      </c>
      <c r="AX146">
        <v>0</v>
      </c>
      <c r="AY146">
        <v>0</v>
      </c>
      <c r="AZ146">
        <v>0</v>
      </c>
      <c r="BA146">
        <v>2730</v>
      </c>
      <c r="BB146">
        <v>19789</v>
      </c>
      <c r="BC146">
        <v>6055</v>
      </c>
      <c r="BD146">
        <v>0</v>
      </c>
      <c r="BE146">
        <v>0</v>
      </c>
      <c r="BF146">
        <v>0</v>
      </c>
      <c r="BG146">
        <v>0</v>
      </c>
      <c r="BH146">
        <v>0</v>
      </c>
    </row>
    <row r="147" spans="3:60" x14ac:dyDescent="0.2">
      <c r="C147" t="s">
        <v>67</v>
      </c>
      <c r="D147" t="s">
        <v>13</v>
      </c>
      <c r="E147">
        <v>979188</v>
      </c>
      <c r="F147">
        <v>87237</v>
      </c>
      <c r="G147" s="23">
        <v>958207.50150000001</v>
      </c>
      <c r="H147" s="26">
        <v>0.97857357473743556</v>
      </c>
      <c r="N147" s="50">
        <f t="shared" si="28"/>
        <v>0</v>
      </c>
      <c r="O147" t="str">
        <v>Other</v>
      </c>
      <c r="P147" t="str">
        <v>White Choc</v>
      </c>
      <c r="Q147">
        <v>979188</v>
      </c>
      <c r="R147">
        <v>87237</v>
      </c>
      <c r="S147">
        <v>958207.50150000001</v>
      </c>
      <c r="T147">
        <v>0.97857357473743556</v>
      </c>
      <c r="W147" t="str">
        <v>Drinking Coco</v>
      </c>
      <c r="X147">
        <v>902384</v>
      </c>
      <c r="Y147">
        <v>50098</v>
      </c>
      <c r="Z147">
        <v>778271.21479999996</v>
      </c>
      <c r="AA147">
        <v>0.86246123025230936</v>
      </c>
      <c r="AB147">
        <v>0</v>
      </c>
      <c r="AF147" t="str">
        <v>Drinking Coco</v>
      </c>
      <c r="AG147">
        <v>36834</v>
      </c>
      <c r="AH147">
        <v>0</v>
      </c>
      <c r="AI147">
        <v>6328</v>
      </c>
      <c r="AJ147">
        <v>7826</v>
      </c>
      <c r="AK147">
        <v>0</v>
      </c>
      <c r="AL147">
        <v>0</v>
      </c>
      <c r="AM147">
        <v>11438</v>
      </c>
      <c r="AN147">
        <v>0</v>
      </c>
      <c r="AO147">
        <v>13363</v>
      </c>
      <c r="AP147">
        <v>0</v>
      </c>
      <c r="AQ147">
        <v>5642</v>
      </c>
      <c r="AR147">
        <v>0</v>
      </c>
      <c r="AS147">
        <v>0</v>
      </c>
      <c r="AT147">
        <v>0</v>
      </c>
      <c r="AU147">
        <v>0</v>
      </c>
      <c r="AV147">
        <v>16723</v>
      </c>
      <c r="AW147">
        <v>8113</v>
      </c>
      <c r="AX147">
        <v>0</v>
      </c>
      <c r="AY147">
        <v>0</v>
      </c>
      <c r="AZ147">
        <v>0</v>
      </c>
      <c r="BA147">
        <v>0</v>
      </c>
      <c r="BB147">
        <v>0</v>
      </c>
      <c r="BC147">
        <v>8421</v>
      </c>
      <c r="BD147">
        <v>0</v>
      </c>
      <c r="BE147">
        <v>14413</v>
      </c>
      <c r="BF147">
        <v>0</v>
      </c>
      <c r="BG147">
        <v>0</v>
      </c>
      <c r="BH147">
        <v>0</v>
      </c>
    </row>
  </sheetData>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CD7F0-DFB1-43F5-A30C-2AEBB469DA4E}">
  <sheetPr>
    <pageSetUpPr autoPageBreaks="0"/>
  </sheetPr>
  <dimension ref="C7:W49"/>
  <sheetViews>
    <sheetView showGridLines="0" tabSelected="1" topLeftCell="D25" zoomScale="70" zoomScaleNormal="70" workbookViewId="0">
      <selection activeCell="N42" sqref="N42"/>
    </sheetView>
  </sheetViews>
  <sheetFormatPr defaultRowHeight="14.25" x14ac:dyDescent="0.2"/>
  <cols>
    <col min="1" max="1" width="2.875" style="8" customWidth="1"/>
    <col min="2" max="2" width="2.5" style="8" customWidth="1"/>
    <col min="3" max="3" width="9" style="8"/>
    <col min="4" max="4" width="11.375" style="8" customWidth="1"/>
    <col min="5" max="5" width="11.125" style="8" customWidth="1"/>
    <col min="6" max="6" width="15.625" style="8" customWidth="1"/>
    <col min="7" max="7" width="12.375" style="8" customWidth="1"/>
    <col min="8" max="8" width="4.75" style="8" customWidth="1"/>
    <col min="9" max="9" width="2.5" style="8" customWidth="1"/>
    <col min="10" max="10" width="1.625" style="8" customWidth="1"/>
    <col min="11" max="11" width="16.25" style="8" customWidth="1"/>
    <col min="12" max="12" width="15.125" style="8" customWidth="1"/>
    <col min="13" max="13" width="16.375" style="8" customWidth="1"/>
    <col min="14" max="14" width="12.25" style="8" customWidth="1"/>
    <col min="15" max="15" width="11.5" style="8" customWidth="1"/>
    <col min="16" max="16" width="4.5" style="8" customWidth="1"/>
    <col min="17" max="17" width="1.25" style="8" customWidth="1"/>
    <col min="18" max="18" width="19.625" style="8" customWidth="1"/>
    <col min="19" max="19" width="20.75" style="8" customWidth="1"/>
    <col min="20" max="20" width="10.125" style="8" customWidth="1"/>
    <col min="21" max="21" width="13.125" style="8" customWidth="1"/>
    <col min="22" max="22" width="14.625" style="8" customWidth="1"/>
    <col min="23" max="23" width="14.5" style="8" customWidth="1"/>
    <col min="24" max="16384" width="9" style="8"/>
  </cols>
  <sheetData>
    <row r="7" spans="5:23" ht="17.25" x14ac:dyDescent="0.3">
      <c r="E7" s="30">
        <f>Calculations!T21</f>
        <v>0.63888991401262141</v>
      </c>
      <c r="G7" s="35" t="str">
        <f>Calculations!AE51</f>
        <v>New Zealand</v>
      </c>
    </row>
    <row r="8" spans="5:23" ht="15" x14ac:dyDescent="0.25">
      <c r="E8" s="32">
        <f>E7</f>
        <v>0.63888991401262141</v>
      </c>
      <c r="G8" s="36" t="str">
        <f>Calculations!AF51</f>
        <v>$ 3.78 m</v>
      </c>
    </row>
    <row r="9" spans="5:23" x14ac:dyDescent="0.2">
      <c r="E9" s="31"/>
      <c r="G9" s="38" t="str">
        <f>Calculations!AH51</f>
        <v>$ 1.89 m</v>
      </c>
    </row>
    <row r="10" spans="5:23" x14ac:dyDescent="0.2">
      <c r="E10" s="31"/>
    </row>
    <row r="11" spans="5:23" x14ac:dyDescent="0.2">
      <c r="E11" s="31"/>
    </row>
    <row r="12" spans="5:23" x14ac:dyDescent="0.2">
      <c r="E12" s="31"/>
      <c r="G12" s="37" t="str">
        <f>Calculations!AE52</f>
        <v>India</v>
      </c>
    </row>
    <row r="13" spans="5:23" x14ac:dyDescent="0.2">
      <c r="E13" s="30">
        <f>Calculations!T22</f>
        <v>1.0972318647085002</v>
      </c>
      <c r="G13" s="59" t="str">
        <f>Calculations!AF52</f>
        <v>$ 3.76 m</v>
      </c>
    </row>
    <row r="14" spans="5:23" x14ac:dyDescent="0.2">
      <c r="E14" s="32">
        <f>E13</f>
        <v>1.0972318647085002</v>
      </c>
      <c r="G14" s="38" t="str">
        <f>Calculations!AH52</f>
        <v>$ 1.90 m</v>
      </c>
    </row>
    <row r="15" spans="5:23" ht="17.25" x14ac:dyDescent="0.3">
      <c r="E15" s="30"/>
      <c r="R15" s="51" t="str">
        <f>Calculations!W125</f>
        <v>Product</v>
      </c>
      <c r="S15" s="53" t="str">
        <f>Calculations!X125</f>
        <v>Sales🔽</v>
      </c>
      <c r="T15" s="53" t="str">
        <f>Calculations!Y125</f>
        <v>Boxes</v>
      </c>
      <c r="U15" s="53" t="str">
        <f>Calculations!Z125</f>
        <v>Profit</v>
      </c>
      <c r="V15" s="53" t="str">
        <f>Calculations!AA125</f>
        <v>Profit %</v>
      </c>
      <c r="W15" s="45" t="s">
        <v>147</v>
      </c>
    </row>
    <row r="16" spans="5:23" x14ac:dyDescent="0.2">
      <c r="E16" s="30"/>
      <c r="Q16" s="54">
        <f>Calculations!AB126</f>
        <v>1</v>
      </c>
      <c r="R16" s="59" t="str">
        <f>Calculations!W126</f>
        <v>99% Dark &amp; Pure</v>
      </c>
      <c r="S16" s="59">
        <f>Calculations!X126</f>
        <v>1089312</v>
      </c>
      <c r="T16" s="59">
        <f>Calculations!Y126</f>
        <v>60878</v>
      </c>
      <c r="U16" s="59">
        <f>Calculations!Z126</f>
        <v>805669.22240000009</v>
      </c>
      <c r="V16" s="59">
        <f>Calculations!AA126</f>
        <v>0.73961291383919403</v>
      </c>
      <c r="W16" s="59"/>
    </row>
    <row r="17" spans="5:23" x14ac:dyDescent="0.2">
      <c r="E17" s="31"/>
      <c r="Q17" s="54">
        <f>Calculations!AB127</f>
        <v>1</v>
      </c>
      <c r="R17" s="59" t="str">
        <f>Calculations!W127</f>
        <v>85% Dark Bars</v>
      </c>
      <c r="S17" s="59">
        <f>Calculations!X127</f>
        <v>1015994</v>
      </c>
      <c r="T17" s="59">
        <f>Calculations!Y127</f>
        <v>66004</v>
      </c>
      <c r="U17" s="59">
        <f>Calculations!Z127</f>
        <v>970068.41680000001</v>
      </c>
      <c r="V17" s="59">
        <f>Calculations!AA127</f>
        <v>0.95479738738614595</v>
      </c>
      <c r="W17" s="59"/>
    </row>
    <row r="18" spans="5:23" x14ac:dyDescent="0.2">
      <c r="E18" s="31"/>
      <c r="G18" s="37" t="str">
        <f>Calculations!AE53</f>
        <v>UK</v>
      </c>
      <c r="Q18" s="54">
        <f>Calculations!AB128</f>
        <v>1</v>
      </c>
      <c r="R18" s="59" t="str">
        <f>Calculations!W128</f>
        <v>Raspberry Choco</v>
      </c>
      <c r="S18" s="59">
        <f>Calculations!X128</f>
        <v>1005046</v>
      </c>
      <c r="T18" s="59">
        <f>Calculations!Y128</f>
        <v>55688</v>
      </c>
      <c r="U18" s="59">
        <f>Calculations!Z128</f>
        <v>665443.86959999998</v>
      </c>
      <c r="V18" s="59">
        <f>Calculations!AA128</f>
        <v>0.66210289837480074</v>
      </c>
      <c r="W18" s="59"/>
    </row>
    <row r="19" spans="5:23" x14ac:dyDescent="0.2">
      <c r="E19" s="30">
        <f>Calculations!T23</f>
        <v>0.53416149068322971</v>
      </c>
      <c r="G19" s="59" t="str">
        <f>Calculations!AF53</f>
        <v>$ 3.59 m</v>
      </c>
      <c r="Q19" s="54">
        <f>Calculations!AB129</f>
        <v>1</v>
      </c>
      <c r="R19" s="59" t="str">
        <f>Calculations!W129</f>
        <v>Almond Choco</v>
      </c>
      <c r="S19" s="59">
        <f>Calculations!X129</f>
        <v>995050</v>
      </c>
      <c r="T19" s="59">
        <f>Calculations!Y129</f>
        <v>52337</v>
      </c>
      <c r="U19" s="59">
        <f>Calculations!Z129</f>
        <v>296429.55550000025</v>
      </c>
      <c r="V19" s="59">
        <f>Calculations!AA129</f>
        <v>0.29790418119692502</v>
      </c>
      <c r="W19" s="59"/>
    </row>
    <row r="20" spans="5:23" x14ac:dyDescent="0.2">
      <c r="E20" s="32">
        <f>E19</f>
        <v>0.53416149068322971</v>
      </c>
      <c r="G20" s="38" t="str">
        <f>Calculations!AH53</f>
        <v>$ 1.82 m</v>
      </c>
      <c r="Q20" s="54">
        <f>Calculations!AB130</f>
        <v>1</v>
      </c>
      <c r="R20" s="59" t="str">
        <f>Calculations!W130</f>
        <v>Caramel Stuffed Bars</v>
      </c>
      <c r="S20" s="59">
        <f>Calculations!X130</f>
        <v>994021</v>
      </c>
      <c r="T20" s="59">
        <f>Calculations!Y130</f>
        <v>48730</v>
      </c>
      <c r="U20" s="59">
        <f>Calculations!Z130</f>
        <v>950212.73</v>
      </c>
      <c r="V20" s="59">
        <f>Calculations!AA130</f>
        <v>0.95592822485641649</v>
      </c>
      <c r="W20" s="59"/>
    </row>
    <row r="21" spans="5:23" x14ac:dyDescent="0.2">
      <c r="E21" s="31"/>
      <c r="Q21" s="54">
        <f>Calculations!AB131</f>
        <v>1</v>
      </c>
      <c r="R21" s="59" t="str">
        <f>Calculations!W131</f>
        <v>Smooth Sliky Salty</v>
      </c>
      <c r="S21" s="59">
        <f>Calculations!X131</f>
        <v>990794</v>
      </c>
      <c r="T21" s="59">
        <f>Calculations!Y131</f>
        <v>61790</v>
      </c>
      <c r="U21" s="59">
        <f>Calculations!Z131</f>
        <v>680620.55800000008</v>
      </c>
      <c r="V21" s="59">
        <f>Calculations!AA131</f>
        <v>0.68694456970873874</v>
      </c>
      <c r="W21" s="59"/>
    </row>
    <row r="22" spans="5:23" x14ac:dyDescent="0.2">
      <c r="E22" s="31"/>
      <c r="Q22" s="54">
        <f>Calculations!AB132</f>
        <v>1</v>
      </c>
      <c r="R22" s="59" t="str">
        <f>Calculations!W132</f>
        <v>Orange Choco</v>
      </c>
      <c r="S22" s="59">
        <f>Calculations!X132</f>
        <v>946099</v>
      </c>
      <c r="T22" s="59">
        <f>Calculations!Y132</f>
        <v>96847</v>
      </c>
      <c r="U22" s="59">
        <f>Calculations!Z132</f>
        <v>95104.410999999731</v>
      </c>
      <c r="V22" s="59">
        <f>Calculations!AA132</f>
        <v>0.10052268420112455</v>
      </c>
      <c r="W22" s="59"/>
    </row>
    <row r="23" spans="5:23" x14ac:dyDescent="0.2">
      <c r="E23" s="31"/>
      <c r="Q23" s="54">
        <f>Calculations!AB133</f>
        <v>1</v>
      </c>
      <c r="R23" s="59" t="str">
        <f>Calculations!W133</f>
        <v>Fruit &amp; Nut Bars</v>
      </c>
      <c r="S23" s="59">
        <f>Calculations!X133</f>
        <v>943551</v>
      </c>
      <c r="T23" s="59">
        <f>Calculations!Y133</f>
        <v>74319</v>
      </c>
      <c r="U23" s="59">
        <f>Calculations!Z133</f>
        <v>825123.67350000003</v>
      </c>
      <c r="V23" s="59">
        <f>Calculations!AA133</f>
        <v>0.87448762547016545</v>
      </c>
      <c r="W23" s="59"/>
    </row>
    <row r="24" spans="5:23" ht="17.25" x14ac:dyDescent="0.3">
      <c r="E24" s="31"/>
      <c r="G24" s="37" t="str">
        <f>Calculations!AE54</f>
        <v>Canada</v>
      </c>
      <c r="K24" s="51" t="str">
        <f>Calculations!S93</f>
        <v>Sales Person</v>
      </c>
      <c r="L24" s="52" t="str">
        <f>Calculations!S94</f>
        <v>Sales</v>
      </c>
      <c r="M24" s="52" t="str">
        <f>Calculations!S95</f>
        <v>Profit🔽</v>
      </c>
      <c r="N24" s="52" t="str">
        <f>Calculations!S96</f>
        <v>Profit %</v>
      </c>
      <c r="O24" s="45" t="s">
        <v>179</v>
      </c>
      <c r="Q24" s="54">
        <f>Calculations!AB134</f>
        <v>1</v>
      </c>
      <c r="R24" s="59" t="str">
        <f>Calculations!W134</f>
        <v>Milk Bars</v>
      </c>
      <c r="S24" s="59">
        <f>Calculations!X134</f>
        <v>942921</v>
      </c>
      <c r="T24" s="59">
        <f>Calculations!Y134</f>
        <v>37635</v>
      </c>
      <c r="U24" s="59">
        <f>Calculations!Z134</f>
        <v>872724.19799999997</v>
      </c>
      <c r="V24" s="59">
        <f>Calculations!AA134</f>
        <v>0.92555388839574049</v>
      </c>
      <c r="W24" s="59"/>
    </row>
    <row r="25" spans="5:23" x14ac:dyDescent="0.2">
      <c r="E25" s="30">
        <f>Calculations!T24</f>
        <v>0.50755752041189806</v>
      </c>
      <c r="G25" s="59" t="str">
        <f>Calculations!AF54</f>
        <v>$ 3.58 m</v>
      </c>
      <c r="K25" s="59" t="str" cm="1">
        <f t="array" ref="K25:N31">_xlfn.ANCHORARRAY(Calculations!J79)</f>
        <v>Roddy Speechley</v>
      </c>
      <c r="L25" s="60">
        <v>957047</v>
      </c>
      <c r="M25" s="61">
        <v>671941.45200000005</v>
      </c>
      <c r="N25" s="62">
        <v>0.70209869734715225</v>
      </c>
      <c r="O25" s="59"/>
      <c r="Q25" s="54">
        <f>Calculations!AB135</f>
        <v>1</v>
      </c>
      <c r="R25" s="59" t="str">
        <f>Calculations!W135</f>
        <v>Baker's Choco Chips</v>
      </c>
      <c r="S25" s="59">
        <f>Calculations!X135</f>
        <v>932491</v>
      </c>
      <c r="T25" s="59">
        <f>Calculations!Y135</f>
        <v>75226</v>
      </c>
      <c r="U25" s="59">
        <f>Calculations!Z135</f>
        <v>475034.17139999976</v>
      </c>
      <c r="V25" s="59">
        <f>Calculations!AA135</f>
        <v>0.50942493965089186</v>
      </c>
      <c r="W25" s="59"/>
    </row>
    <row r="26" spans="5:23" x14ac:dyDescent="0.2">
      <c r="E26" s="32">
        <f>E25</f>
        <v>0.50755752041189806</v>
      </c>
      <c r="G26" s="38" t="str">
        <f>Calculations!AH54</f>
        <v>$ 1.72 m</v>
      </c>
      <c r="K26" s="59" t="str">
        <v>Wilone O'Kielt</v>
      </c>
      <c r="L26" s="60">
        <v>944580</v>
      </c>
      <c r="M26" s="61">
        <v>655816.69989999989</v>
      </c>
      <c r="N26" s="62">
        <v>0.69429450115395186</v>
      </c>
      <c r="O26" s="59"/>
      <c r="Q26" s="54">
        <f>Calculations!AB136</f>
        <v>1</v>
      </c>
      <c r="R26" s="59" t="str">
        <f>Calculations!W136</f>
        <v>Mint Chip Choco</v>
      </c>
      <c r="S26" s="59">
        <f>Calculations!X136</f>
        <v>889056</v>
      </c>
      <c r="T26" s="59">
        <f>Calculations!Y136</f>
        <v>50948</v>
      </c>
      <c r="U26" s="59">
        <f>Calculations!Z136</f>
        <v>773628.21120000002</v>
      </c>
      <c r="V26" s="59">
        <f>Calculations!AA136</f>
        <v>0.87016814598855419</v>
      </c>
      <c r="W26" s="59"/>
    </row>
    <row r="27" spans="5:23" x14ac:dyDescent="0.2">
      <c r="E27" s="31"/>
      <c r="K27" s="59" t="str">
        <v>Gigi Bohling</v>
      </c>
      <c r="L27" s="60">
        <v>925057</v>
      </c>
      <c r="M27" s="61">
        <v>646165.54050000012</v>
      </c>
      <c r="N27" s="62">
        <v>0.69851429749734351</v>
      </c>
      <c r="O27" s="59"/>
      <c r="Q27" s="54">
        <f>Calculations!AB137</f>
        <v>0</v>
      </c>
      <c r="R27" s="59" t="str">
        <f>Calculations!W137</f>
        <v>Choco Coated Almonds</v>
      </c>
      <c r="S27" s="59">
        <f>Calculations!X137</f>
        <v>1075109</v>
      </c>
      <c r="T27" s="59">
        <f>Calculations!Y137</f>
        <v>59624</v>
      </c>
      <c r="U27" s="59">
        <f>Calculations!Z137</f>
        <v>391293.26879999985</v>
      </c>
      <c r="V27" s="59">
        <f>Calculations!AA137</f>
        <v>0.36395683488836933</v>
      </c>
      <c r="W27" s="59"/>
    </row>
    <row r="28" spans="5:23" x14ac:dyDescent="0.2">
      <c r="E28" s="31"/>
      <c r="K28" s="59" t="str">
        <v>Dotty Strutley</v>
      </c>
      <c r="L28" s="60">
        <v>922635</v>
      </c>
      <c r="M28" s="61">
        <v>619837.69369999971</v>
      </c>
      <c r="N28" s="62">
        <v>0.67181246505931347</v>
      </c>
      <c r="O28" s="59"/>
      <c r="Q28" s="54">
        <f>Calculations!AB138</f>
        <v>0</v>
      </c>
      <c r="R28" s="59" t="str">
        <f>Calculations!W138</f>
        <v>Organic Choco Syrup</v>
      </c>
      <c r="S28" s="59">
        <f>Calculations!X138</f>
        <v>1047011</v>
      </c>
      <c r="T28" s="59">
        <f>Calculations!Y138</f>
        <v>45761</v>
      </c>
      <c r="U28" s="59">
        <f>Calculations!Z138</f>
        <v>966357.23750000005</v>
      </c>
      <c r="V28" s="59">
        <f>Calculations!AA138</f>
        <v>0.92296760731262617</v>
      </c>
      <c r="W28" s="59"/>
    </row>
    <row r="29" spans="5:23" x14ac:dyDescent="0.2">
      <c r="E29" s="31"/>
      <c r="K29" s="59" t="str">
        <v>Kaine Padly</v>
      </c>
      <c r="L29" s="60">
        <v>828058</v>
      </c>
      <c r="M29" s="61">
        <v>563721.84470000002</v>
      </c>
      <c r="N29" s="62">
        <v>0.68077579674370636</v>
      </c>
      <c r="O29" s="59"/>
      <c r="Q29" s="54">
        <f>Calculations!AB139</f>
        <v>0</v>
      </c>
      <c r="R29" s="59" t="str">
        <f>Calculations!W139</f>
        <v>50% Dark Bites</v>
      </c>
      <c r="S29" s="59">
        <f>Calculations!X139</f>
        <v>1030323</v>
      </c>
      <c r="T29" s="59">
        <f>Calculations!Y139</f>
        <v>86978</v>
      </c>
      <c r="U29" s="59">
        <f>Calculations!Z139</f>
        <v>786784.60000000009</v>
      </c>
      <c r="V29" s="59">
        <f>Calculations!AA139</f>
        <v>0.76362907554233006</v>
      </c>
      <c r="W29" s="59"/>
    </row>
    <row r="30" spans="5:23" x14ac:dyDescent="0.2">
      <c r="E30" s="31"/>
      <c r="G30" s="37" t="str">
        <f>Calculations!AE55</f>
        <v>Australia</v>
      </c>
      <c r="K30" s="59" t="str">
        <v>Jan Morforth</v>
      </c>
      <c r="L30" s="60">
        <v>780038</v>
      </c>
      <c r="M30" s="61">
        <v>536614.89100000006</v>
      </c>
      <c r="N30" s="62">
        <v>0.68793429422669161</v>
      </c>
      <c r="O30" s="59"/>
      <c r="Q30" s="54">
        <f>Calculations!AB140</f>
        <v>0</v>
      </c>
      <c r="R30" s="59" t="str">
        <f>Calculations!W140</f>
        <v>Spicy Special Slims</v>
      </c>
      <c r="S30" s="59">
        <f>Calculations!X140</f>
        <v>1029490</v>
      </c>
      <c r="T30" s="59">
        <f>Calculations!Y140</f>
        <v>58052</v>
      </c>
      <c r="U30" s="59">
        <f>Calculations!Z140</f>
        <v>494912.35279999976</v>
      </c>
      <c r="V30" s="59">
        <f>Calculations!AA140</f>
        <v>0.48073546396759537</v>
      </c>
      <c r="W30" s="59"/>
    </row>
    <row r="31" spans="5:23" x14ac:dyDescent="0.2">
      <c r="E31" s="30">
        <f>Calculations!T25</f>
        <v>0.69450319977255837</v>
      </c>
      <c r="G31" s="59" t="str">
        <f>Calculations!AF55</f>
        <v>$ 3.55 m</v>
      </c>
      <c r="K31" s="59" t="str">
        <v>Curtice Advani</v>
      </c>
      <c r="L31" s="60">
        <v>779422</v>
      </c>
      <c r="M31" s="61">
        <v>531164.80779999995</v>
      </c>
      <c r="N31" s="62">
        <v>0.68148552106561011</v>
      </c>
      <c r="O31" s="59"/>
      <c r="Q31" s="54">
        <f>Calculations!AB141</f>
        <v>0</v>
      </c>
      <c r="R31" s="59" t="str">
        <f>Calculations!W141</f>
        <v>After Nines</v>
      </c>
      <c r="S31" s="59">
        <f>Calculations!X141</f>
        <v>1027054</v>
      </c>
      <c r="T31" s="59">
        <f>Calculations!Y141</f>
        <v>39893</v>
      </c>
      <c r="U31" s="59">
        <f>Calculations!Z141</f>
        <v>774068.55119999999</v>
      </c>
      <c r="V31" s="59">
        <f>Calculations!AA141</f>
        <v>0.75367853219012826</v>
      </c>
      <c r="W31" s="59"/>
    </row>
    <row r="32" spans="5:23" x14ac:dyDescent="0.2">
      <c r="E32" s="32">
        <f>E31</f>
        <v>0.69450319977255837</v>
      </c>
      <c r="G32" s="38" t="str">
        <f>Calculations!AH55</f>
        <v>$ 1.75 m</v>
      </c>
      <c r="K32" s="59"/>
      <c r="L32" s="60"/>
      <c r="M32" s="61"/>
      <c r="N32" s="62"/>
      <c r="O32" s="59"/>
      <c r="Q32" s="54">
        <f>Calculations!AB142</f>
        <v>0</v>
      </c>
      <c r="R32" s="59" t="str">
        <f>Calculations!W142</f>
        <v>Eclairs</v>
      </c>
      <c r="S32" s="59">
        <f>Calculations!X142</f>
        <v>992271</v>
      </c>
      <c r="T32" s="59">
        <f>Calculations!Y142</f>
        <v>64557</v>
      </c>
      <c r="U32" s="59">
        <f>Calculations!Z142</f>
        <v>810252.53850000002</v>
      </c>
      <c r="V32" s="59">
        <f>Calculations!AA142</f>
        <v>0.81656375979949025</v>
      </c>
      <c r="W32" s="59"/>
    </row>
    <row r="33" spans="3:23" x14ac:dyDescent="0.2">
      <c r="E33" s="31"/>
      <c r="K33" s="59"/>
      <c r="L33" s="60"/>
      <c r="M33" s="61"/>
      <c r="N33" s="62"/>
      <c r="O33" s="59"/>
      <c r="Q33" s="54">
        <f>Calculations!AB143</f>
        <v>0</v>
      </c>
      <c r="R33" s="59" t="str">
        <f>Calculations!W143</f>
        <v>Peanut Butter Cubes</v>
      </c>
      <c r="S33" s="59">
        <f>Calculations!X143</f>
        <v>987525</v>
      </c>
      <c r="T33" s="59">
        <f>Calculations!Y143</f>
        <v>50674</v>
      </c>
      <c r="U33" s="59">
        <f>Calculations!Z143</f>
        <v>749027.81900000013</v>
      </c>
      <c r="V33" s="59">
        <f>Calculations!AA143</f>
        <v>0.75848998151945535</v>
      </c>
      <c r="W33" s="59"/>
    </row>
    <row r="34" spans="3:23" x14ac:dyDescent="0.2">
      <c r="E34" s="31"/>
      <c r="K34" s="40"/>
      <c r="L34" s="41"/>
      <c r="M34" s="42"/>
      <c r="N34" s="43"/>
      <c r="Q34" s="54">
        <f>Calculations!AB144</f>
        <v>0</v>
      </c>
      <c r="R34" s="59" t="str">
        <f>Calculations!W144</f>
        <v>White Choc</v>
      </c>
      <c r="S34" s="59">
        <f>Calculations!X144</f>
        <v>979188</v>
      </c>
      <c r="T34" s="59">
        <f>Calculations!Y144</f>
        <v>87237</v>
      </c>
      <c r="U34" s="59">
        <f>Calculations!Z144</f>
        <v>958207.50150000001</v>
      </c>
      <c r="V34" s="59">
        <f>Calculations!AA144</f>
        <v>0.97857357473743556</v>
      </c>
      <c r="W34" s="59"/>
    </row>
    <row r="35" spans="3:23" x14ac:dyDescent="0.2">
      <c r="E35" s="31"/>
      <c r="K35" s="40"/>
      <c r="L35" s="41"/>
      <c r="M35" s="42"/>
      <c r="N35" s="43"/>
      <c r="Q35" s="54">
        <f>Calculations!AB145</f>
        <v>0</v>
      </c>
      <c r="R35" s="59" t="str">
        <f>Calculations!W145</f>
        <v>Manuka Honey Choco</v>
      </c>
      <c r="S35" s="59">
        <f>Calculations!X145</f>
        <v>948983</v>
      </c>
      <c r="T35" s="59">
        <f>Calculations!Y145</f>
        <v>39124</v>
      </c>
      <c r="U35" s="59">
        <f>Calculations!Z145</f>
        <v>640251.60360000003</v>
      </c>
      <c r="V35" s="59">
        <f>Calculations!AA145</f>
        <v>0.67467130981271528</v>
      </c>
      <c r="W35" s="59"/>
    </row>
    <row r="36" spans="3:23" x14ac:dyDescent="0.2">
      <c r="E36" s="31"/>
      <c r="G36" s="37" t="str">
        <f>Calculations!AE56</f>
        <v>USA</v>
      </c>
      <c r="K36" s="40"/>
      <c r="L36" s="41"/>
      <c r="M36" s="42"/>
      <c r="N36" s="43"/>
      <c r="Q36" s="54">
        <f>Calculations!AB146</f>
        <v>0</v>
      </c>
      <c r="R36" s="59" t="str">
        <f>Calculations!W146</f>
        <v>70% Dark Bites</v>
      </c>
      <c r="S36" s="59">
        <f>Calculations!X146</f>
        <v>938049</v>
      </c>
      <c r="T36" s="59">
        <f>Calculations!Y146</f>
        <v>82174</v>
      </c>
      <c r="U36" s="59">
        <f>Calculations!Z146</f>
        <v>260696.93540000007</v>
      </c>
      <c r="V36" s="59">
        <f>Calculations!AA146</f>
        <v>0.2779139846639142</v>
      </c>
      <c r="W36" s="59"/>
    </row>
    <row r="37" spans="3:23" x14ac:dyDescent="0.2">
      <c r="E37" s="30">
        <f>Calculations!T26</f>
        <v>3.3933509068815093E-2</v>
      </c>
      <c r="G37" s="59" t="str">
        <f>Calculations!AF56</f>
        <v>$ 3.45 m</v>
      </c>
      <c r="K37" s="40"/>
      <c r="L37" s="41"/>
      <c r="M37" s="42"/>
      <c r="N37" s="43"/>
      <c r="Q37" s="54">
        <f>Calculations!AB147</f>
        <v>0</v>
      </c>
      <c r="R37" s="59" t="str">
        <f>Calculations!W147</f>
        <v>Drinking Coco</v>
      </c>
      <c r="S37" s="59">
        <f>Calculations!X147</f>
        <v>902384</v>
      </c>
      <c r="T37" s="59">
        <f>Calculations!Y147</f>
        <v>50098</v>
      </c>
      <c r="U37" s="59">
        <f>Calculations!Z147</f>
        <v>778271.21479999996</v>
      </c>
      <c r="V37" s="59">
        <f>Calculations!AA147</f>
        <v>0.86246123025230936</v>
      </c>
      <c r="W37" s="59"/>
    </row>
    <row r="38" spans="3:23" x14ac:dyDescent="0.2">
      <c r="E38" s="32">
        <f>E37</f>
        <v>3.3933509068815093E-2</v>
      </c>
      <c r="G38" s="38" t="str">
        <f>Calculations!AH56</f>
        <v>$ 1.66 m</v>
      </c>
      <c r="K38" s="40"/>
      <c r="L38" s="41"/>
      <c r="M38" s="42"/>
      <c r="N38" s="43"/>
    </row>
    <row r="39" spans="3:23" x14ac:dyDescent="0.2">
      <c r="E39" s="31"/>
      <c r="G39" s="38"/>
      <c r="K39" s="40"/>
      <c r="L39" s="41"/>
      <c r="M39" s="42"/>
      <c r="N39" s="43"/>
    </row>
    <row r="40" spans="3:23" x14ac:dyDescent="0.2">
      <c r="K40" s="40"/>
      <c r="L40" s="41"/>
      <c r="M40" s="42"/>
      <c r="N40" s="40"/>
    </row>
    <row r="41" spans="3:23" x14ac:dyDescent="0.2">
      <c r="K41" s="40"/>
      <c r="L41" s="40"/>
      <c r="M41" s="42"/>
      <c r="N41" s="40"/>
    </row>
    <row r="42" spans="3:23" ht="27.75" customHeight="1" x14ac:dyDescent="0.2">
      <c r="C42" s="64" t="s">
        <v>213</v>
      </c>
      <c r="D42" s="63"/>
      <c r="E42" s="63"/>
      <c r="F42" s="56" t="s">
        <v>186</v>
      </c>
      <c r="G42" s="56" t="s">
        <v>147</v>
      </c>
      <c r="H42" s="55"/>
      <c r="I42" s="55"/>
      <c r="J42" s="55"/>
      <c r="K42" s="56" t="s">
        <v>210</v>
      </c>
      <c r="L42" s="56" t="s">
        <v>77</v>
      </c>
      <c r="M42" s="56" t="s">
        <v>186</v>
      </c>
      <c r="N42" s="56" t="s">
        <v>184</v>
      </c>
      <c r="O42" s="56"/>
      <c r="P42" s="55"/>
      <c r="Q42" s="55"/>
      <c r="R42" s="56" t="s">
        <v>186</v>
      </c>
      <c r="S42" s="57" t="s">
        <v>147</v>
      </c>
      <c r="T42" s="56" t="s">
        <v>209</v>
      </c>
      <c r="U42" s="56"/>
      <c r="V42" s="58" t="s">
        <v>214</v>
      </c>
      <c r="W42" s="56"/>
    </row>
    <row r="48" spans="3:23" x14ac:dyDescent="0.2">
      <c r="E48" s="56"/>
    </row>
    <row r="49" spans="7:7" x14ac:dyDescent="0.2">
      <c r="G49" s="46"/>
    </row>
  </sheetData>
  <sheetProtection algorithmName="SHA-512" hashValue="yCDteJ9wVtGTjE80kw7CgaEStGJLFZ3KOgrkGAKtK2PT5mFW1XD1jKiz7grPtb7nC1kwcvhv7PnFxCq96diBqA==" saltValue="eguVRb1HRuSZgAAlIznR1g==" spinCount="100000" sheet="1" objects="1" scenarios="1"/>
  <protectedRanges>
    <protectedRange sqref="W15" name="Range3"/>
    <protectedRange sqref="O24" name="Range2"/>
    <protectedRange sqref="F42:V42" name="Range1"/>
  </protectedRanges>
  <conditionalFormatting sqref="J25:J41">
    <cfRule type="expression" dxfId="4" priority="16">
      <formula>$K25 &lt;&gt;""</formula>
    </cfRule>
  </conditionalFormatting>
  <conditionalFormatting sqref="K25:O40">
    <cfRule type="expression" dxfId="3" priority="12">
      <formula>AND($K25&lt;&gt;"",MOD(ROWS($K$25:$K25),2)=0)</formula>
    </cfRule>
  </conditionalFormatting>
  <conditionalFormatting sqref="N25:N41 N43">
    <cfRule type="expression" priority="17" stopIfTrue="1">
      <formula>profit.icon.status = "OFF"</formula>
    </cfRule>
    <cfRule type="iconSet" priority="18">
      <iconSet>
        <cfvo type="percent" val="0"/>
        <cfvo type="percent" val="0.4"/>
        <cfvo type="num" val="0.6"/>
      </iconSet>
    </cfRule>
  </conditionalFormatting>
  <conditionalFormatting sqref="P38:P42">
    <cfRule type="expression" dxfId="2" priority="11">
      <formula>$Q38&lt;&gt;""</formula>
    </cfRule>
  </conditionalFormatting>
  <conditionalFormatting sqref="Q16:Q37">
    <cfRule type="expression" dxfId="1" priority="8">
      <formula>$Q16=1</formula>
    </cfRule>
  </conditionalFormatting>
  <conditionalFormatting sqref="R16:W37">
    <cfRule type="expression" dxfId="0" priority="1">
      <formula>MOD(ROWS($R$16:$R16),2)=0</formula>
    </cfRule>
  </conditionalFormatting>
  <conditionalFormatting sqref="V16:V37">
    <cfRule type="expression" priority="2" stopIfTrue="1">
      <formula>profit.icon.status="OFF"</formula>
    </cfRule>
    <cfRule type="iconSet" priority="7">
      <iconSet>
        <cfvo type="percent" val="0"/>
        <cfvo type="num" val="0.4"/>
        <cfvo type="num" val="0.6"/>
      </iconSet>
    </cfRule>
  </conditionalFormatting>
  <dataValidations count="6">
    <dataValidation type="list" allowBlank="1" showInputMessage="1" showErrorMessage="1" sqref="G42" xr:uid="{FEDD2AD0-B5AB-4988-AC09-94214FE095AC}">
      <formula1>sortoptions.country.list</formula1>
    </dataValidation>
    <dataValidation type="list" allowBlank="1" showInputMessage="1" showErrorMessage="1" sqref="O24 W15" xr:uid="{99E788D6-C72B-490C-8A87-E9CF0C126634}">
      <formula1>graph.options</formula1>
    </dataValidation>
    <dataValidation type="list" allowBlank="1" showInputMessage="1" showErrorMessage="1" sqref="L42" xr:uid="{7C236B11-AEE4-4976-9B05-836784C66C42}">
      <formula1>team.names</formula1>
    </dataValidation>
    <dataValidation type="list" allowBlank="1" showInputMessage="1" showErrorMessage="1" sqref="N42" xr:uid="{DC4C99E8-454B-49D7-8511-437A061F43F3}">
      <formula1>sort.options.for.peoples.table</formula1>
    </dataValidation>
    <dataValidation type="list" allowBlank="1" showInputMessage="1" showErrorMessage="1" sqref="S42" xr:uid="{BC83CC65-8913-4376-9010-5A7EAE9DBF1F}">
      <formula1>sort.options.product.table</formula1>
    </dataValidation>
    <dataValidation type="list" allowBlank="1" showInputMessage="1" showErrorMessage="1" sqref="V42" xr:uid="{38D8E9AA-4038-49A0-B927-6C3A6768B664}">
      <formula1>"On, Off"</formula1>
    </dataValidation>
  </dataValidations>
  <hyperlinks>
    <hyperlink ref="C42" r:id="rId1" xr:uid="{E9D10371-0EFA-4C6A-9557-122D4BCD3043}"/>
  </hyperlinks>
  <pageMargins left="0.7" right="0.7" top="0.75" bottom="0.75" header="0.3" footer="0.3"/>
  <pageSetup orientation="portrait" horizontalDpi="1200" verticalDpi="1200" r:id="rId2"/>
  <drawing r:id="rId3"/>
  <legacyDrawing r:id="rId4"/>
  <extLst>
    <ext xmlns:x14="http://schemas.microsoft.com/office/spreadsheetml/2009/9/main" uri="{78C0D931-6437-407d-A8EE-F0AAD7539E65}">
      <x14:conditionalFormattings>
        <x14:conditionalFormatting xmlns:xm="http://schemas.microsoft.com/office/excel/2006/main">
          <x14:cfRule type="iconSet" priority="31" id="{66DD0DAA-C891-4788-AD19-D01142464825}">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E7</xm:sqref>
        </x14:conditionalFormatting>
        <x14:conditionalFormatting xmlns:xm="http://schemas.microsoft.com/office/excel/2006/main">
          <x14:cfRule type="expression" priority="25" id="{35A53A45-864D-4C74-8492-E2124F5F06E8}">
            <xm:f>Calculations!$F$6&lt;3</xm:f>
            <x14:dxf>
              <font>
                <color theme="7"/>
              </font>
            </x14:dxf>
          </x14:cfRule>
          <xm:sqref>E8 E14 E20 E26 E32 E38</xm:sqref>
        </x14:conditionalFormatting>
        <x14:conditionalFormatting xmlns:xm="http://schemas.microsoft.com/office/excel/2006/main">
          <x14:cfRule type="iconSet" priority="24" id="{BD94C987-652D-445A-9290-AAEB99B35F4B}">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E13</xm:sqref>
        </x14:conditionalFormatting>
        <x14:conditionalFormatting xmlns:xm="http://schemas.microsoft.com/office/excel/2006/main">
          <x14:cfRule type="iconSet" priority="30" id="{AA120B4E-5AD6-4AAD-9C7C-7C9B23DC328E}">
            <x14:iconSet iconSet="3Triangles" showValue="0">
              <x14:cfvo type="percent">
                <xm:f>0</xm:f>
              </x14:cfvo>
              <x14:cfvo type="percent">
                <xm:f>0</xm:f>
              </x14:cfvo>
              <x14:cfvo type="num">
                <xm:f>0</xm:f>
              </x14:cfvo>
            </x14:iconSet>
          </x14:cfRule>
          <xm:sqref>E15</xm:sqref>
        </x14:conditionalFormatting>
        <x14:conditionalFormatting xmlns:xm="http://schemas.microsoft.com/office/excel/2006/main">
          <x14:cfRule type="iconSet" priority="23" id="{B996884A-6C77-45BE-836E-79FB89DE10B0}">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E19</xm:sqref>
        </x14:conditionalFormatting>
        <x14:conditionalFormatting xmlns:xm="http://schemas.microsoft.com/office/excel/2006/main">
          <x14:cfRule type="iconSet" priority="22" id="{D6F1E1F4-FAC2-4CC7-9CEF-4BFF57E9CF4D}">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E25</xm:sqref>
        </x14:conditionalFormatting>
        <x14:conditionalFormatting xmlns:xm="http://schemas.microsoft.com/office/excel/2006/main">
          <x14:cfRule type="iconSet" priority="21" id="{D80B928C-BF62-407F-B13E-6298204A57FE}">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E31</xm:sqref>
        </x14:conditionalFormatting>
        <x14:conditionalFormatting xmlns:xm="http://schemas.microsoft.com/office/excel/2006/main">
          <x14:cfRule type="iconSet" priority="20" id="{3C2A8118-79D7-42A7-B022-92C2EAF79018}">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E37</xm:sqref>
        </x14:conditionalFormatting>
        <x14:conditionalFormatting xmlns:xm="http://schemas.microsoft.com/office/excel/2006/main">
          <x14:cfRule type="dataBar" priority="19" id="{CAF9453C-E0EB-484E-B45B-0FD23772B7A9}">
            <x14:dataBar minLength="0" maxLength="100" gradient="0">
              <x14:cfvo type="num">
                <xm:f>0</xm:f>
              </x14:cfvo>
              <x14:cfvo type="num">
                <xm:f>Calculations!$K$75</xm:f>
              </x14:cfvo>
              <x14:fillColor rgb="FF638EC6"/>
              <x14:negativeFillColor rgb="FFFF0000"/>
              <x14:axisColor rgb="FF000000"/>
            </x14:dataBar>
          </x14:cfRule>
          <xm:sqref>L25:L41</xm:sqref>
        </x14:conditionalFormatting>
        <x14:conditionalFormatting xmlns:xm="http://schemas.microsoft.com/office/excel/2006/main">
          <x14:cfRule type="dataBar" priority="9" id="{7D798896-864C-4EB2-A294-1FB52FBF1480}">
            <x14:dataBar minLength="0" maxLength="100" gradient="0">
              <x14:cfvo type="num">
                <xm:f>0</xm:f>
              </x14:cfvo>
              <x14:cfvo type="num">
                <xm:f>Calculations!$E$123</xm:f>
              </x14:cfvo>
              <x14:fillColor rgb="FF008AEF"/>
              <x14:negativeFillColor rgb="FFFF0000"/>
              <x14:axisColor rgb="FF000000"/>
            </x14:dataBar>
          </x14:cfRule>
          <xm:sqref>S16:S37</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940E1DFC-9272-4D2B-BEA7-CD07198C830A}">
          <x14:colorSeries theme="7"/>
          <x14:colorNegative rgb="FFD00000"/>
          <x14:colorAxis rgb="FF000000"/>
          <x14:colorMarkers rgb="FFD00000"/>
          <x14:colorFirst rgb="FFD00000"/>
          <x14:colorLast rgb="FFD00000"/>
          <x14:colorHigh rgb="FFD00000"/>
          <x14:colorLow rgb="FFD00000"/>
          <x14:sparklines>
            <x14:sparkline>
              <xm:f>Calculations!AG126:BH126</xm:f>
              <xm:sqref>W16</xm:sqref>
            </x14:sparkline>
            <x14:sparkline>
              <xm:f>Calculations!AG127:BH127</xm:f>
              <xm:sqref>W17</xm:sqref>
            </x14:sparkline>
            <x14:sparkline>
              <xm:f>Calculations!AG128:BH128</xm:f>
              <xm:sqref>W18</xm:sqref>
            </x14:sparkline>
            <x14:sparkline>
              <xm:f>Calculations!AG129:BH129</xm:f>
              <xm:sqref>W19</xm:sqref>
            </x14:sparkline>
            <x14:sparkline>
              <xm:f>Calculations!AG130:BH130</xm:f>
              <xm:sqref>W20</xm:sqref>
            </x14:sparkline>
            <x14:sparkline>
              <xm:f>Calculations!AG131:BH131</xm:f>
              <xm:sqref>W21</xm:sqref>
            </x14:sparkline>
            <x14:sparkline>
              <xm:f>Calculations!AG132:BH132</xm:f>
              <xm:sqref>W22</xm:sqref>
            </x14:sparkline>
            <x14:sparkline>
              <xm:f>Calculations!AG133:BH133</xm:f>
              <xm:sqref>W23</xm:sqref>
            </x14:sparkline>
            <x14:sparkline>
              <xm:f>Calculations!AG134:BH134</xm:f>
              <xm:sqref>W24</xm:sqref>
            </x14:sparkline>
            <x14:sparkline>
              <xm:f>Calculations!AG135:BH135</xm:f>
              <xm:sqref>W25</xm:sqref>
            </x14:sparkline>
            <x14:sparkline>
              <xm:f>Calculations!AG136:BH136</xm:f>
              <xm:sqref>W26</xm:sqref>
            </x14:sparkline>
            <x14:sparkline>
              <xm:f>Calculations!AG137:BH137</xm:f>
              <xm:sqref>W27</xm:sqref>
            </x14:sparkline>
            <x14:sparkline>
              <xm:f>Calculations!AG138:BH138</xm:f>
              <xm:sqref>W28</xm:sqref>
            </x14:sparkline>
            <x14:sparkline>
              <xm:f>Calculations!AG139:BH139</xm:f>
              <xm:sqref>W29</xm:sqref>
            </x14:sparkline>
            <x14:sparkline>
              <xm:f>Calculations!AG140:BH140</xm:f>
              <xm:sqref>W30</xm:sqref>
            </x14:sparkline>
            <x14:sparkline>
              <xm:f>Calculations!AG141:BH141</xm:f>
              <xm:sqref>W31</xm:sqref>
            </x14:sparkline>
            <x14:sparkline>
              <xm:f>Calculations!AG142:BH142</xm:f>
              <xm:sqref>W32</xm:sqref>
            </x14:sparkline>
            <x14:sparkline>
              <xm:f>Calculations!AG143:BH143</xm:f>
              <xm:sqref>W33</xm:sqref>
            </x14:sparkline>
            <x14:sparkline>
              <xm:f>Calculations!AG144:BH144</xm:f>
              <xm:sqref>W34</xm:sqref>
            </x14:sparkline>
            <x14:sparkline>
              <xm:f>Calculations!AG145:BH145</xm:f>
              <xm:sqref>W35</xm:sqref>
            </x14:sparkline>
            <x14:sparkline>
              <xm:f>Calculations!AG146:BH146</xm:f>
              <xm:sqref>W36</xm:sqref>
            </x14:sparkline>
            <x14:sparkline>
              <xm:f>Calculations!AG147:BH147</xm:f>
              <xm:sqref>W37</xm:sqref>
            </x14:sparkline>
          </x14:sparklines>
        </x14:sparklineGroup>
        <x14:sparklineGroup type="column" displayEmptyCellsAs="gap" xr2:uid="{6C7BB00F-2737-4641-8FED-786CEF0C45E8}">
          <x14:colorSeries theme="7" tint="-0.249977111117893"/>
          <x14:colorNegative rgb="FFD00000"/>
          <x14:colorAxis rgb="FF000000"/>
          <x14:colorMarkers rgb="FFD00000"/>
          <x14:colorFirst rgb="FFD00000"/>
          <x14:colorLast rgb="FFD00000"/>
          <x14:colorHigh rgb="FFD00000"/>
          <x14:colorLow rgb="FFD00000"/>
          <x14:sparklines>
            <x14:sparkline>
              <xm:f>Calculations!U79:AV79</xm:f>
              <xm:sqref>O25</xm:sqref>
            </x14:sparkline>
            <x14:sparkline>
              <xm:f>Calculations!U80:AV80</xm:f>
              <xm:sqref>O26</xm:sqref>
            </x14:sparkline>
            <x14:sparkline>
              <xm:f>Calculations!U81:AV81</xm:f>
              <xm:sqref>O27</xm:sqref>
            </x14:sparkline>
            <x14:sparkline>
              <xm:f>Calculations!U82:AV82</xm:f>
              <xm:sqref>O28</xm:sqref>
            </x14:sparkline>
            <x14:sparkline>
              <xm:f>Calculations!U83:AV83</xm:f>
              <xm:sqref>O29</xm:sqref>
            </x14:sparkline>
            <x14:sparkline>
              <xm:f>Calculations!U84:AV84</xm:f>
              <xm:sqref>O30</xm:sqref>
            </x14:sparkline>
            <x14:sparkline>
              <xm:f>Calculations!U85:AV85</xm:f>
              <xm:sqref>O31</xm:sqref>
            </x14:sparkline>
            <x14:sparkline>
              <xm:f>Calculations!U86:AV86</xm:f>
              <xm:sqref>O32</xm:sqref>
            </x14:sparkline>
            <x14:sparkline>
              <xm:f>Calculations!U87:AV87</xm:f>
              <xm:sqref>O33</xm:sqref>
            </x14:sparkline>
            <x14:sparkline>
              <xm:f>Calculations!U88:AV88</xm:f>
              <xm:sqref>O34</xm:sqref>
            </x14:sparkline>
            <x14:sparkline>
              <xm:f>Calculations!U89:AV89</xm:f>
              <xm:sqref>O35</xm:sqref>
            </x14:sparkline>
            <x14:sparkline>
              <xm:f>Calculations!U90:AV90</xm:f>
              <xm:sqref>O36</xm:sqref>
            </x14:sparkline>
          </x14:sparklines>
        </x14:sparklineGroup>
      </x14:sparklineGroups>
    </ex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DATA</vt:lpstr>
      <vt:lpstr>Assets</vt:lpstr>
      <vt:lpstr>Calculations</vt:lpstr>
      <vt:lpstr>Dashboard</vt:lpstr>
      <vt:lpstr>country.maps</vt:lpstr>
      <vt:lpstr>country.names</vt:lpstr>
      <vt:lpstr>graph.options</vt:lpstr>
      <vt:lpstr>max.amount.limit</vt:lpstr>
      <vt:lpstr>profit.icon.status</vt:lpstr>
      <vt:lpstr>selected.team</vt:lpstr>
      <vt:lpstr>sort.options.country.list</vt:lpstr>
      <vt:lpstr>sort.options.for.peoples.table</vt:lpstr>
      <vt:lpstr>sort.options.product.table</vt:lpstr>
      <vt:lpstr>sortoptions.country.list</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Talha Naeem Rao</dc:creator>
  <cp:lastModifiedBy>Talha Naeem Rao</cp:lastModifiedBy>
  <dcterms:created xsi:type="dcterms:W3CDTF">2021-03-14T20:21:32Z</dcterms:created>
  <dcterms:modified xsi:type="dcterms:W3CDTF">2023-09-03T17:44:45Z</dcterms:modified>
</cp:coreProperties>
</file>