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5.xml" ContentType="application/vnd.openxmlformats-officedocument.drawing+xml"/>
  <Override PartName="/xl/embeddings/oleObject6.bin" ContentType="application/vnd.openxmlformats-officedocument.oleObject"/>
  <Override PartName="/xl/drawings/drawing6.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drawings/drawing7.xml" ContentType="application/vnd.openxmlformats-officedocument.drawing+xml"/>
  <Override PartName="/xl/embeddings/oleObject9.bin" ContentType="application/vnd.openxmlformats-officedocument.oleObject"/>
  <Override PartName="/xl/drawings/drawing8.xml" ContentType="application/vnd.openxmlformats-officedocument.drawing+xml"/>
  <Override PartName="/xl/embeddings/oleObject10.bin" ContentType="application/vnd.openxmlformats-officedocument.oleObject"/>
  <Override PartName="/xl/drawings/drawing9.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drawings/drawing10.xml" ContentType="application/vnd.openxmlformats-officedocument.drawing+xml"/>
  <Override PartName="/xl/embeddings/oleObject13.bin" ContentType="application/vnd.openxmlformats-officedocument.oleObject"/>
  <Override PartName="/xl/drawings/drawing11.xml" ContentType="application/vnd.openxmlformats-officedocument.drawing+xml"/>
  <Override PartName="/xl/embeddings/oleObject14.bin" ContentType="application/vnd.openxmlformats-officedocument.oleObject"/>
  <Override PartName="/xl/drawings/drawing12.xml" ContentType="application/vnd.openxmlformats-officedocument.drawing+xml"/>
  <Override PartName="/xl/embeddings/oleObject15.bin" ContentType="application/vnd.openxmlformats-officedocument.oleObject"/>
  <Override PartName="/xl/drawings/drawing13.xml" ContentType="application/vnd.openxmlformats-officedocument.drawing+xml"/>
  <Override PartName="/xl/embeddings/oleObject16.bin" ContentType="application/vnd.openxmlformats-officedocument.oleObject"/>
  <Override PartName="/xl/drawings/drawing14.xml" ContentType="application/vnd.openxmlformats-officedocument.drawing+xml"/>
  <Override PartName="/xl/embeddings/oleObject17.bin" ContentType="application/vnd.openxmlformats-officedocument.oleObject"/>
  <Override PartName="/xl/drawings/drawing15.xml" ContentType="application/vnd.openxmlformats-officedocument.drawing+xml"/>
  <Override PartName="/xl/embeddings/oleObject18.bin" ContentType="application/vnd.openxmlformats-officedocument.oleObject"/>
  <Override PartName="/xl/drawings/drawing16.xml" ContentType="application/vnd.openxmlformats-officedocument.drawing+xml"/>
  <Override PartName="/xl/embeddings/oleObject19.bin" ContentType="application/vnd.openxmlformats-officedocument.oleObject"/>
  <Override PartName="/xl/drawings/drawing17.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4000" windowHeight="9735" tabRatio="898" activeTab="2"/>
  </bookViews>
  <sheets>
    <sheet name="Sheet1" sheetId="56" r:id="rId1"/>
    <sheet name="Summary" sheetId="18" r:id="rId2"/>
    <sheet name="Anx A" sheetId="2" r:id="rId3"/>
    <sheet name="Anx B" sheetId="11" r:id="rId4"/>
    <sheet name="Anx C " sheetId="17" r:id="rId5"/>
    <sheet name="Consumtion State" sheetId="60" r:id="rId6"/>
    <sheet name="Anx D" sheetId="5" r:id="rId7"/>
    <sheet name="Anx E" sheetId="19" r:id="rId8"/>
    <sheet name="Anx F Contr " sheetId="25" r:id="rId9"/>
    <sheet name="Anx F Petty" sheetId="46" r:id="rId10"/>
    <sheet name="Anx G" sheetId="6" r:id="rId11"/>
    <sheet name="Anx H" sheetId="8" r:id="rId12"/>
    <sheet name="Anx J" sheetId="7" r:id="rId13"/>
    <sheet name="Anx k" sheetId="10" r:id="rId14"/>
    <sheet name="Anx L" sheetId="15" r:id="rId15"/>
    <sheet name="Anx M" sheetId="21" r:id="rId16"/>
    <sheet name="Anx N" sheetId="22" r:id="rId17"/>
    <sheet name="Anx O" sheetId="57" r:id="rId18"/>
    <sheet name="Appx I to Anx A" sheetId="41" r:id="rId19"/>
    <sheet name="w.d detail" sheetId="55" r:id="rId20"/>
    <sheet name="Tax on Jul to Oct-24" sheetId="59" r:id="rId21"/>
  </sheets>
  <externalReferences>
    <externalReference r:id="rId22"/>
    <externalReference r:id="rId23"/>
    <externalReference r:id="rId24"/>
    <externalReference r:id="rId25"/>
  </externalReferences>
  <definedNames>
    <definedName name="_xlnm._FilterDatabase" localSheetId="11" hidden="1">'Anx H'!$D$7:$H$68</definedName>
    <definedName name="Annexb" localSheetId="20">#REF!</definedName>
    <definedName name="Annexb">#REF!</definedName>
    <definedName name="assets" localSheetId="17">#REF!</definedName>
    <definedName name="assets" localSheetId="18">#REF!</definedName>
    <definedName name="assets" localSheetId="20">#REF!</definedName>
    <definedName name="assets">#REF!</definedName>
    <definedName name="bal" localSheetId="20">[1]tb!$A$1:$D$1045</definedName>
    <definedName name="bal">[2]tb!$A$1:$D$1257</definedName>
    <definedName name="_xlnm.Database" localSheetId="20">#REF!</definedName>
    <definedName name="_xlnm.Database">#REF!</definedName>
    <definedName name="dpr" localSheetId="17">#REF!</definedName>
    <definedName name="dpr" localSheetId="18">#REF!</definedName>
    <definedName name="dpr" localSheetId="20">#REF!</definedName>
    <definedName name="dpr">#REF!</definedName>
    <definedName name="JKC" localSheetId="20">#REF!</definedName>
    <definedName name="JKC">#REF!</definedName>
    <definedName name="JKCFSD" localSheetId="20">#REF!</definedName>
    <definedName name="JKCFSD">#REF!</definedName>
    <definedName name="knb" localSheetId="18">#REF!</definedName>
    <definedName name="knb" localSheetId="20">#REF!</definedName>
    <definedName name="knb">#REF!</definedName>
    <definedName name="_xlnm.Print_Area" localSheetId="2">'Anx A'!$A$1:$H$59</definedName>
    <definedName name="_xlnm.Print_Area" localSheetId="3">'Anx B'!$A$1:$H$23</definedName>
    <definedName name="_xlnm.Print_Area" localSheetId="4">'Anx C '!$A$1:$K$67</definedName>
    <definedName name="_xlnm.Print_Area" localSheetId="6">'Anx D'!$A$1:$E$118</definedName>
    <definedName name="_xlnm.Print_Area" localSheetId="7">'Anx E'!$A$1:$Z$79</definedName>
    <definedName name="_xlnm.Print_Area" localSheetId="8">'Anx F Contr '!$A$1:$P$323</definedName>
    <definedName name="_xlnm.Print_Area" localSheetId="9">'Anx F Petty'!$A$1:$P$9</definedName>
    <definedName name="_xlnm.Print_Area" localSheetId="10">'Anx G'!$A$1:$X$101</definedName>
    <definedName name="_xlnm.Print_Area" localSheetId="11">'Anx H'!$A$1:$T$68</definedName>
    <definedName name="_xlnm.Print_Area" localSheetId="12">'Anx J'!$A$1:$T$41</definedName>
    <definedName name="_xlnm.Print_Area" localSheetId="13">'Anx k'!$A$1:$J$14</definedName>
    <definedName name="_xlnm.Print_Area" localSheetId="14">'Anx L'!$A$1:$I$43</definedName>
    <definedName name="_xlnm.Print_Area" localSheetId="15">'Anx M'!$A$1:$G$25</definedName>
    <definedName name="_xlnm.Print_Area" localSheetId="16">'Anx N'!$A$1:$G$48</definedName>
    <definedName name="_xlnm.Print_Area" localSheetId="17">'Anx O'!$A$1:$E$23</definedName>
    <definedName name="_xlnm.Print_Area" localSheetId="18">'Appx I to Anx A'!$A$1:$K$42</definedName>
    <definedName name="_xlnm.Print_Area" localSheetId="1">Summary!$A$1:$G$46</definedName>
    <definedName name="_xlnm.Print_Titles" localSheetId="6">'Anx D'!$1:$7</definedName>
    <definedName name="_xlnm.Print_Titles" localSheetId="8">'Anx F Contr '!$7:$8</definedName>
    <definedName name="_xlnm.Print_Titles" localSheetId="18">'Appx I to Anx A'!$1:$8</definedName>
    <definedName name="s" localSheetId="20">#REF!</definedName>
    <definedName name="s">#REF!</definedName>
  </definedNames>
  <calcPr calcId="162913"/>
</workbook>
</file>

<file path=xl/calcChain.xml><?xml version="1.0" encoding="utf-8"?>
<calcChain xmlns="http://schemas.openxmlformats.org/spreadsheetml/2006/main">
  <c r="M40" i="7" l="1"/>
  <c r="M27" i="7"/>
  <c r="D16" i="5"/>
  <c r="C56" i="5" l="1"/>
  <c r="C102" i="5"/>
  <c r="D10" i="11"/>
  <c r="D17" i="11"/>
  <c r="C17" i="11"/>
  <c r="D10" i="10"/>
  <c r="D11" i="10"/>
  <c r="L40" i="6" l="1"/>
  <c r="P40" i="6"/>
  <c r="F45" i="60" l="1"/>
  <c r="F44" i="60"/>
  <c r="F43" i="60"/>
  <c r="F42" i="60"/>
  <c r="F41" i="60"/>
  <c r="F40" i="60"/>
  <c r="F39" i="60"/>
  <c r="F36" i="60"/>
  <c r="F34" i="60"/>
  <c r="F33" i="60"/>
  <c r="F28" i="60"/>
  <c r="F7" i="60"/>
  <c r="F35" i="60"/>
  <c r="F29" i="60"/>
  <c r="F27" i="60"/>
  <c r="F31" i="60"/>
  <c r="F30" i="60"/>
  <c r="F24" i="60"/>
  <c r="F22" i="60"/>
  <c r="F18" i="60"/>
  <c r="F16" i="60"/>
  <c r="F19" i="60"/>
  <c r="F20" i="60"/>
  <c r="F21" i="60"/>
  <c r="F15" i="60"/>
  <c r="F13" i="60"/>
  <c r="F9" i="60"/>
  <c r="F10" i="60"/>
  <c r="F8" i="60"/>
  <c r="F6" i="60"/>
  <c r="F11" i="60" l="1"/>
  <c r="F12" i="60"/>
  <c r="F17" i="60"/>
  <c r="F25" i="60"/>
  <c r="F26" i="60"/>
  <c r="F38" i="60"/>
  <c r="F37" i="60"/>
  <c r="G7" i="60"/>
  <c r="G6" i="60"/>
  <c r="G8" i="60"/>
  <c r="A7" i="60"/>
  <c r="A8" i="60" s="1"/>
  <c r="A9" i="60" s="1"/>
  <c r="C69" i="5"/>
  <c r="A10" i="60" l="1"/>
  <c r="A11" i="60" s="1"/>
  <c r="A12" i="60" s="1"/>
  <c r="A13" i="60" s="1"/>
  <c r="A14" i="60" s="1"/>
  <c r="A15" i="60" s="1"/>
  <c r="A16" i="60" s="1"/>
  <c r="A17" i="60" s="1"/>
  <c r="A18" i="60" s="1"/>
  <c r="A19" i="60" s="1"/>
  <c r="A20" i="60" s="1"/>
  <c r="A21" i="60" s="1"/>
  <c r="A22" i="60" s="1"/>
  <c r="A23" i="60" s="1"/>
  <c r="A24" i="60" s="1"/>
  <c r="A25" i="60" s="1"/>
  <c r="A26" i="60" s="1"/>
  <c r="A27" i="60" s="1"/>
  <c r="A28" i="60" s="1"/>
  <c r="A29" i="60" s="1"/>
  <c r="A30" i="60" s="1"/>
  <c r="A31" i="60" s="1"/>
  <c r="A32" i="60" s="1"/>
  <c r="A33" i="60" s="1"/>
  <c r="A34" i="60" s="1"/>
  <c r="A35" i="60" s="1"/>
  <c r="A36" i="60" s="1"/>
  <c r="A37" i="60" s="1"/>
  <c r="A38" i="60" s="1"/>
  <c r="A39" i="60" s="1"/>
  <c r="A40" i="60" s="1"/>
  <c r="A41" i="60" s="1"/>
  <c r="A42" i="60" s="1"/>
  <c r="A43" i="60" s="1"/>
  <c r="A44" i="60" s="1"/>
  <c r="A45" i="60" s="1"/>
  <c r="A46" i="60" s="1"/>
  <c r="Q87" i="6" l="1"/>
  <c r="Q88"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10" i="6"/>
  <c r="W12" i="19"/>
  <c r="W13" i="19"/>
  <c r="W14" i="19"/>
  <c r="W15" i="19"/>
  <c r="W16" i="19"/>
  <c r="W17" i="19"/>
  <c r="W18" i="19"/>
  <c r="W19" i="19"/>
  <c r="W20" i="19"/>
  <c r="W21" i="19"/>
  <c r="W22" i="19"/>
  <c r="W23" i="19"/>
  <c r="W24" i="19"/>
  <c r="W25" i="19"/>
  <c r="W26" i="19"/>
  <c r="W27" i="19"/>
  <c r="W28" i="19"/>
  <c r="W29" i="19"/>
  <c r="W30" i="19"/>
  <c r="W31" i="19"/>
  <c r="W32" i="19"/>
  <c r="W33" i="19"/>
  <c r="W34" i="19"/>
  <c r="W35" i="19"/>
  <c r="W36" i="19"/>
  <c r="W37" i="19"/>
  <c r="W38" i="19"/>
  <c r="W39" i="19"/>
  <c r="W40" i="19"/>
  <c r="W41" i="19"/>
  <c r="W42" i="19"/>
  <c r="W43" i="19"/>
  <c r="W44" i="19"/>
  <c r="W45" i="19"/>
  <c r="W46" i="19"/>
  <c r="W47" i="19"/>
  <c r="W48" i="19"/>
  <c r="W49" i="19"/>
  <c r="W50" i="19"/>
  <c r="W51" i="19"/>
  <c r="W52" i="19"/>
  <c r="W53" i="19"/>
  <c r="W54" i="19"/>
  <c r="W55" i="19"/>
  <c r="W56" i="19"/>
  <c r="W57" i="19"/>
  <c r="W58" i="19"/>
  <c r="W59" i="19"/>
  <c r="W60" i="19"/>
  <c r="W61" i="19"/>
  <c r="W8" i="19"/>
  <c r="W9" i="19"/>
  <c r="W10" i="19"/>
  <c r="W11" i="19"/>
  <c r="W7" i="19"/>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12" i="5"/>
  <c r="E13" i="5"/>
  <c r="E14" i="5"/>
  <c r="E15" i="5"/>
  <c r="E16" i="5"/>
  <c r="E17" i="5"/>
  <c r="E21"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10" i="5"/>
  <c r="E71" i="5"/>
  <c r="D16" i="57"/>
  <c r="F72" i="5"/>
  <c r="G72" i="5"/>
  <c r="J7" i="5" s="1"/>
  <c r="H72" i="5"/>
  <c r="R59" i="17" l="1"/>
  <c r="S59" i="17" s="1"/>
  <c r="T59" i="17" s="1"/>
  <c r="B61" i="19"/>
  <c r="C61" i="19"/>
  <c r="E61" i="19"/>
  <c r="F61" i="19"/>
  <c r="I59" i="17"/>
  <c r="H59" i="17"/>
  <c r="U61" i="19" l="1"/>
  <c r="V61" i="19" s="1"/>
  <c r="U59" i="17"/>
  <c r="N61" i="19"/>
  <c r="H61" i="19"/>
  <c r="I61" i="19" s="1"/>
  <c r="J61" i="19" s="1"/>
  <c r="M61" i="19" s="1"/>
  <c r="D14" i="11"/>
  <c r="F14" i="11" s="1"/>
  <c r="D20" i="11"/>
  <c r="D19" i="11"/>
  <c r="F19" i="11" s="1"/>
  <c r="D16" i="11"/>
  <c r="D15" i="11"/>
  <c r="D13" i="11"/>
  <c r="D12" i="11"/>
  <c r="F12" i="11" s="1"/>
  <c r="D11" i="11"/>
  <c r="P10" i="11"/>
  <c r="D9" i="11"/>
  <c r="D8" i="11"/>
  <c r="I18" i="17"/>
  <c r="I17" i="17"/>
  <c r="I16" i="17"/>
  <c r="I15" i="17"/>
  <c r="I14" i="17"/>
  <c r="I13" i="17"/>
  <c r="I9" i="17"/>
  <c r="I10" i="17"/>
  <c r="I11" i="17"/>
  <c r="I12"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8" i="17"/>
  <c r="F9" i="11"/>
  <c r="F10" i="11"/>
  <c r="F11" i="11"/>
  <c r="F13" i="11"/>
  <c r="F15" i="11"/>
  <c r="F16" i="11"/>
  <c r="F17" i="11"/>
  <c r="F18" i="11"/>
  <c r="F20" i="11"/>
  <c r="F8" i="11"/>
  <c r="O61" i="19" l="1"/>
  <c r="Q61" i="19" s="1"/>
  <c r="S61" i="19" s="1"/>
  <c r="X61" i="19"/>
  <c r="Z61" i="19" s="1"/>
  <c r="J76" i="25"/>
  <c r="L76" i="25" s="1"/>
  <c r="N76" i="25" s="1"/>
  <c r="R299" i="25"/>
  <c r="L167" i="25" l="1"/>
  <c r="M168" i="25"/>
  <c r="J168" i="25"/>
  <c r="G168" i="25"/>
  <c r="F168" i="25"/>
  <c r="E168" i="25"/>
  <c r="J86" i="25"/>
  <c r="G86" i="25"/>
  <c r="E86" i="25"/>
  <c r="N167" i="25" l="1"/>
  <c r="S210" i="25" l="1"/>
  <c r="S199" i="25"/>
  <c r="J42" i="5"/>
  <c r="M321" i="25" l="1"/>
  <c r="K321" i="25"/>
  <c r="I321" i="25"/>
  <c r="H321" i="25"/>
  <c r="G321" i="25"/>
  <c r="E321" i="25"/>
  <c r="F316" i="25"/>
  <c r="F321" i="25" l="1"/>
  <c r="J316" i="25"/>
  <c r="L316" i="25" s="1"/>
  <c r="N316" i="25" l="1"/>
  <c r="N321" i="25" s="1"/>
  <c r="L321" i="25"/>
  <c r="J321" i="25"/>
  <c r="M242" i="25" l="1"/>
  <c r="F310" i="25" l="1"/>
  <c r="M314" i="25"/>
  <c r="K314" i="25"/>
  <c r="I314" i="25"/>
  <c r="H314" i="25"/>
  <c r="G314" i="25"/>
  <c r="E314" i="25"/>
  <c r="L313" i="25"/>
  <c r="N313" i="25" s="1"/>
  <c r="L312" i="25"/>
  <c r="N312" i="25" s="1"/>
  <c r="L311" i="25"/>
  <c r="N311" i="25" s="1"/>
  <c r="F309" i="25"/>
  <c r="J310" i="25" l="1"/>
  <c r="L310" i="25" s="1"/>
  <c r="N310" i="25" s="1"/>
  <c r="J309" i="25"/>
  <c r="J314" i="25" s="1"/>
  <c r="F314" i="25"/>
  <c r="I28" i="11"/>
  <c r="I27" i="11"/>
  <c r="J35" i="5"/>
  <c r="J36" i="5" s="1"/>
  <c r="L309" i="25" l="1"/>
  <c r="L314" i="25" l="1"/>
  <c r="N309" i="25"/>
  <c r="N314" i="25" s="1"/>
  <c r="G14" i="18" l="1"/>
  <c r="K40" i="6" l="1"/>
  <c r="K36" i="6"/>
  <c r="N40" i="6"/>
  <c r="N36" i="6"/>
  <c r="U37" i="6"/>
  <c r="U38" i="6"/>
  <c r="U39" i="6"/>
  <c r="U40" i="6"/>
  <c r="U41" i="6"/>
  <c r="U42" i="6"/>
  <c r="U36" i="6"/>
  <c r="D15" i="5"/>
  <c r="F84" i="6" l="1"/>
  <c r="I84" i="6"/>
  <c r="M84" i="6"/>
  <c r="Q84" i="6" s="1"/>
  <c r="N84" i="6"/>
  <c r="V84" i="6" s="1"/>
  <c r="F85" i="6"/>
  <c r="I85" i="6"/>
  <c r="M85" i="6"/>
  <c r="N85" i="6"/>
  <c r="F86" i="6"/>
  <c r="G86" i="6" s="1"/>
  <c r="I86" i="6"/>
  <c r="M86" i="6"/>
  <c r="N86" i="6"/>
  <c r="E85" i="6"/>
  <c r="O85" i="6" l="1"/>
  <c r="Q85" i="6"/>
  <c r="O86" i="6"/>
  <c r="W86" i="6" s="1"/>
  <c r="Q86" i="6"/>
  <c r="V85" i="6"/>
  <c r="V86" i="6"/>
  <c r="G85" i="6"/>
  <c r="W85" i="6" s="1"/>
  <c r="O84" i="6"/>
  <c r="W84" i="6" s="1"/>
  <c r="B41" i="41"/>
  <c r="F60" i="19" l="1"/>
  <c r="E60" i="19"/>
  <c r="C60" i="19"/>
  <c r="B60" i="19"/>
  <c r="H58" i="17"/>
  <c r="R58" i="17"/>
  <c r="S58" i="17" s="1"/>
  <c r="T58" i="17" s="1"/>
  <c r="H60" i="19" s="1"/>
  <c r="N60" i="19" l="1"/>
  <c r="U60" i="19"/>
  <c r="V60" i="19" s="1"/>
  <c r="X60" i="19" s="1"/>
  <c r="O60" i="19"/>
  <c r="Q60" i="19" s="1"/>
  <c r="S60" i="19" s="1"/>
  <c r="Z60" i="19"/>
  <c r="I60" i="19"/>
  <c r="J60" i="19" s="1"/>
  <c r="U58" i="17"/>
  <c r="G83" i="6"/>
  <c r="G82" i="6"/>
  <c r="G81" i="6"/>
  <c r="M60" i="19" l="1"/>
  <c r="K294" i="25"/>
  <c r="I294" i="25"/>
  <c r="H294" i="25"/>
  <c r="G294" i="25"/>
  <c r="E294" i="25"/>
  <c r="M301" i="25"/>
  <c r="K301" i="25"/>
  <c r="I301" i="25"/>
  <c r="H301" i="25"/>
  <c r="G301" i="25"/>
  <c r="E301" i="25"/>
  <c r="L300" i="25"/>
  <c r="N300" i="25" s="1"/>
  <c r="L299" i="25"/>
  <c r="N299" i="25" s="1"/>
  <c r="L298" i="25"/>
  <c r="N298" i="25" s="1"/>
  <c r="L297" i="25"/>
  <c r="N297" i="25" s="1"/>
  <c r="F296" i="25"/>
  <c r="F301" i="25" s="1"/>
  <c r="K154" i="25"/>
  <c r="J154" i="25"/>
  <c r="I154" i="25"/>
  <c r="H154" i="25"/>
  <c r="G154" i="25"/>
  <c r="M272" i="25"/>
  <c r="F154" i="25"/>
  <c r="L153" i="25"/>
  <c r="M153" i="25" s="1"/>
  <c r="M154" i="25" s="1"/>
  <c r="E154" i="25"/>
  <c r="L98" i="25"/>
  <c r="N98" i="25" s="1"/>
  <c r="L92" i="25"/>
  <c r="M92" i="25" s="1"/>
  <c r="D14" i="5"/>
  <c r="D13" i="5"/>
  <c r="AS79" i="19"/>
  <c r="AR79" i="19"/>
  <c r="AQ79" i="19"/>
  <c r="AP79" i="19"/>
  <c r="AO79" i="19"/>
  <c r="AN79" i="19"/>
  <c r="AM79" i="19"/>
  <c r="AL79" i="19"/>
  <c r="AK79" i="19"/>
  <c r="AJ79" i="19"/>
  <c r="AI79" i="19"/>
  <c r="AH79" i="19"/>
  <c r="AG79" i="19"/>
  <c r="AF79" i="19"/>
  <c r="AE79" i="19"/>
  <c r="AD79" i="19"/>
  <c r="AC79" i="19"/>
  <c r="AB79" i="19"/>
  <c r="AA79" i="19"/>
  <c r="Y79" i="19"/>
  <c r="T79" i="19"/>
  <c r="L79" i="19"/>
  <c r="K79" i="19"/>
  <c r="C22" i="5" s="1"/>
  <c r="E22" i="5" s="1"/>
  <c r="J296" i="25" l="1"/>
  <c r="L296" i="25" s="1"/>
  <c r="N296" i="25" s="1"/>
  <c r="N301" i="25" s="1"/>
  <c r="L301" i="25"/>
  <c r="J301" i="25"/>
  <c r="G20" i="11"/>
  <c r="G19" i="11"/>
  <c r="G16" i="11"/>
  <c r="G14" i="11"/>
  <c r="G13" i="11"/>
  <c r="G12" i="11"/>
  <c r="G10" i="11"/>
  <c r="G9" i="11"/>
  <c r="Q11" i="11"/>
  <c r="Q18" i="11"/>
  <c r="P20" i="11"/>
  <c r="P19" i="11"/>
  <c r="Q19" i="11" s="1"/>
  <c r="P16" i="11"/>
  <c r="P12" i="11"/>
  <c r="Q12" i="11" s="1"/>
  <c r="P9" i="11"/>
  <c r="Q20" i="11" l="1"/>
  <c r="Q16" i="11"/>
  <c r="Q9" i="11"/>
  <c r="Q10" i="11"/>
  <c r="S8" i="11" l="1"/>
  <c r="P41" i="19"/>
  <c r="F41" i="19"/>
  <c r="E41" i="19"/>
  <c r="D41" i="19"/>
  <c r="B41" i="19"/>
  <c r="C41" i="19"/>
  <c r="J73" i="5"/>
  <c r="I73" i="5"/>
  <c r="K58" i="5"/>
  <c r="L31" i="5"/>
  <c r="K57" i="5" l="1"/>
  <c r="G8" i="11" l="1"/>
  <c r="R29" i="7"/>
  <c r="Q29" i="7"/>
  <c r="P29" i="7"/>
  <c r="K29" i="7"/>
  <c r="G29" i="7"/>
  <c r="E29" i="7"/>
  <c r="G15" i="11"/>
  <c r="Q15" i="11" s="1"/>
  <c r="R13" i="11"/>
  <c r="J12" i="17"/>
  <c r="J22" i="17"/>
  <c r="F224" i="25"/>
  <c r="J196" i="25"/>
  <c r="L160" i="25"/>
  <c r="N160" i="25" s="1"/>
  <c r="M161" i="25"/>
  <c r="K161" i="25"/>
  <c r="J161" i="25"/>
  <c r="I161" i="25"/>
  <c r="H161" i="25"/>
  <c r="G161" i="25"/>
  <c r="F161" i="25"/>
  <c r="E161" i="25"/>
  <c r="F302" i="25"/>
  <c r="J302" i="25" s="1"/>
  <c r="F290" i="25" l="1"/>
  <c r="J290" i="25" s="1"/>
  <c r="J294" i="25" s="1"/>
  <c r="F284" i="25"/>
  <c r="J284" i="25" s="1"/>
  <c r="F278" i="25"/>
  <c r="J278" i="25" s="1"/>
  <c r="N79" i="6"/>
  <c r="N80" i="6"/>
  <c r="N81" i="6"/>
  <c r="N82" i="6"/>
  <c r="N83" i="6"/>
  <c r="I79" i="6"/>
  <c r="I80" i="6"/>
  <c r="F79" i="6"/>
  <c r="G79" i="6" s="1"/>
  <c r="F80" i="6"/>
  <c r="G80" i="6" s="1"/>
  <c r="F81" i="6"/>
  <c r="F82" i="6"/>
  <c r="F83" i="6"/>
  <c r="M67" i="6"/>
  <c r="Q67" i="6" s="1"/>
  <c r="E35" i="6"/>
  <c r="M11" i="6"/>
  <c r="M12" i="6"/>
  <c r="Q12" i="6" s="1"/>
  <c r="M13" i="6"/>
  <c r="Q13" i="6" s="1"/>
  <c r="M14" i="6"/>
  <c r="Q14" i="6" s="1"/>
  <c r="M15" i="6"/>
  <c r="M16" i="6"/>
  <c r="Q16" i="6" s="1"/>
  <c r="M17" i="6"/>
  <c r="Q17" i="6" s="1"/>
  <c r="M18" i="6"/>
  <c r="Q18" i="6" s="1"/>
  <c r="M19" i="6"/>
  <c r="M20" i="6"/>
  <c r="M21" i="6"/>
  <c r="Q21" i="6" s="1"/>
  <c r="M22" i="6"/>
  <c r="M23" i="6"/>
  <c r="Q23" i="6" s="1"/>
  <c r="M24" i="6"/>
  <c r="Q24" i="6" s="1"/>
  <c r="M25" i="6"/>
  <c r="Q25" i="6" s="1"/>
  <c r="M26" i="6"/>
  <c r="Q26" i="6" s="1"/>
  <c r="M27" i="6"/>
  <c r="M28" i="6"/>
  <c r="Q28" i="6" s="1"/>
  <c r="M29" i="6"/>
  <c r="Q29" i="6" s="1"/>
  <c r="M30" i="6"/>
  <c r="M31" i="6"/>
  <c r="M32" i="6"/>
  <c r="Q32" i="6" s="1"/>
  <c r="M33" i="6"/>
  <c r="Q33" i="6" s="1"/>
  <c r="M34" i="6"/>
  <c r="Q34" i="6" s="1"/>
  <c r="M35" i="6"/>
  <c r="Q35" i="6" s="1"/>
  <c r="M36" i="6"/>
  <c r="M37" i="6"/>
  <c r="Q37" i="6" s="1"/>
  <c r="M38" i="6"/>
  <c r="M39" i="6"/>
  <c r="Q39" i="6" s="1"/>
  <c r="M40" i="6"/>
  <c r="Q40" i="6" s="1"/>
  <c r="M41" i="6"/>
  <c r="M42" i="6"/>
  <c r="Q42" i="6" s="1"/>
  <c r="M43" i="6"/>
  <c r="M44" i="6"/>
  <c r="Q44" i="6" s="1"/>
  <c r="M45" i="6"/>
  <c r="Q45" i="6" s="1"/>
  <c r="M46" i="6"/>
  <c r="M47" i="6"/>
  <c r="M48" i="6"/>
  <c r="Q48" i="6" s="1"/>
  <c r="M49" i="6"/>
  <c r="Q49" i="6" s="1"/>
  <c r="M50" i="6"/>
  <c r="Q50" i="6" s="1"/>
  <c r="M51" i="6"/>
  <c r="M52" i="6"/>
  <c r="M53" i="6"/>
  <c r="Q53" i="6" s="1"/>
  <c r="M54" i="6"/>
  <c r="M55" i="6"/>
  <c r="M56" i="6"/>
  <c r="Q56" i="6" s="1"/>
  <c r="M57" i="6"/>
  <c r="Q57" i="6" s="1"/>
  <c r="M58" i="6"/>
  <c r="Q58" i="6" s="1"/>
  <c r="M59" i="6"/>
  <c r="Q59" i="6" s="1"/>
  <c r="M60" i="6"/>
  <c r="Q60" i="6" s="1"/>
  <c r="M61" i="6"/>
  <c r="Q61" i="6" s="1"/>
  <c r="M62" i="6"/>
  <c r="Q62" i="6" s="1"/>
  <c r="M63" i="6"/>
  <c r="Q63" i="6" s="1"/>
  <c r="M64" i="6"/>
  <c r="Q64" i="6" s="1"/>
  <c r="M65" i="6"/>
  <c r="Q65" i="6" s="1"/>
  <c r="M66" i="6"/>
  <c r="Q66" i="6" s="1"/>
  <c r="M68" i="6"/>
  <c r="Q68" i="6" s="1"/>
  <c r="M69" i="6"/>
  <c r="Q69" i="6" s="1"/>
  <c r="M70" i="6"/>
  <c r="Q70" i="6" s="1"/>
  <c r="M71" i="6"/>
  <c r="Q71" i="6" s="1"/>
  <c r="M72" i="6"/>
  <c r="Q72" i="6" s="1"/>
  <c r="M73" i="6"/>
  <c r="M74" i="6"/>
  <c r="Q74" i="6" s="1"/>
  <c r="M75" i="6"/>
  <c r="Q75" i="6" s="1"/>
  <c r="M76" i="6"/>
  <c r="Q76" i="6" s="1"/>
  <c r="M77" i="6"/>
  <c r="Q77" i="6" s="1"/>
  <c r="M78" i="6"/>
  <c r="Q78" i="6" s="1"/>
  <c r="M79" i="6"/>
  <c r="M80" i="6"/>
  <c r="M10" i="6"/>
  <c r="Q10" i="6" s="1"/>
  <c r="O12" i="6"/>
  <c r="O28" i="6"/>
  <c r="O37" i="6"/>
  <c r="O44" i="6"/>
  <c r="O53" i="6"/>
  <c r="O77" i="6"/>
  <c r="O78" i="6"/>
  <c r="E13" i="6"/>
  <c r="E16" i="6"/>
  <c r="E18" i="6"/>
  <c r="E19" i="6"/>
  <c r="E20" i="6"/>
  <c r="E21" i="6"/>
  <c r="E22" i="6"/>
  <c r="E23" i="6"/>
  <c r="E24" i="6"/>
  <c r="E25" i="6"/>
  <c r="E26" i="6"/>
  <c r="E27" i="6"/>
  <c r="E28" i="6"/>
  <c r="E29" i="6"/>
  <c r="E30" i="6"/>
  <c r="E31" i="6"/>
  <c r="E32" i="6"/>
  <c r="E33" i="6"/>
  <c r="E34"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10" i="6"/>
  <c r="F27" i="7"/>
  <c r="H26" i="7"/>
  <c r="F59" i="19"/>
  <c r="C59" i="19"/>
  <c r="B59" i="19"/>
  <c r="R39" i="17"/>
  <c r="S39" i="17" s="1"/>
  <c r="T39" i="17" s="1"/>
  <c r="O49" i="6" l="1"/>
  <c r="O29" i="6"/>
  <c r="O73" i="6"/>
  <c r="Q73" i="6"/>
  <c r="O52" i="6"/>
  <c r="Q52" i="6"/>
  <c r="O20" i="6"/>
  <c r="Q20" i="6"/>
  <c r="O70" i="6"/>
  <c r="O45" i="6"/>
  <c r="O80" i="6"/>
  <c r="Q80" i="6"/>
  <c r="O55" i="6"/>
  <c r="Q55" i="6"/>
  <c r="O51" i="6"/>
  <c r="Q51" i="6"/>
  <c r="O47" i="6"/>
  <c r="Q47" i="6"/>
  <c r="O31" i="6"/>
  <c r="Q31" i="6"/>
  <c r="O27" i="6"/>
  <c r="Q27" i="6"/>
  <c r="O19" i="6"/>
  <c r="Q19" i="6"/>
  <c r="O15" i="6"/>
  <c r="Q15" i="6"/>
  <c r="O11" i="6"/>
  <c r="Q11" i="6"/>
  <c r="O41" i="6"/>
  <c r="Q41" i="6"/>
  <c r="O61" i="6"/>
  <c r="O13" i="6"/>
  <c r="O79" i="6"/>
  <c r="Q79" i="6"/>
  <c r="O54" i="6"/>
  <c r="Q54" i="6"/>
  <c r="O38" i="6"/>
  <c r="Q38" i="6"/>
  <c r="O30" i="6"/>
  <c r="Q30" i="6"/>
  <c r="O22" i="6"/>
  <c r="Q22" i="6"/>
  <c r="O36" i="6"/>
  <c r="Q36" i="6"/>
  <c r="O46" i="6"/>
  <c r="Q46" i="6"/>
  <c r="O43" i="6"/>
  <c r="Q43" i="6"/>
  <c r="O17" i="6"/>
  <c r="O75" i="6"/>
  <c r="O60" i="6"/>
  <c r="O71" i="6"/>
  <c r="O39" i="6"/>
  <c r="O23" i="6"/>
  <c r="O69" i="6"/>
  <c r="O63" i="6"/>
  <c r="O62" i="6"/>
  <c r="O14" i="6"/>
  <c r="O68" i="6"/>
  <c r="O76" i="6"/>
  <c r="V83" i="6"/>
  <c r="H33" i="60" s="1"/>
  <c r="C83" i="6"/>
  <c r="M83" i="6" s="1"/>
  <c r="Q83" i="6" s="1"/>
  <c r="V82" i="6"/>
  <c r="H34" i="60" s="1"/>
  <c r="C82" i="6"/>
  <c r="M82" i="6" s="1"/>
  <c r="Q82" i="6" s="1"/>
  <c r="O59" i="6"/>
  <c r="O35" i="6"/>
  <c r="V81" i="6"/>
  <c r="C81" i="6"/>
  <c r="M81" i="6" s="1"/>
  <c r="O21" i="6"/>
  <c r="O67" i="6"/>
  <c r="H27" i="7"/>
  <c r="F29" i="7"/>
  <c r="O57" i="6"/>
  <c r="O25" i="6"/>
  <c r="O10" i="6"/>
  <c r="O65" i="6"/>
  <c r="O33" i="6"/>
  <c r="O72" i="6"/>
  <c r="O64" i="6"/>
  <c r="O56" i="6"/>
  <c r="O48" i="6"/>
  <c r="O40" i="6"/>
  <c r="O32" i="6"/>
  <c r="O24" i="6"/>
  <c r="O16" i="6"/>
  <c r="O74" i="6"/>
  <c r="O66" i="6"/>
  <c r="O58" i="6"/>
  <c r="O50" i="6"/>
  <c r="O42" i="6"/>
  <c r="O34" i="6"/>
  <c r="O26" i="6"/>
  <c r="O18" i="6"/>
  <c r="O81" i="6" l="1"/>
  <c r="W81" i="6" s="1"/>
  <c r="Q81" i="6"/>
  <c r="I83" i="6"/>
  <c r="I81" i="6"/>
  <c r="O82" i="6"/>
  <c r="W82" i="6" s="1"/>
  <c r="I82" i="6"/>
  <c r="O83" i="6"/>
  <c r="W83" i="6" s="1"/>
  <c r="M94" i="6"/>
  <c r="C11" i="5" s="1"/>
  <c r="I27" i="7"/>
  <c r="A40" i="17"/>
  <c r="A41" i="17" s="1"/>
  <c r="A42" i="17" s="1"/>
  <c r="A43" i="17" s="1"/>
  <c r="A44" i="17" s="1"/>
  <c r="A45" i="17" s="1"/>
  <c r="A46" i="17" s="1"/>
  <c r="A47" i="17" s="1"/>
  <c r="A48" i="17" s="1"/>
  <c r="A49" i="17" s="1"/>
  <c r="A50" i="17" s="1"/>
  <c r="A51" i="17" s="1"/>
  <c r="A52" i="17" s="1"/>
  <c r="A53" i="17" s="1"/>
  <c r="A54" i="17" s="1"/>
  <c r="A55" i="17" s="1"/>
  <c r="A56" i="17" s="1"/>
  <c r="A57" i="17" s="1"/>
  <c r="A58" i="17" s="1"/>
  <c r="A59" i="17" s="1"/>
  <c r="E57" i="17"/>
  <c r="H57" i="17"/>
  <c r="Q61" i="17"/>
  <c r="P61" i="17"/>
  <c r="O61" i="17"/>
  <c r="N61" i="17"/>
  <c r="M61" i="17"/>
  <c r="L61" i="17"/>
  <c r="F61" i="17"/>
  <c r="E12" i="6"/>
  <c r="E17" i="6"/>
  <c r="E11" i="6"/>
  <c r="E14" i="6"/>
  <c r="E15" i="6"/>
  <c r="E11" i="5" l="1"/>
  <c r="R57" i="17"/>
  <c r="S57" i="17" s="1"/>
  <c r="T57" i="17" s="1"/>
  <c r="H59" i="19" s="1"/>
  <c r="E59" i="19"/>
  <c r="G61" i="17"/>
  <c r="E61" i="17"/>
  <c r="U59" i="19"/>
  <c r="N27" i="7"/>
  <c r="O27" i="7" s="1"/>
  <c r="S27" i="7" s="1"/>
  <c r="H39" i="17"/>
  <c r="H41" i="19"/>
  <c r="V57" i="17"/>
  <c r="N59" i="19"/>
  <c r="O59" i="19" s="1"/>
  <c r="Q59" i="19" s="1"/>
  <c r="S59" i="19" s="1"/>
  <c r="U41" i="19"/>
  <c r="D31" i="5"/>
  <c r="D32" i="5"/>
  <c r="D33" i="5"/>
  <c r="D34" i="5"/>
  <c r="D35" i="5"/>
  <c r="D36" i="5"/>
  <c r="D37" i="5"/>
  <c r="D38" i="5"/>
  <c r="D39" i="5"/>
  <c r="D40" i="5"/>
  <c r="D41" i="5"/>
  <c r="D42" i="5"/>
  <c r="D43" i="5"/>
  <c r="D44" i="5"/>
  <c r="D45" i="5"/>
  <c r="D46" i="5"/>
  <c r="D47" i="5"/>
  <c r="D48" i="5"/>
  <c r="D49" i="5"/>
  <c r="D50" i="5"/>
  <c r="D51" i="5"/>
  <c r="D52" i="5"/>
  <c r="D53" i="5"/>
  <c r="D54" i="5"/>
  <c r="D55" i="5"/>
  <c r="D56" i="5"/>
  <c r="A32" i="5"/>
  <c r="A33" i="5" s="1"/>
  <c r="A34" i="5" s="1"/>
  <c r="A35" i="5" s="1"/>
  <c r="A36" i="5" s="1"/>
  <c r="A37" i="5" s="1"/>
  <c r="A38" i="5" s="1"/>
  <c r="A39" i="5" s="1"/>
  <c r="A40" i="5" s="1"/>
  <c r="U57" i="17" l="1"/>
  <c r="V41" i="19"/>
  <c r="U39" i="17"/>
  <c r="V39" i="17"/>
  <c r="N41" i="19"/>
  <c r="V59" i="19"/>
  <c r="X59" i="19" s="1"/>
  <c r="Z59" i="19" s="1"/>
  <c r="A41" i="5"/>
  <c r="A42" i="5" s="1"/>
  <c r="A43" i="5" s="1"/>
  <c r="A44" i="5" s="1"/>
  <c r="A45" i="5" s="1"/>
  <c r="A46" i="5" s="1"/>
  <c r="A47" i="5" s="1"/>
  <c r="A48" i="5" s="1"/>
  <c r="A49" i="5" s="1"/>
  <c r="A50" i="5" s="1"/>
  <c r="A51" i="5" s="1"/>
  <c r="A52" i="5" s="1"/>
  <c r="A53" i="5" s="1"/>
  <c r="A54" i="5" s="1"/>
  <c r="A55" i="5" s="1"/>
  <c r="A56" i="5" s="1"/>
  <c r="I41" i="19"/>
  <c r="I59" i="19"/>
  <c r="J59" i="19" s="1"/>
  <c r="M59" i="19" s="1"/>
  <c r="AJ94" i="6"/>
  <c r="J41" i="19" l="1"/>
  <c r="M41" i="19" s="1"/>
  <c r="X41" i="19"/>
  <c r="Z41" i="19" s="1"/>
  <c r="O41" i="19"/>
  <c r="Q41" i="19" s="1"/>
  <c r="S41" i="19" s="1"/>
  <c r="W79" i="6"/>
  <c r="W80" i="6"/>
  <c r="N11" i="6"/>
  <c r="N12" i="6"/>
  <c r="N13" i="6"/>
  <c r="N14" i="6"/>
  <c r="N15" i="6"/>
  <c r="N16" i="6"/>
  <c r="N17" i="6"/>
  <c r="N18" i="6"/>
  <c r="N19" i="6"/>
  <c r="N20" i="6"/>
  <c r="N21" i="6"/>
  <c r="N22" i="6"/>
  <c r="N23" i="6"/>
  <c r="N24" i="6"/>
  <c r="N25" i="6"/>
  <c r="N26" i="6"/>
  <c r="N27" i="6"/>
  <c r="N28" i="6"/>
  <c r="N29" i="6"/>
  <c r="N30" i="6"/>
  <c r="N31" i="6"/>
  <c r="N32" i="6"/>
  <c r="N33" i="6"/>
  <c r="N34" i="6"/>
  <c r="N35" i="6"/>
  <c r="N37" i="6"/>
  <c r="N38" i="6"/>
  <c r="N39"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V80" i="6"/>
  <c r="N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10" i="6"/>
  <c r="F11" i="6"/>
  <c r="G11" i="6" s="1"/>
  <c r="F12" i="6"/>
  <c r="F13" i="6"/>
  <c r="G13" i="6" s="1"/>
  <c r="F14" i="6"/>
  <c r="G14" i="6" s="1"/>
  <c r="F15" i="6"/>
  <c r="G15" i="6" s="1"/>
  <c r="F16" i="6"/>
  <c r="G16" i="6" s="1"/>
  <c r="F17" i="6"/>
  <c r="F18" i="6"/>
  <c r="G18" i="6" s="1"/>
  <c r="W18" i="6" s="1"/>
  <c r="F19" i="6"/>
  <c r="F20" i="6"/>
  <c r="F21" i="6"/>
  <c r="G21" i="6" s="1"/>
  <c r="W21" i="6" s="1"/>
  <c r="F22" i="6"/>
  <c r="F23" i="6"/>
  <c r="F24" i="6"/>
  <c r="F25" i="6"/>
  <c r="F26" i="6"/>
  <c r="G26" i="6" s="1"/>
  <c r="W26" i="6" s="1"/>
  <c r="F27" i="6"/>
  <c r="F28" i="6"/>
  <c r="F29" i="6"/>
  <c r="G29" i="6" s="1"/>
  <c r="W29" i="6" s="1"/>
  <c r="F30" i="6"/>
  <c r="F31" i="6"/>
  <c r="G31" i="6" s="1"/>
  <c r="W31" i="6" s="1"/>
  <c r="F32" i="6"/>
  <c r="F33" i="6"/>
  <c r="F34" i="6"/>
  <c r="G34" i="6" s="1"/>
  <c r="W34" i="6" s="1"/>
  <c r="F35" i="6"/>
  <c r="F36" i="6"/>
  <c r="G36" i="6" s="1"/>
  <c r="F37" i="6"/>
  <c r="G37" i="6" s="1"/>
  <c r="F38" i="6"/>
  <c r="F39" i="6"/>
  <c r="G39" i="6" s="1"/>
  <c r="F40" i="6"/>
  <c r="F41" i="6"/>
  <c r="F42" i="6"/>
  <c r="G42" i="6" s="1"/>
  <c r="W42" i="6" s="1"/>
  <c r="F43" i="6"/>
  <c r="F44" i="6"/>
  <c r="F45" i="6"/>
  <c r="G45" i="6" s="1"/>
  <c r="F46" i="6"/>
  <c r="F47" i="6"/>
  <c r="F48" i="6"/>
  <c r="F49" i="6"/>
  <c r="F50" i="6"/>
  <c r="G50" i="6" s="1"/>
  <c r="F51" i="6"/>
  <c r="F52" i="6"/>
  <c r="F53" i="6"/>
  <c r="G53" i="6" s="1"/>
  <c r="F54" i="6"/>
  <c r="F55" i="6"/>
  <c r="F56" i="6"/>
  <c r="F57" i="6"/>
  <c r="F58" i="6"/>
  <c r="G58" i="6" s="1"/>
  <c r="F59" i="6"/>
  <c r="F60" i="6"/>
  <c r="F61" i="6"/>
  <c r="G61" i="6" s="1"/>
  <c r="F62" i="6"/>
  <c r="F63" i="6"/>
  <c r="F64" i="6"/>
  <c r="F65" i="6"/>
  <c r="F66" i="6"/>
  <c r="G66" i="6" s="1"/>
  <c r="F67" i="6"/>
  <c r="F68" i="6"/>
  <c r="F69" i="6"/>
  <c r="G69" i="6" s="1"/>
  <c r="W69" i="6" s="1"/>
  <c r="F70" i="6"/>
  <c r="F71" i="6"/>
  <c r="F72" i="6"/>
  <c r="F73" i="6"/>
  <c r="F74" i="6"/>
  <c r="G74" i="6" s="1"/>
  <c r="W74" i="6" s="1"/>
  <c r="F75" i="6"/>
  <c r="F76" i="6"/>
  <c r="F77" i="6"/>
  <c r="G77" i="6" s="1"/>
  <c r="F78" i="6"/>
  <c r="V79" i="6"/>
  <c r="F10" i="6"/>
  <c r="G10" i="6" s="1"/>
  <c r="H8" i="17"/>
  <c r="V76" i="6" l="1"/>
  <c r="G76" i="6"/>
  <c r="W76" i="6" s="1"/>
  <c r="V68" i="6"/>
  <c r="G68" i="6"/>
  <c r="W68" i="6" s="1"/>
  <c r="V20" i="6"/>
  <c r="H12" i="60" s="1"/>
  <c r="G20" i="6"/>
  <c r="V75" i="6"/>
  <c r="G75" i="6"/>
  <c r="W75" i="6" s="1"/>
  <c r="V59" i="6"/>
  <c r="H22" i="60" s="1"/>
  <c r="G59" i="6"/>
  <c r="W59" i="6" s="1"/>
  <c r="V51" i="6"/>
  <c r="G51" i="6"/>
  <c r="V43" i="6"/>
  <c r="H25" i="60" s="1"/>
  <c r="G43" i="6"/>
  <c r="V27" i="6"/>
  <c r="G27" i="6"/>
  <c r="V19" i="6"/>
  <c r="G19" i="6"/>
  <c r="V60" i="6"/>
  <c r="G60" i="6"/>
  <c r="V73" i="6"/>
  <c r="G73" i="6"/>
  <c r="W73" i="6" s="1"/>
  <c r="V65" i="6"/>
  <c r="G65" i="6"/>
  <c r="V57" i="6"/>
  <c r="H20" i="60" s="1"/>
  <c r="G57" i="6"/>
  <c r="V49" i="6"/>
  <c r="G49" i="6"/>
  <c r="W49" i="6" s="1"/>
  <c r="V41" i="6"/>
  <c r="G41" i="6"/>
  <c r="W41" i="6" s="1"/>
  <c r="V33" i="6"/>
  <c r="G33" i="6"/>
  <c r="W33" i="6" s="1"/>
  <c r="V25" i="6"/>
  <c r="G25" i="6"/>
  <c r="W25" i="6" s="1"/>
  <c r="V17" i="6"/>
  <c r="H10" i="60" s="1"/>
  <c r="G17" i="6"/>
  <c r="V52" i="6"/>
  <c r="H15" i="60" s="1"/>
  <c r="G52" i="6"/>
  <c r="V72" i="6"/>
  <c r="G72" i="6"/>
  <c r="W72" i="6" s="1"/>
  <c r="V64" i="6"/>
  <c r="G64" i="6"/>
  <c r="V56" i="6"/>
  <c r="H19" i="60" s="1"/>
  <c r="G56" i="6"/>
  <c r="V48" i="6"/>
  <c r="G48" i="6"/>
  <c r="V40" i="6"/>
  <c r="G40" i="6"/>
  <c r="V32" i="6"/>
  <c r="G32" i="6"/>
  <c r="V24" i="6"/>
  <c r="G24" i="6"/>
  <c r="V28" i="6"/>
  <c r="G28" i="6"/>
  <c r="V71" i="6"/>
  <c r="G71" i="6"/>
  <c r="W71" i="6" s="1"/>
  <c r="V63" i="6"/>
  <c r="G63" i="6"/>
  <c r="V55" i="6"/>
  <c r="H18" i="60" s="1"/>
  <c r="G55" i="6"/>
  <c r="V47" i="6"/>
  <c r="G47" i="6"/>
  <c r="V23" i="6"/>
  <c r="G23" i="6"/>
  <c r="V44" i="6"/>
  <c r="G44" i="6"/>
  <c r="V12" i="6"/>
  <c r="H11" i="60" s="1"/>
  <c r="G12" i="6"/>
  <c r="V78" i="6"/>
  <c r="G78" i="6"/>
  <c r="W78" i="6" s="1"/>
  <c r="V70" i="6"/>
  <c r="G70" i="6"/>
  <c r="W70" i="6" s="1"/>
  <c r="V62" i="6"/>
  <c r="G62" i="6"/>
  <c r="V54" i="6"/>
  <c r="H17" i="60" s="1"/>
  <c r="G54" i="6"/>
  <c r="W54" i="6" s="1"/>
  <c r="V46" i="6"/>
  <c r="G46" i="6"/>
  <c r="V38" i="6"/>
  <c r="G38" i="6"/>
  <c r="V30" i="6"/>
  <c r="G30" i="6"/>
  <c r="W30" i="6" s="1"/>
  <c r="V22" i="6"/>
  <c r="G22" i="6"/>
  <c r="V67" i="6"/>
  <c r="G67" i="6"/>
  <c r="W67" i="6" s="1"/>
  <c r="V35" i="6"/>
  <c r="G35" i="6"/>
  <c r="V11" i="6"/>
  <c r="H7" i="60" s="1"/>
  <c r="V14" i="6"/>
  <c r="V74" i="6"/>
  <c r="V66" i="6"/>
  <c r="V58" i="6"/>
  <c r="H21" i="60" s="1"/>
  <c r="V50" i="6"/>
  <c r="V42" i="6"/>
  <c r="V34" i="6"/>
  <c r="V26" i="6"/>
  <c r="V10" i="6"/>
  <c r="V31" i="6"/>
  <c r="V15" i="6"/>
  <c r="H8" i="60" s="1"/>
  <c r="V18" i="6"/>
  <c r="V77" i="6"/>
  <c r="V69" i="6"/>
  <c r="V61" i="6"/>
  <c r="V53" i="6"/>
  <c r="H16" i="60" s="1"/>
  <c r="V45" i="6"/>
  <c r="V29" i="6"/>
  <c r="V21" i="6"/>
  <c r="V13" i="6"/>
  <c r="D115" i="5" l="1"/>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0" i="5"/>
  <c r="D69" i="5"/>
  <c r="D68" i="5"/>
  <c r="D67" i="5"/>
  <c r="D66" i="5"/>
  <c r="D65" i="5"/>
  <c r="D64" i="5"/>
  <c r="D63" i="5"/>
  <c r="D62" i="5"/>
  <c r="D61" i="5"/>
  <c r="D60" i="5"/>
  <c r="D59" i="5"/>
  <c r="D58" i="5"/>
  <c r="D57" i="5"/>
  <c r="D30" i="5"/>
  <c r="D29" i="5"/>
  <c r="D28" i="5"/>
  <c r="D27" i="5"/>
  <c r="D26" i="5"/>
  <c r="D25" i="5"/>
  <c r="D24" i="5"/>
  <c r="D12" i="5"/>
  <c r="D10" i="5"/>
  <c r="H29" i="17"/>
  <c r="V29" i="17" s="1"/>
  <c r="H30" i="17"/>
  <c r="V30" i="17" s="1"/>
  <c r="H31" i="17"/>
  <c r="V31" i="17" s="1"/>
  <c r="H32" i="17"/>
  <c r="V32" i="17" s="1"/>
  <c r="H33" i="17"/>
  <c r="V33" i="17" s="1"/>
  <c r="H34" i="17"/>
  <c r="V34" i="17" s="1"/>
  <c r="H35" i="17"/>
  <c r="V35" i="17" s="1"/>
  <c r="H36" i="17"/>
  <c r="V36" i="17" s="1"/>
  <c r="H37" i="17"/>
  <c r="V37" i="17" s="1"/>
  <c r="H38" i="17"/>
  <c r="V38" i="17" s="1"/>
  <c r="H40" i="17"/>
  <c r="V40" i="17" s="1"/>
  <c r="H41" i="17"/>
  <c r="N16" i="11" s="1"/>
  <c r="H42" i="17"/>
  <c r="V42" i="17" s="1"/>
  <c r="H43" i="17"/>
  <c r="V43" i="17" s="1"/>
  <c r="H44" i="17"/>
  <c r="V44" i="17" s="1"/>
  <c r="H45" i="17"/>
  <c r="H46" i="17"/>
  <c r="H47" i="17"/>
  <c r="V47" i="17" s="1"/>
  <c r="H48" i="17"/>
  <c r="V48" i="17" s="1"/>
  <c r="H49" i="17"/>
  <c r="V49" i="17" s="1"/>
  <c r="H50" i="17"/>
  <c r="H51" i="17"/>
  <c r="V51" i="17" s="1"/>
  <c r="H52" i="17"/>
  <c r="H53" i="17"/>
  <c r="V53" i="17" s="1"/>
  <c r="H54" i="17"/>
  <c r="V54" i="17" s="1"/>
  <c r="H55" i="17"/>
  <c r="V55" i="17" s="1"/>
  <c r="H56" i="17"/>
  <c r="V56" i="17" s="1"/>
  <c r="H28" i="17"/>
  <c r="H18" i="17"/>
  <c r="H19" i="17"/>
  <c r="H20" i="17"/>
  <c r="H21" i="17"/>
  <c r="H22" i="17"/>
  <c r="V22" i="17" s="1"/>
  <c r="H23" i="17"/>
  <c r="H24" i="17"/>
  <c r="H25" i="17"/>
  <c r="H26" i="17"/>
  <c r="H27" i="17"/>
  <c r="H17" i="17"/>
  <c r="H9" i="17"/>
  <c r="H10" i="17"/>
  <c r="H11" i="17"/>
  <c r="H12" i="17"/>
  <c r="V12" i="17" s="1"/>
  <c r="H13" i="17"/>
  <c r="H14" i="17"/>
  <c r="H15" i="17"/>
  <c r="V15" i="17" s="1"/>
  <c r="H16" i="17"/>
  <c r="E9" i="11"/>
  <c r="E11" i="11"/>
  <c r="O11" i="11" s="1"/>
  <c r="E12" i="11"/>
  <c r="E15" i="11"/>
  <c r="O15" i="11" s="1"/>
  <c r="E18" i="11"/>
  <c r="O18" i="11" s="1"/>
  <c r="E8" i="11"/>
  <c r="S12" i="10"/>
  <c r="S13" i="10" s="1"/>
  <c r="Q13" i="10"/>
  <c r="P12" i="10"/>
  <c r="P13" i="10" s="1"/>
  <c r="E10" i="10"/>
  <c r="D12" i="10"/>
  <c r="AH94" i="6"/>
  <c r="AF94" i="6"/>
  <c r="AB94" i="6"/>
  <c r="Z94" i="6"/>
  <c r="H116" i="5"/>
  <c r="G116" i="5"/>
  <c r="F116" i="5"/>
  <c r="F118" i="5" s="1"/>
  <c r="P62" i="17"/>
  <c r="P63" i="17" s="1"/>
  <c r="L62" i="17"/>
  <c r="L63" i="17" s="1"/>
  <c r="N62" i="17"/>
  <c r="M62" i="17"/>
  <c r="M21" i="11"/>
  <c r="L21" i="11"/>
  <c r="L22" i="11" s="1"/>
  <c r="K21" i="11"/>
  <c r="J21" i="11"/>
  <c r="J22" i="11" s="1"/>
  <c r="I21" i="11"/>
  <c r="I22" i="11" s="1"/>
  <c r="V27" i="17" l="1"/>
  <c r="N10" i="11"/>
  <c r="N13" i="11"/>
  <c r="V28" i="17"/>
  <c r="N9" i="11"/>
  <c r="O9" i="11" s="1"/>
  <c r="N14" i="11"/>
  <c r="N8" i="11"/>
  <c r="O8" i="11" s="1"/>
  <c r="V45" i="17"/>
  <c r="N12" i="11"/>
  <c r="O12" i="11" s="1"/>
  <c r="N17" i="11"/>
  <c r="N19" i="11"/>
  <c r="E10" i="11"/>
  <c r="V50" i="17"/>
  <c r="V41" i="17"/>
  <c r="V46" i="17"/>
  <c r="V52" i="17"/>
  <c r="H118" i="5"/>
  <c r="R8" i="11"/>
  <c r="L23" i="11"/>
  <c r="K22" i="11"/>
  <c r="K23" i="11" s="1"/>
  <c r="H61" i="17"/>
  <c r="I61" i="17"/>
  <c r="G118" i="5"/>
  <c r="N63" i="17"/>
  <c r="O62" i="17"/>
  <c r="O63" i="17" s="1"/>
  <c r="M63" i="17"/>
  <c r="M22" i="11"/>
  <c r="M23" i="11" s="1"/>
  <c r="I23" i="11"/>
  <c r="J23" i="11"/>
  <c r="R10" i="11" l="1"/>
  <c r="O10" i="11"/>
  <c r="E19" i="11"/>
  <c r="O19" i="11" s="1"/>
  <c r="E20" i="11"/>
  <c r="O20" i="11" s="1"/>
  <c r="E16" i="11"/>
  <c r="O16" i="11" s="1"/>
  <c r="E13" i="11"/>
  <c r="O13" i="11" s="1"/>
  <c r="E17" i="11"/>
  <c r="O17" i="11" s="1"/>
  <c r="E14" i="11"/>
  <c r="O14" i="11" s="1"/>
  <c r="L26" i="2"/>
  <c r="AU66" i="6"/>
  <c r="AU65" i="6"/>
  <c r="AU64" i="6"/>
  <c r="AU63" i="6"/>
  <c r="AU62" i="6"/>
  <c r="AU61" i="6"/>
  <c r="AU60" i="6"/>
  <c r="AU58" i="6"/>
  <c r="AU57" i="6"/>
  <c r="AU56" i="6"/>
  <c r="AU55" i="6"/>
  <c r="AU53" i="6"/>
  <c r="AU52" i="6"/>
  <c r="AU51" i="6"/>
  <c r="AU50" i="6"/>
  <c r="AU48" i="6"/>
  <c r="AU47" i="6"/>
  <c r="AU46" i="6"/>
  <c r="AU45" i="6"/>
  <c r="AU44" i="6"/>
  <c r="AU43" i="6"/>
  <c r="AU40" i="6"/>
  <c r="AU39" i="6"/>
  <c r="AU37" i="6"/>
  <c r="AU36" i="6"/>
  <c r="AU35" i="6"/>
  <c r="AU32" i="6"/>
  <c r="AU28" i="6"/>
  <c r="AU27" i="6"/>
  <c r="AU24" i="6"/>
  <c r="AU22" i="6"/>
  <c r="AU20" i="6"/>
  <c r="AU19" i="6"/>
  <c r="AU17" i="6"/>
  <c r="AU16" i="6"/>
  <c r="AU15" i="6"/>
  <c r="AU14" i="6"/>
  <c r="AU13" i="6"/>
  <c r="AU12" i="6"/>
  <c r="AU11" i="6"/>
  <c r="AU10" i="6"/>
  <c r="L17" i="5"/>
  <c r="L23" i="5"/>
  <c r="L27" i="5"/>
  <c r="L29" i="5"/>
  <c r="L57" i="5"/>
  <c r="L58" i="5"/>
  <c r="L59" i="5"/>
  <c r="L68" i="5"/>
  <c r="L70" i="5"/>
  <c r="F82" i="19" l="1"/>
  <c r="L24" i="5" l="1"/>
  <c r="S9" i="5"/>
  <c r="R9" i="5"/>
  <c r="R11" i="5" s="1"/>
  <c r="AV11" i="6" l="1"/>
  <c r="U46" i="19"/>
  <c r="N46" i="19"/>
  <c r="U47" i="19"/>
  <c r="N47" i="19"/>
  <c r="U58" i="19"/>
  <c r="H58" i="19"/>
  <c r="U57" i="19"/>
  <c r="H57" i="19"/>
  <c r="U56" i="19"/>
  <c r="H56" i="19"/>
  <c r="I56" i="19" s="1"/>
  <c r="U55" i="19"/>
  <c r="H55" i="19"/>
  <c r="I55" i="19" s="1"/>
  <c r="U54" i="19"/>
  <c r="H54" i="19"/>
  <c r="U53" i="19"/>
  <c r="H53" i="19"/>
  <c r="U52" i="19"/>
  <c r="H52" i="19"/>
  <c r="I52" i="19" s="1"/>
  <c r="J52" i="19" s="1"/>
  <c r="M52" i="19" s="1"/>
  <c r="U51" i="19"/>
  <c r="H51" i="19"/>
  <c r="U50" i="19"/>
  <c r="H50" i="19"/>
  <c r="I50" i="19" s="1"/>
  <c r="W77" i="6" l="1"/>
  <c r="J50" i="19"/>
  <c r="M50" i="19" s="1"/>
  <c r="I51" i="19"/>
  <c r="J51" i="19" s="1"/>
  <c r="M51" i="19" s="1"/>
  <c r="I54" i="19"/>
  <c r="J54" i="19" s="1"/>
  <c r="M54" i="19" s="1"/>
  <c r="I57" i="19"/>
  <c r="J57" i="19" s="1"/>
  <c r="J55" i="19"/>
  <c r="M55" i="19" s="1"/>
  <c r="I58" i="19"/>
  <c r="J58" i="19" s="1"/>
  <c r="J56" i="19"/>
  <c r="M56" i="19" s="1"/>
  <c r="I53" i="19"/>
  <c r="J53" i="19" s="1"/>
  <c r="W53" i="6" l="1"/>
  <c r="W52" i="6"/>
  <c r="W57" i="6"/>
  <c r="M57" i="19"/>
  <c r="M58" i="19"/>
  <c r="M53" i="19"/>
  <c r="W15" i="6" l="1"/>
  <c r="W14" i="6"/>
  <c r="W11" i="6"/>
  <c r="W17" i="6"/>
  <c r="L28" i="5"/>
  <c r="L10" i="5" l="1"/>
  <c r="L25" i="5"/>
  <c r="L30" i="5"/>
  <c r="L63" i="5"/>
  <c r="F271" i="25" l="1"/>
  <c r="M212" i="25" l="1"/>
  <c r="M217" i="25"/>
  <c r="F289" i="25"/>
  <c r="F294" i="25" s="1"/>
  <c r="F259" i="25"/>
  <c r="F253" i="25" l="1"/>
  <c r="L253" i="25"/>
  <c r="N253" i="25" s="1"/>
  <c r="F58" i="19" l="1"/>
  <c r="F57" i="19"/>
  <c r="F56" i="19"/>
  <c r="F55" i="19"/>
  <c r="F54" i="19"/>
  <c r="F53" i="19"/>
  <c r="F52" i="19"/>
  <c r="F51" i="19"/>
  <c r="E58" i="19"/>
  <c r="E57" i="19"/>
  <c r="E56" i="19"/>
  <c r="E55" i="19"/>
  <c r="E54" i="19"/>
  <c r="E53" i="19"/>
  <c r="E52" i="19"/>
  <c r="E51" i="19"/>
  <c r="F50" i="19"/>
  <c r="E50" i="19"/>
  <c r="V58" i="19"/>
  <c r="X58" i="19" s="1"/>
  <c r="V57" i="19"/>
  <c r="V56" i="19"/>
  <c r="V55" i="19"/>
  <c r="X55" i="19" s="1"/>
  <c r="V54" i="19"/>
  <c r="V53" i="19"/>
  <c r="X53" i="19" s="1"/>
  <c r="V52" i="19"/>
  <c r="X52" i="19" s="1"/>
  <c r="V51" i="19"/>
  <c r="X51" i="19" s="1"/>
  <c r="V50" i="19"/>
  <c r="N58" i="19"/>
  <c r="N57" i="19"/>
  <c r="N56" i="19"/>
  <c r="N55" i="19"/>
  <c r="N54" i="19"/>
  <c r="N53" i="19"/>
  <c r="N52" i="19"/>
  <c r="N51" i="19"/>
  <c r="N50" i="19"/>
  <c r="O54" i="19" l="1"/>
  <c r="Q54" i="19" s="1"/>
  <c r="O58" i="19"/>
  <c r="O51" i="19"/>
  <c r="Q51" i="19" s="1"/>
  <c r="Z52" i="19"/>
  <c r="Z53" i="19"/>
  <c r="X57" i="19"/>
  <c r="Z58" i="19"/>
  <c r="O53" i="19"/>
  <c r="Z55" i="19"/>
  <c r="X54" i="19"/>
  <c r="Z54" i="19" s="1"/>
  <c r="O52" i="19"/>
  <c r="O55" i="19"/>
  <c r="O56" i="19"/>
  <c r="O57" i="19"/>
  <c r="O50" i="19"/>
  <c r="X56" i="19"/>
  <c r="Z56" i="19" s="1"/>
  <c r="X50" i="19"/>
  <c r="R56" i="17"/>
  <c r="S56" i="17" s="1"/>
  <c r="T56" i="17" s="1"/>
  <c r="U56" i="17" s="1"/>
  <c r="R55" i="17"/>
  <c r="S55" i="17" s="1"/>
  <c r="T55" i="17" s="1"/>
  <c r="U55" i="17" s="1"/>
  <c r="R54" i="17"/>
  <c r="S54" i="17" s="1"/>
  <c r="T54" i="17" s="1"/>
  <c r="U54" i="17" s="1"/>
  <c r="R53" i="17"/>
  <c r="S53" i="17" s="1"/>
  <c r="T53" i="17" s="1"/>
  <c r="U53" i="17" s="1"/>
  <c r="R52" i="17"/>
  <c r="S52" i="17" s="1"/>
  <c r="T52" i="17" s="1"/>
  <c r="U52" i="17" s="1"/>
  <c r="R51" i="17"/>
  <c r="S51" i="17" s="1"/>
  <c r="T51" i="17" s="1"/>
  <c r="U51" i="17" s="1"/>
  <c r="R50" i="17"/>
  <c r="S50" i="17" s="1"/>
  <c r="T50" i="17" s="1"/>
  <c r="U50" i="17" s="1"/>
  <c r="R49" i="17"/>
  <c r="S49" i="17" s="1"/>
  <c r="T49" i="17" s="1"/>
  <c r="U49" i="17" s="1"/>
  <c r="R48" i="17"/>
  <c r="S48" i="17" s="1"/>
  <c r="C58" i="19"/>
  <c r="B58" i="19"/>
  <c r="M307" i="25"/>
  <c r="K307" i="25"/>
  <c r="J307" i="25"/>
  <c r="I307" i="25"/>
  <c r="H307" i="25"/>
  <c r="G307" i="25"/>
  <c r="F307" i="25"/>
  <c r="E307" i="25"/>
  <c r="L306" i="25"/>
  <c r="N306" i="25" s="1"/>
  <c r="L305" i="25"/>
  <c r="N305" i="25" s="1"/>
  <c r="L304" i="25"/>
  <c r="N304" i="25" s="1"/>
  <c r="L303" i="25"/>
  <c r="N303" i="25" s="1"/>
  <c r="L302" i="25"/>
  <c r="Q58" i="19" l="1"/>
  <c r="S58" i="19" s="1"/>
  <c r="Q50" i="19"/>
  <c r="Q53" i="19"/>
  <c r="Q56" i="19"/>
  <c r="S54" i="19"/>
  <c r="Q55" i="19"/>
  <c r="L307" i="25"/>
  <c r="Q52" i="19"/>
  <c r="Q57" i="19"/>
  <c r="Z50" i="19"/>
  <c r="T48" i="17"/>
  <c r="U48" i="17" s="1"/>
  <c r="N302" i="25"/>
  <c r="N307" i="25" s="1"/>
  <c r="C57" i="19"/>
  <c r="C56" i="19"/>
  <c r="C55" i="19"/>
  <c r="C54" i="19"/>
  <c r="C53" i="19"/>
  <c r="C52" i="19"/>
  <c r="C51" i="19"/>
  <c r="C50" i="19"/>
  <c r="B57" i="19"/>
  <c r="B56" i="19"/>
  <c r="B55" i="19"/>
  <c r="B54" i="19"/>
  <c r="B53" i="19"/>
  <c r="B52" i="19"/>
  <c r="B51" i="19"/>
  <c r="B50" i="19"/>
  <c r="L293" i="25"/>
  <c r="N293" i="25" s="1"/>
  <c r="L292" i="25"/>
  <c r="N292" i="25" s="1"/>
  <c r="L291" i="25"/>
  <c r="N291" i="25" s="1"/>
  <c r="L290" i="25"/>
  <c r="L289" i="25"/>
  <c r="M288" i="25"/>
  <c r="K288" i="25"/>
  <c r="J288" i="25"/>
  <c r="I288" i="25"/>
  <c r="H288" i="25"/>
  <c r="G288" i="25"/>
  <c r="F288" i="25"/>
  <c r="E288" i="25"/>
  <c r="L287" i="25"/>
  <c r="N287" i="25" s="1"/>
  <c r="L286" i="25"/>
  <c r="N286" i="25" s="1"/>
  <c r="L285" i="25"/>
  <c r="N285" i="25" s="1"/>
  <c r="L284" i="25"/>
  <c r="N284" i="25" s="1"/>
  <c r="L283" i="25"/>
  <c r="K282" i="25"/>
  <c r="J282" i="25"/>
  <c r="I282" i="25"/>
  <c r="H282" i="25"/>
  <c r="G282" i="25"/>
  <c r="F282" i="25"/>
  <c r="E282" i="25"/>
  <c r="L281" i="25"/>
  <c r="N281" i="25" s="1"/>
  <c r="L280" i="25"/>
  <c r="N280" i="25" s="1"/>
  <c r="L279" i="25"/>
  <c r="N279" i="25" s="1"/>
  <c r="L278" i="25"/>
  <c r="L277" i="25"/>
  <c r="K276" i="25"/>
  <c r="J276" i="25"/>
  <c r="I276" i="25"/>
  <c r="H276" i="25"/>
  <c r="G276" i="25"/>
  <c r="F276" i="25"/>
  <c r="E276" i="25"/>
  <c r="L275" i="25"/>
  <c r="N275" i="25" s="1"/>
  <c r="L274" i="25"/>
  <c r="N274" i="25" s="1"/>
  <c r="L273" i="25"/>
  <c r="N273" i="25" s="1"/>
  <c r="N272" i="25"/>
  <c r="L271" i="25"/>
  <c r="M271" i="25" s="1"/>
  <c r="M276" i="25" s="1"/>
  <c r="M270" i="25"/>
  <c r="K270" i="25"/>
  <c r="J270" i="25"/>
  <c r="I270" i="25"/>
  <c r="H270" i="25"/>
  <c r="G270" i="25"/>
  <c r="F270" i="25"/>
  <c r="E270" i="25"/>
  <c r="L269" i="25"/>
  <c r="N269" i="25" s="1"/>
  <c r="L268" i="25"/>
  <c r="N268" i="25" s="1"/>
  <c r="L267" i="25"/>
  <c r="N267" i="25" s="1"/>
  <c r="L266" i="25"/>
  <c r="N266" i="25" s="1"/>
  <c r="L265" i="25"/>
  <c r="M264" i="25"/>
  <c r="K264" i="25"/>
  <c r="J264" i="25"/>
  <c r="I264" i="25"/>
  <c r="H264" i="25"/>
  <c r="G264" i="25"/>
  <c r="F264" i="25"/>
  <c r="E264" i="25"/>
  <c r="L263" i="25"/>
  <c r="N263" i="25" s="1"/>
  <c r="L262" i="25"/>
  <c r="N262" i="25" s="1"/>
  <c r="L261" i="25"/>
  <c r="N261" i="25" s="1"/>
  <c r="L260" i="25"/>
  <c r="N260" i="25" s="1"/>
  <c r="L259" i="25"/>
  <c r="M258" i="25"/>
  <c r="K258" i="25"/>
  <c r="J258" i="25"/>
  <c r="I258" i="25"/>
  <c r="H258" i="25"/>
  <c r="G258" i="25"/>
  <c r="F258" i="25"/>
  <c r="E258" i="25"/>
  <c r="L257" i="25"/>
  <c r="N257" i="25" s="1"/>
  <c r="L256" i="25"/>
  <c r="N256" i="25" s="1"/>
  <c r="L255" i="25"/>
  <c r="N255" i="25" s="1"/>
  <c r="L254" i="25"/>
  <c r="N254" i="25" s="1"/>
  <c r="M252" i="25"/>
  <c r="K252" i="25"/>
  <c r="J252" i="25"/>
  <c r="I252" i="25"/>
  <c r="H252" i="25"/>
  <c r="G252" i="25"/>
  <c r="F252" i="25"/>
  <c r="E252" i="25"/>
  <c r="L251" i="25"/>
  <c r="N251" i="25" s="1"/>
  <c r="L250" i="25"/>
  <c r="N250" i="25" s="1"/>
  <c r="L249" i="25"/>
  <c r="N249" i="25" s="1"/>
  <c r="L248" i="25"/>
  <c r="N248" i="25" s="1"/>
  <c r="L247" i="25"/>
  <c r="K246" i="25"/>
  <c r="J246" i="25"/>
  <c r="I246" i="25"/>
  <c r="H246" i="25"/>
  <c r="G246" i="25"/>
  <c r="P43" i="19" s="1"/>
  <c r="F246" i="25"/>
  <c r="E246" i="25"/>
  <c r="L245" i="25"/>
  <c r="N245" i="25" s="1"/>
  <c r="L244" i="25"/>
  <c r="N244" i="25" s="1"/>
  <c r="L243" i="25"/>
  <c r="N243" i="25" s="1"/>
  <c r="L242" i="25"/>
  <c r="N242" i="25" s="1"/>
  <c r="L241" i="25"/>
  <c r="M241" i="25" s="1"/>
  <c r="M246" i="25" s="1"/>
  <c r="K240" i="25"/>
  <c r="J240" i="25"/>
  <c r="I240" i="25"/>
  <c r="H240" i="25"/>
  <c r="G240" i="25"/>
  <c r="F240" i="25"/>
  <c r="E240" i="25"/>
  <c r="L239" i="25"/>
  <c r="N239" i="25" s="1"/>
  <c r="L238" i="25"/>
  <c r="N238" i="25" s="1"/>
  <c r="L237" i="25"/>
  <c r="N237" i="25" s="1"/>
  <c r="L236" i="25"/>
  <c r="L235" i="25"/>
  <c r="K234" i="25"/>
  <c r="J234" i="25"/>
  <c r="I234" i="25"/>
  <c r="H234" i="25"/>
  <c r="G234" i="25"/>
  <c r="F234" i="25"/>
  <c r="E234" i="25"/>
  <c r="L233" i="25"/>
  <c r="N233" i="25" s="1"/>
  <c r="L232" i="25"/>
  <c r="N232" i="25" s="1"/>
  <c r="L231" i="25"/>
  <c r="N231" i="25" s="1"/>
  <c r="L230" i="25"/>
  <c r="N230" i="25" s="1"/>
  <c r="L229" i="25"/>
  <c r="M229" i="25" s="1"/>
  <c r="M234" i="25" s="1"/>
  <c r="K228" i="25"/>
  <c r="J228" i="25"/>
  <c r="I228" i="25"/>
  <c r="H228" i="25"/>
  <c r="G228" i="25"/>
  <c r="F228" i="25"/>
  <c r="E228" i="25"/>
  <c r="L227" i="25"/>
  <c r="N227" i="25" s="1"/>
  <c r="L226" i="25"/>
  <c r="N226" i="25" s="1"/>
  <c r="L225" i="25"/>
  <c r="L224" i="25"/>
  <c r="N224" i="25" s="1"/>
  <c r="L223" i="25"/>
  <c r="K222" i="25"/>
  <c r="J222" i="25"/>
  <c r="I222" i="25"/>
  <c r="H222" i="25"/>
  <c r="G222" i="25"/>
  <c r="F222" i="25"/>
  <c r="E222" i="25"/>
  <c r="L221" i="25"/>
  <c r="N221" i="25" s="1"/>
  <c r="L220" i="25"/>
  <c r="N220" i="25" s="1"/>
  <c r="L219" i="25"/>
  <c r="N219" i="25" s="1"/>
  <c r="L218" i="25"/>
  <c r="L217" i="25"/>
  <c r="M216" i="25"/>
  <c r="K216" i="25"/>
  <c r="J216" i="25"/>
  <c r="I216" i="25"/>
  <c r="H216" i="25"/>
  <c r="G216" i="25"/>
  <c r="F216" i="25"/>
  <c r="E216" i="25"/>
  <c r="L215" i="25"/>
  <c r="N215" i="25" s="1"/>
  <c r="L214" i="25"/>
  <c r="N214" i="25" s="1"/>
  <c r="L213" i="25"/>
  <c r="N213" i="25" s="1"/>
  <c r="L212" i="25"/>
  <c r="N212" i="25" s="1"/>
  <c r="L211" i="25"/>
  <c r="K210" i="25"/>
  <c r="J210" i="25"/>
  <c r="I210" i="25"/>
  <c r="H210" i="25"/>
  <c r="G210" i="25"/>
  <c r="F210" i="25"/>
  <c r="E210" i="25"/>
  <c r="L209" i="25"/>
  <c r="N209" i="25" s="1"/>
  <c r="L208" i="25"/>
  <c r="L207" i="25"/>
  <c r="N207" i="25" s="1"/>
  <c r="L206" i="25"/>
  <c r="N206" i="25" s="1"/>
  <c r="L205" i="25"/>
  <c r="F204" i="25"/>
  <c r="K204" i="25"/>
  <c r="J204" i="25"/>
  <c r="I204" i="25"/>
  <c r="H204" i="25"/>
  <c r="G204" i="25"/>
  <c r="E204" i="25"/>
  <c r="L203" i="25"/>
  <c r="N203" i="25" s="1"/>
  <c r="L202" i="25"/>
  <c r="L201" i="25"/>
  <c r="N201" i="25" s="1"/>
  <c r="L200" i="25"/>
  <c r="N200" i="25" s="1"/>
  <c r="L199" i="25"/>
  <c r="K198" i="25"/>
  <c r="J198" i="25"/>
  <c r="I198" i="25"/>
  <c r="H198" i="25"/>
  <c r="G198" i="25"/>
  <c r="P35" i="19" s="1"/>
  <c r="F198" i="25"/>
  <c r="E198" i="25"/>
  <c r="L197" i="25"/>
  <c r="L196" i="25"/>
  <c r="N196" i="25" s="1"/>
  <c r="L195" i="25"/>
  <c r="N195" i="25" s="1"/>
  <c r="L194" i="25"/>
  <c r="N194" i="25" s="1"/>
  <c r="L193" i="25"/>
  <c r="Q148" i="25"/>
  <c r="Q149" i="25"/>
  <c r="Q150" i="25"/>
  <c r="Q151" i="25"/>
  <c r="Q152" i="25"/>
  <c r="Q155" i="25"/>
  <c r="Q156" i="25"/>
  <c r="Q157" i="25"/>
  <c r="Q158" i="25"/>
  <c r="Q159" i="25"/>
  <c r="Q162" i="25"/>
  <c r="Q163" i="25"/>
  <c r="Q164" i="25"/>
  <c r="Q165" i="25"/>
  <c r="Q166" i="25"/>
  <c r="Q169" i="25"/>
  <c r="Q170" i="25"/>
  <c r="Q171" i="25"/>
  <c r="Q172" i="25"/>
  <c r="Q173" i="25"/>
  <c r="Q175" i="25"/>
  <c r="Q176" i="25"/>
  <c r="Q177" i="25"/>
  <c r="Q178" i="25"/>
  <c r="Q179" i="25"/>
  <c r="Q181" i="25"/>
  <c r="Q182" i="25"/>
  <c r="Q183" i="25"/>
  <c r="Q184" i="25"/>
  <c r="Q185" i="25"/>
  <c r="Q187" i="25"/>
  <c r="Q188" i="25"/>
  <c r="Q189" i="25"/>
  <c r="Q190" i="25"/>
  <c r="Q191" i="25"/>
  <c r="K192" i="25"/>
  <c r="J192" i="25"/>
  <c r="I192" i="25"/>
  <c r="H192" i="25"/>
  <c r="G192" i="25"/>
  <c r="P36" i="19" s="1"/>
  <c r="F192" i="25"/>
  <c r="E192" i="25"/>
  <c r="L191" i="25"/>
  <c r="N191" i="25" s="1"/>
  <c r="L190" i="25"/>
  <c r="L189" i="25"/>
  <c r="N189" i="25" s="1"/>
  <c r="L188" i="25"/>
  <c r="N188" i="25" s="1"/>
  <c r="L187" i="25"/>
  <c r="M186" i="25"/>
  <c r="K186" i="25"/>
  <c r="J186" i="25"/>
  <c r="I186" i="25"/>
  <c r="H186" i="25"/>
  <c r="G186" i="25"/>
  <c r="F186" i="25"/>
  <c r="E186" i="25"/>
  <c r="L185" i="25"/>
  <c r="N185" i="25" s="1"/>
  <c r="L184" i="25"/>
  <c r="N184" i="25" s="1"/>
  <c r="L183" i="25"/>
  <c r="N183" i="25" s="1"/>
  <c r="L182" i="25"/>
  <c r="N182" i="25" s="1"/>
  <c r="L181" i="25"/>
  <c r="K180" i="25"/>
  <c r="I180" i="25"/>
  <c r="H180" i="25"/>
  <c r="G180" i="25"/>
  <c r="L179" i="25"/>
  <c r="N179" i="25" s="1"/>
  <c r="L178" i="25"/>
  <c r="N178" i="25" s="1"/>
  <c r="L177" i="25"/>
  <c r="L176" i="25"/>
  <c r="N176" i="25" s="1"/>
  <c r="L175" i="25"/>
  <c r="M197" i="25" l="1"/>
  <c r="M198" i="25" s="1"/>
  <c r="M202" i="25"/>
  <c r="M204" i="25" s="1"/>
  <c r="M278" i="25"/>
  <c r="M282" i="25" s="1"/>
  <c r="M177" i="25"/>
  <c r="M180" i="25" s="1"/>
  <c r="M190" i="25"/>
  <c r="M192" i="25" s="1"/>
  <c r="M208" i="25"/>
  <c r="M210" i="25" s="1"/>
  <c r="L294" i="25"/>
  <c r="M225" i="25"/>
  <c r="M228" i="25" s="1"/>
  <c r="M290" i="25"/>
  <c r="M294" i="25" s="1"/>
  <c r="M218" i="25"/>
  <c r="M222" i="25" s="1"/>
  <c r="M236" i="25"/>
  <c r="M240" i="25" s="1"/>
  <c r="S50" i="19"/>
  <c r="S55" i="19"/>
  <c r="S56" i="19"/>
  <c r="S53" i="19"/>
  <c r="S52" i="19"/>
  <c r="R188" i="25"/>
  <c r="Q186" i="25"/>
  <c r="R190" i="25"/>
  <c r="R176" i="25"/>
  <c r="R182" i="25"/>
  <c r="L276" i="25"/>
  <c r="R179" i="25"/>
  <c r="R175" i="25"/>
  <c r="R184" i="25"/>
  <c r="L246" i="25"/>
  <c r="L264" i="25"/>
  <c r="R177" i="25"/>
  <c r="R181" i="25"/>
  <c r="R183" i="25"/>
  <c r="Q180" i="25"/>
  <c r="Q192" i="25"/>
  <c r="R191" i="25"/>
  <c r="R187" i="25"/>
  <c r="R189" i="25"/>
  <c r="L282" i="25"/>
  <c r="R178" i="25"/>
  <c r="R185" i="25"/>
  <c r="L204" i="25"/>
  <c r="L234" i="25"/>
  <c r="L288" i="25"/>
  <c r="L240" i="25"/>
  <c r="L252" i="25"/>
  <c r="L258" i="25"/>
  <c r="L270" i="25"/>
  <c r="N289" i="25"/>
  <c r="N283" i="25"/>
  <c r="N288" i="25" s="1"/>
  <c r="N277" i="25"/>
  <c r="N271" i="25"/>
  <c r="N276" i="25" s="1"/>
  <c r="N265" i="25"/>
  <c r="N270" i="25" s="1"/>
  <c r="N259" i="25"/>
  <c r="N264" i="25" s="1"/>
  <c r="N258" i="25"/>
  <c r="N247" i="25"/>
  <c r="N252" i="25" s="1"/>
  <c r="N241" i="25"/>
  <c r="N246" i="25" s="1"/>
  <c r="N235" i="25"/>
  <c r="N229" i="25"/>
  <c r="N234" i="25" s="1"/>
  <c r="L228" i="25"/>
  <c r="N223" i="25"/>
  <c r="L222" i="25"/>
  <c r="N217" i="25"/>
  <c r="L216" i="25"/>
  <c r="N211" i="25"/>
  <c r="N216" i="25" s="1"/>
  <c r="L210" i="25"/>
  <c r="N205" i="25"/>
  <c r="N199" i="25"/>
  <c r="L198" i="25"/>
  <c r="N193" i="25"/>
  <c r="N198" i="25" s="1"/>
  <c r="L192" i="25"/>
  <c r="N187" i="25"/>
  <c r="L186" i="25"/>
  <c r="N181" i="25"/>
  <c r="N186" i="25" s="1"/>
  <c r="L180" i="25"/>
  <c r="N175" i="25"/>
  <c r="M174" i="25"/>
  <c r="K174" i="25"/>
  <c r="J174" i="25"/>
  <c r="I174" i="25"/>
  <c r="H174" i="25"/>
  <c r="G174" i="25"/>
  <c r="P57" i="19" s="1"/>
  <c r="F174" i="25"/>
  <c r="E174" i="25"/>
  <c r="L173" i="25"/>
  <c r="L172" i="25"/>
  <c r="N172" i="25" s="1"/>
  <c r="L171" i="25"/>
  <c r="N171" i="25" s="1"/>
  <c r="L170" i="25"/>
  <c r="L169" i="25"/>
  <c r="R169" i="25" s="1"/>
  <c r="K168" i="25"/>
  <c r="I168" i="25"/>
  <c r="H168" i="25"/>
  <c r="P32" i="19"/>
  <c r="L166" i="25"/>
  <c r="N166" i="25" s="1"/>
  <c r="L165" i="25"/>
  <c r="R165" i="25" s="1"/>
  <c r="L164" i="25"/>
  <c r="L163" i="25"/>
  <c r="N163" i="25" s="1"/>
  <c r="L162" i="25"/>
  <c r="P31" i="19"/>
  <c r="L159" i="25"/>
  <c r="L158" i="25"/>
  <c r="N158" i="25" s="1"/>
  <c r="L157" i="25"/>
  <c r="N157" i="25" s="1"/>
  <c r="L156" i="25"/>
  <c r="L155" i="25"/>
  <c r="P30" i="19"/>
  <c r="L152" i="25"/>
  <c r="R152" i="25" s="1"/>
  <c r="L151" i="25"/>
  <c r="R151" i="25" s="1"/>
  <c r="L150" i="25"/>
  <c r="R150" i="25" s="1"/>
  <c r="L149" i="25"/>
  <c r="N149" i="25" s="1"/>
  <c r="L148" i="25"/>
  <c r="L144" i="25"/>
  <c r="N144" i="25" s="1"/>
  <c r="R162" i="25" l="1"/>
  <c r="L168" i="25"/>
  <c r="N290" i="25"/>
  <c r="N294" i="25" s="1"/>
  <c r="R148" i="25"/>
  <c r="L154" i="25"/>
  <c r="N208" i="25"/>
  <c r="N210" i="25" s="1"/>
  <c r="N177" i="25"/>
  <c r="N180" i="25" s="1"/>
  <c r="N202" i="25"/>
  <c r="N204" i="25" s="1"/>
  <c r="N225" i="25"/>
  <c r="N228" i="25" s="1"/>
  <c r="N190" i="25"/>
  <c r="N192" i="25" s="1"/>
  <c r="N278" i="25"/>
  <c r="N282" i="25" s="1"/>
  <c r="N197" i="25"/>
  <c r="N218" i="25"/>
  <c r="N222" i="25" s="1"/>
  <c r="N236" i="25"/>
  <c r="N240" i="25" s="1"/>
  <c r="R155" i="25"/>
  <c r="L161" i="25"/>
  <c r="R186" i="25"/>
  <c r="Z57" i="19"/>
  <c r="S57" i="19"/>
  <c r="R149" i="25"/>
  <c r="N151" i="25"/>
  <c r="N152" i="25"/>
  <c r="N165" i="25"/>
  <c r="R180" i="25"/>
  <c r="R192" i="25"/>
  <c r="R163" i="25"/>
  <c r="R166" i="25"/>
  <c r="Q168" i="25"/>
  <c r="N173" i="25"/>
  <c r="R173" i="25"/>
  <c r="R171" i="25"/>
  <c r="R172" i="25"/>
  <c r="N150" i="25"/>
  <c r="N159" i="25"/>
  <c r="R159" i="25"/>
  <c r="N170" i="25"/>
  <c r="R170" i="25"/>
  <c r="Q174" i="25"/>
  <c r="Q154" i="25"/>
  <c r="N164" i="25"/>
  <c r="R164" i="25"/>
  <c r="N156" i="25"/>
  <c r="R156" i="25"/>
  <c r="Q161" i="25"/>
  <c r="R157" i="25"/>
  <c r="R158" i="25"/>
  <c r="L174" i="25"/>
  <c r="N169" i="25"/>
  <c r="N162" i="25"/>
  <c r="N155" i="25"/>
  <c r="N148" i="25"/>
  <c r="N161" i="25" l="1"/>
  <c r="N154" i="25"/>
  <c r="N174" i="25"/>
  <c r="R161" i="25"/>
  <c r="R168" i="25"/>
  <c r="R154" i="25"/>
  <c r="N168" i="25"/>
  <c r="R174" i="25"/>
  <c r="M147" i="25" l="1"/>
  <c r="K147" i="25"/>
  <c r="J147" i="25"/>
  <c r="I147" i="25"/>
  <c r="H147" i="25"/>
  <c r="G147" i="25"/>
  <c r="P51" i="19" s="1"/>
  <c r="F147" i="25"/>
  <c r="E147" i="25"/>
  <c r="L143" i="25"/>
  <c r="L147" i="25" s="1"/>
  <c r="Z51" i="19" l="1"/>
  <c r="S51" i="19"/>
  <c r="Q147" i="25"/>
  <c r="R147" i="25" s="1"/>
  <c r="N143" i="25"/>
  <c r="N147" i="25" s="1"/>
  <c r="Q17" i="25"/>
  <c r="R17" i="25" s="1"/>
  <c r="Q22" i="25"/>
  <c r="Q23" i="25"/>
  <c r="R23" i="25" s="1"/>
  <c r="Q25" i="25"/>
  <c r="Q29" i="25"/>
  <c r="R29" i="25" s="1"/>
  <c r="Q36" i="25"/>
  <c r="Q37" i="25"/>
  <c r="R37" i="25" s="1"/>
  <c r="Q43" i="25"/>
  <c r="Q44" i="25"/>
  <c r="R44" i="25" s="1"/>
  <c r="Q50" i="25"/>
  <c r="Q51" i="25"/>
  <c r="R51" i="25" s="1"/>
  <c r="Q56" i="25"/>
  <c r="Q57" i="25"/>
  <c r="R57" i="25" s="1"/>
  <c r="Q61" i="25"/>
  <c r="Q62" i="25"/>
  <c r="R62" i="25" s="1"/>
  <c r="Q63" i="25"/>
  <c r="R63" i="25" s="1"/>
  <c r="Q72" i="25"/>
  <c r="R72" i="25" s="1"/>
  <c r="Q73" i="25"/>
  <c r="R73" i="25" s="1"/>
  <c r="Q76" i="25"/>
  <c r="R76" i="25" s="1"/>
  <c r="Q77" i="25"/>
  <c r="R77" i="25" s="1"/>
  <c r="Q92" i="25"/>
  <c r="R92" i="25" s="1"/>
  <c r="Q98" i="25"/>
  <c r="R98" i="25" s="1"/>
  <c r="Q109" i="25"/>
  <c r="Q110" i="25"/>
  <c r="Q115" i="25"/>
  <c r="Q119" i="25"/>
  <c r="Q120" i="25"/>
  <c r="R120" i="25" s="1"/>
  <c r="Q124" i="25"/>
  <c r="Q125" i="25"/>
  <c r="R125" i="25" s="1"/>
  <c r="Q127" i="25"/>
  <c r="Q128" i="25"/>
  <c r="Q129" i="25"/>
  <c r="R129" i="25" s="1"/>
  <c r="Q130" i="25"/>
  <c r="R130" i="25" s="1"/>
  <c r="Q132" i="25"/>
  <c r="R132" i="25" s="1"/>
  <c r="Q133" i="25"/>
  <c r="Q134" i="25"/>
  <c r="R134" i="25" s="1"/>
  <c r="Q135" i="25"/>
  <c r="R135" i="25" s="1"/>
  <c r="Q136" i="25"/>
  <c r="R136" i="25" s="1"/>
  <c r="Q138" i="25"/>
  <c r="Q139" i="25"/>
  <c r="R139" i="25" s="1"/>
  <c r="Q140" i="25"/>
  <c r="R140" i="25" s="1"/>
  <c r="Q141" i="25"/>
  <c r="R141" i="25" s="1"/>
  <c r="Q143" i="25"/>
  <c r="R143" i="25" s="1"/>
  <c r="Q144" i="25"/>
  <c r="R144" i="25" s="1"/>
  <c r="Q145" i="25"/>
  <c r="R145" i="25" s="1"/>
  <c r="Q146" i="25"/>
  <c r="R146" i="25" s="1"/>
  <c r="M142" i="25"/>
  <c r="K142" i="25"/>
  <c r="J142" i="25"/>
  <c r="I142" i="25"/>
  <c r="H142" i="25"/>
  <c r="G142" i="25"/>
  <c r="F142" i="25"/>
  <c r="E142" i="25"/>
  <c r="L138" i="25"/>
  <c r="L142" i="25" s="1"/>
  <c r="M137" i="25"/>
  <c r="K137" i="25"/>
  <c r="J137" i="25"/>
  <c r="I137" i="25"/>
  <c r="H137" i="25"/>
  <c r="G137" i="25"/>
  <c r="F137" i="25"/>
  <c r="E137" i="25"/>
  <c r="L133" i="25"/>
  <c r="M131" i="25"/>
  <c r="K131" i="25"/>
  <c r="J131" i="25"/>
  <c r="I131" i="25"/>
  <c r="H131" i="25"/>
  <c r="G131" i="25"/>
  <c r="F131" i="25"/>
  <c r="E131" i="25"/>
  <c r="L128" i="25"/>
  <c r="N128" i="25" s="1"/>
  <c r="L127" i="25"/>
  <c r="L124" i="25"/>
  <c r="L119" i="25"/>
  <c r="G114" i="25"/>
  <c r="L114" i="25" s="1"/>
  <c r="L115" i="25"/>
  <c r="F84" i="25"/>
  <c r="L110" i="25"/>
  <c r="J111" i="25"/>
  <c r="L109" i="25"/>
  <c r="N109" i="25" s="1"/>
  <c r="F108" i="25"/>
  <c r="L108" i="25" s="1"/>
  <c r="J104" i="25"/>
  <c r="Q104" i="25" s="1"/>
  <c r="M110" i="25" l="1"/>
  <c r="M111" i="25" s="1"/>
  <c r="L104" i="25"/>
  <c r="N104" i="25" s="1"/>
  <c r="R133" i="25"/>
  <c r="R115" i="25"/>
  <c r="R119" i="25"/>
  <c r="R109" i="25"/>
  <c r="Q114" i="25"/>
  <c r="R114" i="25" s="1"/>
  <c r="Q142" i="25"/>
  <c r="R142" i="25" s="1"/>
  <c r="R138" i="25"/>
  <c r="Q108" i="25"/>
  <c r="R108" i="25" s="1"/>
  <c r="N133" i="25"/>
  <c r="N137" i="25" s="1"/>
  <c r="L137" i="25"/>
  <c r="L84" i="25"/>
  <c r="N84" i="25" s="1"/>
  <c r="Q84" i="25"/>
  <c r="N127" i="25"/>
  <c r="N131" i="25" s="1"/>
  <c r="R127" i="25"/>
  <c r="L131" i="25"/>
  <c r="Q137" i="25"/>
  <c r="R110" i="25"/>
  <c r="Q131" i="25"/>
  <c r="R128" i="25"/>
  <c r="R124" i="25"/>
  <c r="N138" i="25"/>
  <c r="N142" i="25" s="1"/>
  <c r="N110" i="25" l="1"/>
  <c r="R104" i="25"/>
  <c r="R131" i="25"/>
  <c r="R84" i="25"/>
  <c r="R137" i="25"/>
  <c r="AV9" i="19"/>
  <c r="AW9" i="19" s="1"/>
  <c r="P17" i="5" l="1"/>
  <c r="P23" i="5"/>
  <c r="P24" i="5"/>
  <c r="P25" i="5"/>
  <c r="P27" i="5"/>
  <c r="P28" i="5"/>
  <c r="P29" i="5"/>
  <c r="P30" i="5"/>
  <c r="P57" i="5"/>
  <c r="P58" i="5"/>
  <c r="P59" i="5"/>
  <c r="P61" i="5"/>
  <c r="P63" i="5"/>
  <c r="P65" i="5"/>
  <c r="P66" i="5"/>
  <c r="P68" i="5"/>
  <c r="O17" i="5"/>
  <c r="O23" i="5"/>
  <c r="O24" i="5"/>
  <c r="O25" i="5"/>
  <c r="O27" i="5"/>
  <c r="O28" i="5"/>
  <c r="O29" i="5"/>
  <c r="O30" i="5"/>
  <c r="O57" i="5"/>
  <c r="O58" i="5"/>
  <c r="O59" i="5"/>
  <c r="O63" i="5"/>
  <c r="O68" i="5"/>
  <c r="O70" i="5"/>
  <c r="P10" i="5"/>
  <c r="O10" i="5"/>
  <c r="AB11" i="11"/>
  <c r="AB12" i="11"/>
  <c r="AB17" i="11"/>
  <c r="AA12" i="11"/>
  <c r="Z9" i="11"/>
  <c r="Z10" i="11"/>
  <c r="Z14" i="11"/>
  <c r="Z17" i="11"/>
  <c r="Z18" i="11"/>
  <c r="Y9" i="11"/>
  <c r="Y10" i="11"/>
  <c r="Y11" i="11"/>
  <c r="Y12" i="11"/>
  <c r="Y14" i="11"/>
  <c r="Y17" i="11"/>
  <c r="Y18" i="11"/>
  <c r="P2" i="6" l="1"/>
  <c r="P70" i="5" l="1"/>
  <c r="W66" i="6" l="1"/>
  <c r="Z15" i="11"/>
  <c r="Y15" i="11"/>
  <c r="Z12" i="11"/>
  <c r="Z11" i="11"/>
  <c r="Z8" i="11"/>
  <c r="Y8" i="11"/>
  <c r="K16" i="6" l="1"/>
  <c r="J16" i="6"/>
  <c r="W46" i="6" l="1"/>
  <c r="L94" i="6" l="1"/>
  <c r="W48" i="6"/>
  <c r="W43" i="6" l="1"/>
  <c r="R16" i="6"/>
  <c r="V16" i="6" l="1"/>
  <c r="H9" i="60" s="1"/>
  <c r="S16" i="6"/>
  <c r="W19" i="6"/>
  <c r="D94" i="6"/>
  <c r="H38" i="19"/>
  <c r="H40" i="19"/>
  <c r="H42" i="19"/>
  <c r="H15" i="2" l="1"/>
  <c r="H14" i="2"/>
  <c r="K71" i="5" l="1"/>
  <c r="L24" i="7" l="1"/>
  <c r="L29" i="7" s="1"/>
  <c r="H19" i="18" l="1"/>
  <c r="I22" i="22"/>
  <c r="AB10" i="11"/>
  <c r="AA10" i="11"/>
  <c r="AB20" i="11"/>
  <c r="AA20" i="11"/>
  <c r="Z20" i="11"/>
  <c r="Y20" i="11"/>
  <c r="U49" i="19"/>
  <c r="U48" i="19"/>
  <c r="N49" i="19"/>
  <c r="N48" i="19"/>
  <c r="H49" i="19"/>
  <c r="H48" i="19"/>
  <c r="P49" i="19"/>
  <c r="P48" i="19"/>
  <c r="F49" i="19"/>
  <c r="F48" i="19"/>
  <c r="E49" i="19"/>
  <c r="E48" i="19"/>
  <c r="D49" i="19"/>
  <c r="D48" i="19"/>
  <c r="C49" i="19"/>
  <c r="C48" i="19"/>
  <c r="B49" i="19"/>
  <c r="B48" i="19"/>
  <c r="R47" i="17"/>
  <c r="R46" i="17"/>
  <c r="AB19" i="11"/>
  <c r="AA19" i="11"/>
  <c r="Z19" i="11"/>
  <c r="Y19" i="11"/>
  <c r="U38" i="19"/>
  <c r="N38" i="19"/>
  <c r="U45" i="19"/>
  <c r="N45" i="19"/>
  <c r="U44" i="19"/>
  <c r="N44" i="19"/>
  <c r="U43" i="19"/>
  <c r="N43" i="19"/>
  <c r="U42" i="19"/>
  <c r="N42" i="19"/>
  <c r="U40" i="19"/>
  <c r="N40" i="19"/>
  <c r="U39" i="19"/>
  <c r="N39" i="19"/>
  <c r="I38" i="19"/>
  <c r="H47" i="19"/>
  <c r="H46" i="19"/>
  <c r="H45" i="19"/>
  <c r="H44" i="19"/>
  <c r="H43" i="19"/>
  <c r="I40" i="19"/>
  <c r="H39" i="19"/>
  <c r="P47" i="19"/>
  <c r="P46" i="19"/>
  <c r="P45" i="19"/>
  <c r="P44" i="19"/>
  <c r="P42" i="19"/>
  <c r="P40" i="19"/>
  <c r="P39" i="19"/>
  <c r="P38" i="19"/>
  <c r="U37" i="19"/>
  <c r="P37" i="19"/>
  <c r="N37" i="19"/>
  <c r="H37" i="19"/>
  <c r="AB9" i="11"/>
  <c r="AA9" i="11"/>
  <c r="AA11" i="11"/>
  <c r="F47" i="19"/>
  <c r="E47" i="19"/>
  <c r="D47" i="19"/>
  <c r="C47" i="19"/>
  <c r="B47" i="19"/>
  <c r="R45" i="17"/>
  <c r="S39" i="6"/>
  <c r="R39" i="6"/>
  <c r="S36" i="6"/>
  <c r="R36" i="6"/>
  <c r="V36" i="6" s="1"/>
  <c r="F46" i="19"/>
  <c r="F45" i="19"/>
  <c r="E46" i="19"/>
  <c r="E45" i="19"/>
  <c r="D46" i="19"/>
  <c r="D45" i="19"/>
  <c r="C46" i="19"/>
  <c r="C45" i="19"/>
  <c r="B46" i="19"/>
  <c r="B45" i="19"/>
  <c r="B44" i="19"/>
  <c r="C44" i="19"/>
  <c r="D44" i="19"/>
  <c r="E44" i="19"/>
  <c r="F44" i="19"/>
  <c r="R44" i="17"/>
  <c r="S44" i="17" s="1"/>
  <c r="R43" i="17"/>
  <c r="S43" i="17" s="1"/>
  <c r="R42" i="17"/>
  <c r="S42" i="17" s="1"/>
  <c r="F43" i="19"/>
  <c r="F42" i="19"/>
  <c r="F40" i="19"/>
  <c r="F39" i="19"/>
  <c r="F38" i="19"/>
  <c r="F37" i="19"/>
  <c r="E43" i="19"/>
  <c r="E42" i="19"/>
  <c r="E40" i="19"/>
  <c r="E39" i="19"/>
  <c r="E38" i="19"/>
  <c r="E37" i="19"/>
  <c r="D43" i="19"/>
  <c r="D42" i="19"/>
  <c r="D40" i="19"/>
  <c r="D39" i="19"/>
  <c r="D38" i="19"/>
  <c r="D37" i="19"/>
  <c r="C43" i="19"/>
  <c r="C42" i="19"/>
  <c r="C40" i="19"/>
  <c r="C39" i="19"/>
  <c r="C38" i="19"/>
  <c r="C37" i="19"/>
  <c r="B43" i="19"/>
  <c r="B42" i="19"/>
  <c r="B40" i="19"/>
  <c r="B39" i="19"/>
  <c r="B38" i="19"/>
  <c r="B37" i="19"/>
  <c r="R41" i="17"/>
  <c r="R40" i="17"/>
  <c r="R38" i="17"/>
  <c r="R37" i="17"/>
  <c r="S37" i="17" s="1"/>
  <c r="T37" i="17" s="1"/>
  <c r="U37" i="17" s="1"/>
  <c r="R36" i="17"/>
  <c r="S36" i="17" s="1"/>
  <c r="T36" i="17" s="1"/>
  <c r="U36" i="17" s="1"/>
  <c r="R35" i="17"/>
  <c r="S35" i="17" s="1"/>
  <c r="T35" i="17" s="1"/>
  <c r="U35" i="17" s="1"/>
  <c r="T6" i="11"/>
  <c r="T5" i="11" s="1"/>
  <c r="I43" i="19" l="1"/>
  <c r="J43" i="19" s="1"/>
  <c r="M43" i="19" s="1"/>
  <c r="I47" i="19"/>
  <c r="J47" i="19" s="1"/>
  <c r="M47" i="19" s="1"/>
  <c r="O40" i="19"/>
  <c r="O45" i="19"/>
  <c r="V42" i="19"/>
  <c r="X42" i="19" s="1"/>
  <c r="I37" i="19"/>
  <c r="J37" i="19" s="1"/>
  <c r="V45" i="19"/>
  <c r="X45" i="19" s="1"/>
  <c r="I45" i="19"/>
  <c r="J45" i="19" s="1"/>
  <c r="M45" i="19" s="1"/>
  <c r="I49" i="19"/>
  <c r="J49" i="19" s="1"/>
  <c r="M49" i="19" s="1"/>
  <c r="O37" i="19"/>
  <c r="V39" i="19"/>
  <c r="X39" i="19" s="1"/>
  <c r="V43" i="19"/>
  <c r="X43" i="19" s="1"/>
  <c r="Z43" i="19" s="1"/>
  <c r="O43" i="19"/>
  <c r="V44" i="19"/>
  <c r="X44" i="19" s="1"/>
  <c r="V46" i="19"/>
  <c r="X46" i="19" s="1"/>
  <c r="V47" i="19"/>
  <c r="X47" i="19" s="1"/>
  <c r="O47" i="19"/>
  <c r="O49" i="19"/>
  <c r="V48" i="19"/>
  <c r="X48" i="19" s="1"/>
  <c r="V49" i="19"/>
  <c r="X49" i="19" s="1"/>
  <c r="I48" i="19"/>
  <c r="J48" i="19" s="1"/>
  <c r="O48" i="19"/>
  <c r="S47" i="17"/>
  <c r="S46" i="17"/>
  <c r="V40" i="19"/>
  <c r="X40" i="19" s="1"/>
  <c r="O38" i="19"/>
  <c r="V38" i="19"/>
  <c r="X38" i="19" s="1"/>
  <c r="J38" i="19"/>
  <c r="M38" i="19" s="1"/>
  <c r="J40" i="19"/>
  <c r="M40" i="19" s="1"/>
  <c r="I39" i="19"/>
  <c r="J39" i="19" s="1"/>
  <c r="O39" i="19"/>
  <c r="I42" i="19"/>
  <c r="J42" i="19" s="1"/>
  <c r="O42" i="19"/>
  <c r="I44" i="19"/>
  <c r="J44" i="19" s="1"/>
  <c r="O44" i="19"/>
  <c r="I46" i="19"/>
  <c r="J46" i="19" s="1"/>
  <c r="O46" i="19"/>
  <c r="V37" i="19"/>
  <c r="X37" i="19" s="1"/>
  <c r="S45" i="17"/>
  <c r="T44" i="17"/>
  <c r="U44" i="17" s="1"/>
  <c r="T43" i="17"/>
  <c r="U43" i="17" s="1"/>
  <c r="T42" i="17"/>
  <c r="U42" i="17" s="1"/>
  <c r="S41" i="17"/>
  <c r="S40" i="17"/>
  <c r="S38" i="17"/>
  <c r="J18" i="2"/>
  <c r="Z42" i="19" l="1"/>
  <c r="Z48" i="19"/>
  <c r="Z45" i="19"/>
  <c r="Z46" i="19"/>
  <c r="Q45" i="19"/>
  <c r="S45" i="19" s="1"/>
  <c r="Q46" i="19"/>
  <c r="S46" i="19" s="1"/>
  <c r="Q38" i="19"/>
  <c r="Q49" i="19"/>
  <c r="Q40" i="19"/>
  <c r="Q42" i="19"/>
  <c r="Q47" i="19"/>
  <c r="Q37" i="19"/>
  <c r="Q43" i="19"/>
  <c r="M37" i="19"/>
  <c r="Z44" i="19"/>
  <c r="Z40" i="19"/>
  <c r="Z39" i="19"/>
  <c r="Z47" i="19"/>
  <c r="Q39" i="19"/>
  <c r="Q44" i="19"/>
  <c r="Q48" i="19"/>
  <c r="Z49" i="19"/>
  <c r="M48" i="19"/>
  <c r="T47" i="17"/>
  <c r="U47" i="17" s="1"/>
  <c r="T46" i="17"/>
  <c r="U46" i="17" s="1"/>
  <c r="M42" i="19"/>
  <c r="Z37" i="19"/>
  <c r="M46" i="19"/>
  <c r="M44" i="19"/>
  <c r="Z38" i="19"/>
  <c r="M39" i="19"/>
  <c r="T45" i="17"/>
  <c r="U45" i="17" s="1"/>
  <c r="T41" i="17"/>
  <c r="U41" i="17" s="1"/>
  <c r="T40" i="17"/>
  <c r="U40" i="17" s="1"/>
  <c r="T38" i="17"/>
  <c r="U38" i="17" s="1"/>
  <c r="S42" i="19" l="1"/>
  <c r="S47" i="19"/>
  <c r="S38" i="19"/>
  <c r="S44" i="19"/>
  <c r="S49" i="19"/>
  <c r="S40" i="19"/>
  <c r="S39" i="19"/>
  <c r="S37" i="19"/>
  <c r="S43" i="19"/>
  <c r="W27" i="6"/>
  <c r="S48" i="19"/>
  <c r="P12" i="5"/>
  <c r="W24" i="5"/>
  <c r="W25" i="5"/>
  <c r="W23" i="5"/>
  <c r="O12" i="5" l="1"/>
  <c r="L12" i="5"/>
  <c r="W26" i="5"/>
  <c r="D148" i="5"/>
  <c r="E145" i="5" s="1"/>
  <c r="E144" i="5"/>
  <c r="D145" i="5"/>
  <c r="D146" i="5" s="1"/>
  <c r="E146" i="5" l="1"/>
  <c r="E147" i="5" s="1"/>
  <c r="I26" i="7" l="1"/>
  <c r="M26" i="7" s="1"/>
  <c r="Z13" i="11"/>
  <c r="Y13" i="11"/>
  <c r="N26" i="7" l="1"/>
  <c r="O26" i="7" s="1"/>
  <c r="S26" i="7" s="1"/>
  <c r="W47" i="6"/>
  <c r="N10" i="2"/>
  <c r="N20" i="2" l="1"/>
  <c r="N19" i="2"/>
  <c r="U36" i="19" l="1"/>
  <c r="U35" i="19"/>
  <c r="U34" i="19"/>
  <c r="U33" i="19"/>
  <c r="N34" i="19"/>
  <c r="N33" i="19"/>
  <c r="H34" i="19"/>
  <c r="H33" i="19"/>
  <c r="H36" i="19"/>
  <c r="I36" i="19" s="1"/>
  <c r="H35" i="19"/>
  <c r="I35" i="19" s="1"/>
  <c r="H32" i="19"/>
  <c r="H31" i="19"/>
  <c r="H30" i="19"/>
  <c r="N36" i="19"/>
  <c r="N35" i="19"/>
  <c r="R34" i="17"/>
  <c r="S34" i="17" s="1"/>
  <c r="T34" i="17" s="1"/>
  <c r="U34" i="17" s="1"/>
  <c r="F36" i="19"/>
  <c r="F35" i="19"/>
  <c r="E36" i="19"/>
  <c r="E35" i="19"/>
  <c r="D36" i="19"/>
  <c r="D35" i="19"/>
  <c r="C36" i="19"/>
  <c r="C35" i="19"/>
  <c r="B36" i="19"/>
  <c r="B35" i="19"/>
  <c r="R33" i="17"/>
  <c r="S33" i="17" s="1"/>
  <c r="T33" i="17" s="1"/>
  <c r="U33" i="17" s="1"/>
  <c r="P34" i="19"/>
  <c r="P33" i="19"/>
  <c r="F34" i="19"/>
  <c r="F33" i="19"/>
  <c r="E34" i="19"/>
  <c r="E33" i="19"/>
  <c r="D34" i="19"/>
  <c r="D33" i="19"/>
  <c r="C34" i="19"/>
  <c r="C33" i="19"/>
  <c r="B34" i="19"/>
  <c r="B33" i="19"/>
  <c r="R32" i="17"/>
  <c r="S32" i="17" s="1"/>
  <c r="T32" i="17" s="1"/>
  <c r="U32" i="17" s="1"/>
  <c r="R31" i="17"/>
  <c r="S31" i="17" s="1"/>
  <c r="O35" i="19" l="1"/>
  <c r="V34" i="19"/>
  <c r="X34" i="19" s="1"/>
  <c r="O36" i="19"/>
  <c r="V35" i="19"/>
  <c r="O34" i="19"/>
  <c r="V36" i="19"/>
  <c r="X36" i="19" s="1"/>
  <c r="J35" i="19"/>
  <c r="M35" i="19" s="1"/>
  <c r="V33" i="19"/>
  <c r="X33" i="19" s="1"/>
  <c r="O33" i="19"/>
  <c r="I33" i="19"/>
  <c r="J33" i="19" s="1"/>
  <c r="M33" i="19" s="1"/>
  <c r="J36" i="19"/>
  <c r="M36" i="19" s="1"/>
  <c r="I34" i="19"/>
  <c r="T31" i="17"/>
  <c r="U31" i="17" s="1"/>
  <c r="Q33" i="19" l="1"/>
  <c r="Q35" i="19"/>
  <c r="Q36" i="19"/>
  <c r="Z36" i="19"/>
  <c r="X35" i="19"/>
  <c r="Z35" i="19" s="1"/>
  <c r="Z34" i="19"/>
  <c r="Q34" i="19"/>
  <c r="Z33" i="19"/>
  <c r="J34" i="19"/>
  <c r="M34" i="19" s="1"/>
  <c r="C143" i="5"/>
  <c r="S33" i="19" l="1"/>
  <c r="S34" i="19"/>
  <c r="S35" i="19"/>
  <c r="S36" i="19"/>
  <c r="W35" i="6" l="1"/>
  <c r="V7" i="11"/>
  <c r="W7" i="11"/>
  <c r="P76" i="5" l="1"/>
  <c r="P77" i="5" s="1"/>
  <c r="P78" i="5" s="1"/>
  <c r="O76" i="5"/>
  <c r="D71" i="17" l="1"/>
  <c r="D74" i="17" s="1"/>
  <c r="H25" i="7" l="1"/>
  <c r="H24" i="7"/>
  <c r="F35" i="7"/>
  <c r="H35" i="7" s="1"/>
  <c r="H23" i="7"/>
  <c r="H22" i="7"/>
  <c r="F34" i="7"/>
  <c r="H34" i="7" s="1"/>
  <c r="H21" i="7"/>
  <c r="H20" i="7"/>
  <c r="F33" i="7"/>
  <c r="H33" i="7" s="1"/>
  <c r="H19" i="7"/>
  <c r="F32" i="7"/>
  <c r="H32" i="7" s="1"/>
  <c r="H18" i="7"/>
  <c r="F31" i="7"/>
  <c r="H17" i="7"/>
  <c r="H16" i="7"/>
  <c r="H15" i="7"/>
  <c r="H14" i="7"/>
  <c r="H13" i="7"/>
  <c r="H12" i="7"/>
  <c r="V26" i="7" l="1"/>
  <c r="H29" i="7"/>
  <c r="F38" i="7"/>
  <c r="F40" i="7" s="1"/>
  <c r="F43" i="7" s="1"/>
  <c r="H31" i="7"/>
  <c r="AX29" i="6" l="1"/>
  <c r="AX30" i="6" s="1"/>
  <c r="AX31" i="6" s="1"/>
  <c r="AZ25" i="6"/>
  <c r="D11" i="57"/>
  <c r="AW21" i="6"/>
  <c r="AW22" i="6" s="1"/>
  <c r="F38" i="15" l="1"/>
  <c r="P38" i="15" s="1"/>
  <c r="F37" i="15"/>
  <c r="F35" i="15"/>
  <c r="P35" i="15" s="1"/>
  <c r="F34" i="15"/>
  <c r="P34" i="15" s="1"/>
  <c r="F32" i="15"/>
  <c r="P32" i="15" s="1"/>
  <c r="F31" i="15"/>
  <c r="P31" i="15" s="1"/>
  <c r="F30" i="15"/>
  <c r="P30" i="15" s="1"/>
  <c r="F29" i="15"/>
  <c r="P29" i="15" s="1"/>
  <c r="F26" i="15"/>
  <c r="F25" i="15"/>
  <c r="P25" i="15" s="1"/>
  <c r="F24" i="15"/>
  <c r="P24" i="15" s="1"/>
  <c r="F23" i="15"/>
  <c r="P23" i="15" s="1"/>
  <c r="F22" i="15"/>
  <c r="P22" i="15" s="1"/>
  <c r="E38" i="15"/>
  <c r="O38" i="15" s="1"/>
  <c r="E37" i="15"/>
  <c r="O37" i="15" s="1"/>
  <c r="E35" i="15"/>
  <c r="O35" i="15" s="1"/>
  <c r="E34" i="15"/>
  <c r="O34" i="15" s="1"/>
  <c r="E32" i="15"/>
  <c r="O32" i="15" s="1"/>
  <c r="E31" i="15"/>
  <c r="O31" i="15" s="1"/>
  <c r="E30" i="15"/>
  <c r="O30" i="15" s="1"/>
  <c r="E29" i="15"/>
  <c r="E26" i="15"/>
  <c r="O26" i="15" s="1"/>
  <c r="E25" i="15"/>
  <c r="O25" i="15" s="1"/>
  <c r="E24" i="15"/>
  <c r="O24" i="15" s="1"/>
  <c r="E23" i="15"/>
  <c r="O23" i="15" s="1"/>
  <c r="E22" i="15"/>
  <c r="F21" i="15"/>
  <c r="P21" i="15" s="1"/>
  <c r="E21" i="15"/>
  <c r="O21" i="15" s="1"/>
  <c r="F19" i="15"/>
  <c r="P19" i="15" s="1"/>
  <c r="E19" i="15"/>
  <c r="O19" i="15" s="1"/>
  <c r="F18" i="15"/>
  <c r="P18" i="15" s="1"/>
  <c r="E18" i="15"/>
  <c r="O18" i="15" s="1"/>
  <c r="F17" i="15"/>
  <c r="E17" i="15"/>
  <c r="F16" i="15"/>
  <c r="P16" i="15" s="1"/>
  <c r="E16" i="15"/>
  <c r="O16" i="15" s="1"/>
  <c r="F13" i="15"/>
  <c r="P13" i="15" s="1"/>
  <c r="E13" i="15"/>
  <c r="E12" i="15"/>
  <c r="O12" i="15" s="1"/>
  <c r="P9" i="15"/>
  <c r="P11" i="15"/>
  <c r="P14" i="15"/>
  <c r="P15" i="15"/>
  <c r="P17" i="15"/>
  <c r="P20" i="15"/>
  <c r="P26" i="15"/>
  <c r="P27" i="15"/>
  <c r="P28" i="15"/>
  <c r="P33" i="15"/>
  <c r="P37" i="15"/>
  <c r="O9" i="15"/>
  <c r="O11" i="15"/>
  <c r="Q11" i="15" s="1"/>
  <c r="O13" i="15"/>
  <c r="O14" i="15"/>
  <c r="Q14" i="15" s="1"/>
  <c r="O15" i="15"/>
  <c r="Q15" i="15" s="1"/>
  <c r="O17" i="15"/>
  <c r="O20" i="15"/>
  <c r="O22" i="15"/>
  <c r="O27" i="15"/>
  <c r="O28" i="15"/>
  <c r="O29" i="15"/>
  <c r="O33" i="15"/>
  <c r="O36" i="15"/>
  <c r="F12" i="15"/>
  <c r="P12" i="15" s="1"/>
  <c r="F10" i="15"/>
  <c r="P10" i="15" s="1"/>
  <c r="E10" i="15"/>
  <c r="O10" i="15" s="1"/>
  <c r="F8" i="15"/>
  <c r="P8" i="15" s="1"/>
  <c r="E8" i="15"/>
  <c r="O8" i="15" s="1"/>
  <c r="O102" i="5"/>
  <c r="Q33" i="15" l="1"/>
  <c r="Q9" i="15"/>
  <c r="Q27" i="15"/>
  <c r="W10" i="6"/>
  <c r="W44" i="6"/>
  <c r="W23" i="6"/>
  <c r="W45" i="6"/>
  <c r="W60" i="6"/>
  <c r="Q20" i="15"/>
  <c r="Q10" i="15"/>
  <c r="Q28" i="15"/>
  <c r="Q12" i="15"/>
  <c r="Q17" i="15"/>
  <c r="Q32" i="15"/>
  <c r="Q38" i="15"/>
  <c r="Q37" i="15"/>
  <c r="Q35" i="15"/>
  <c r="Q34" i="15"/>
  <c r="Q31" i="15"/>
  <c r="Q30" i="15"/>
  <c r="Q29" i="15"/>
  <c r="Q26" i="15"/>
  <c r="Q25" i="15"/>
  <c r="Q24" i="15"/>
  <c r="Q23" i="15"/>
  <c r="Q22" i="15"/>
  <c r="Q21" i="15"/>
  <c r="Q19" i="15"/>
  <c r="Q18" i="15"/>
  <c r="Q16" i="15"/>
  <c r="Q13" i="15"/>
  <c r="Q8" i="15"/>
  <c r="AB15" i="11"/>
  <c r="AA15" i="11"/>
  <c r="AB14" i="11"/>
  <c r="AA14" i="11"/>
  <c r="AB8" i="11"/>
  <c r="AA8" i="11"/>
  <c r="I25" i="7" l="1"/>
  <c r="M25" i="7" s="1"/>
  <c r="N25" i="7" l="1"/>
  <c r="O25" i="7" s="1"/>
  <c r="S25" i="7" s="1"/>
  <c r="F6" i="59"/>
  <c r="G6" i="59" s="1"/>
  <c r="N30" i="19" l="1"/>
  <c r="W24" i="6"/>
  <c r="W20" i="6"/>
  <c r="F121" i="6" l="1"/>
  <c r="F122" i="6" s="1"/>
  <c r="B115" i="6"/>
  <c r="V28" i="11" l="1"/>
  <c r="X27" i="11"/>
  <c r="D21" i="11" l="1"/>
  <c r="D27" i="11" s="1"/>
  <c r="B131" i="5" l="1"/>
  <c r="B132" i="5" s="1"/>
  <c r="D115" i="6"/>
  <c r="D123" i="6"/>
  <c r="K13" i="57" l="1"/>
  <c r="Z16" i="11" l="1"/>
  <c r="Y16" i="11"/>
  <c r="B27" i="11"/>
  <c r="V19" i="7" l="1"/>
  <c r="V20" i="7" s="1"/>
  <c r="V21" i="7" s="1"/>
  <c r="AA43" i="7"/>
  <c r="Z42" i="7"/>
  <c r="AA42" i="7" s="1"/>
  <c r="AA44" i="7" s="1"/>
  <c r="V22" i="7" l="1"/>
  <c r="V23" i="7" s="1"/>
  <c r="V24" i="7" s="1"/>
  <c r="L10" i="2" l="1"/>
  <c r="N12" i="2" l="1"/>
  <c r="AB13" i="11"/>
  <c r="J21" i="17"/>
  <c r="V21" i="17" s="1"/>
  <c r="J19" i="17"/>
  <c r="Z23" i="17"/>
  <c r="W28" i="17"/>
  <c r="V19" i="17" l="1"/>
  <c r="Z25" i="17"/>
  <c r="V25" i="11"/>
  <c r="AA13" i="11"/>
  <c r="V26" i="11"/>
  <c r="AB16" i="11"/>
  <c r="AA16" i="11"/>
  <c r="J11" i="57" l="1"/>
  <c r="I94" i="6" l="1"/>
  <c r="H94" i="6"/>
  <c r="I24" i="7" l="1"/>
  <c r="M24" i="7" l="1"/>
  <c r="M29" i="7" s="1"/>
  <c r="R82" i="5"/>
  <c r="R84" i="5" s="1"/>
  <c r="R83" i="5"/>
  <c r="S83" i="5" s="1"/>
  <c r="R81" i="5"/>
  <c r="N24" i="7" l="1"/>
  <c r="O24" i="7" s="1"/>
  <c r="S84" i="5"/>
  <c r="R85" i="5"/>
  <c r="X7" i="11" l="1"/>
  <c r="S38" i="6"/>
  <c r="W38" i="6" s="1"/>
  <c r="D117" i="6" l="1"/>
  <c r="P26" i="5" l="1"/>
  <c r="W56" i="6" l="1"/>
  <c r="W55" i="6"/>
  <c r="W22" i="6"/>
  <c r="P64" i="5" l="1"/>
  <c r="O26" i="5" l="1"/>
  <c r="L26" i="5"/>
  <c r="O64" i="5"/>
  <c r="L64" i="5"/>
  <c r="W36" i="6" l="1"/>
  <c r="W40" i="6"/>
  <c r="K12" i="6"/>
  <c r="W12" i="6" s="1"/>
  <c r="P67" i="5" l="1"/>
  <c r="O67" i="5" l="1"/>
  <c r="L67" i="5"/>
  <c r="W64" i="6" l="1"/>
  <c r="W62" i="6"/>
  <c r="W61" i="6"/>
  <c r="Q94" i="6" l="1"/>
  <c r="W13" i="6"/>
  <c r="W32" i="6" l="1"/>
  <c r="W28" i="6"/>
  <c r="U32" i="19"/>
  <c r="N32" i="19"/>
  <c r="I32" i="19"/>
  <c r="U31" i="19"/>
  <c r="N31" i="19"/>
  <c r="P29" i="19"/>
  <c r="U30" i="19"/>
  <c r="O30" i="19"/>
  <c r="I30" i="19"/>
  <c r="F30" i="19"/>
  <c r="F31" i="19"/>
  <c r="F32" i="19"/>
  <c r="E30" i="19"/>
  <c r="E31" i="19"/>
  <c r="E32" i="19"/>
  <c r="D30" i="19"/>
  <c r="D31" i="19"/>
  <c r="D32" i="19"/>
  <c r="C30" i="19"/>
  <c r="C31" i="19"/>
  <c r="C32" i="19"/>
  <c r="B30" i="19"/>
  <c r="B31" i="19"/>
  <c r="B32" i="19"/>
  <c r="R30" i="17"/>
  <c r="S30" i="17" s="1"/>
  <c r="R29" i="17"/>
  <c r="S29" i="17" s="1"/>
  <c r="R28" i="17"/>
  <c r="Q30" i="19" l="1"/>
  <c r="S30" i="19" s="1"/>
  <c r="O32" i="19"/>
  <c r="V31" i="19"/>
  <c r="X31" i="19" s="1"/>
  <c r="O31" i="19"/>
  <c r="V32" i="19"/>
  <c r="X32" i="19" s="1"/>
  <c r="V30" i="19"/>
  <c r="X30" i="19" s="1"/>
  <c r="J32" i="19"/>
  <c r="M32" i="19" s="1"/>
  <c r="I31" i="19"/>
  <c r="J30" i="19"/>
  <c r="T30" i="17"/>
  <c r="T29" i="17"/>
  <c r="S28" i="17"/>
  <c r="Q32" i="19" l="1"/>
  <c r="Q31" i="19"/>
  <c r="Z31" i="19"/>
  <c r="Z32" i="19"/>
  <c r="M30" i="19"/>
  <c r="Z30" i="19"/>
  <c r="J31" i="19"/>
  <c r="M31" i="19" s="1"/>
  <c r="U30" i="17"/>
  <c r="U29" i="17"/>
  <c r="T28" i="17"/>
  <c r="U28" i="17" s="1"/>
  <c r="S31" i="19" l="1"/>
  <c r="S32" i="19"/>
  <c r="H29" i="19"/>
  <c r="U29" i="19" l="1"/>
  <c r="H27" i="19"/>
  <c r="H28" i="19"/>
  <c r="D40" i="15" l="1"/>
  <c r="F83" i="25" l="1"/>
  <c r="H86" i="25"/>
  <c r="I86" i="25"/>
  <c r="K86" i="25"/>
  <c r="L83" i="25" l="1"/>
  <c r="N83" i="25" s="1"/>
  <c r="Q83" i="25"/>
  <c r="W51" i="6" l="1"/>
  <c r="W50" i="6"/>
  <c r="R83" i="25"/>
  <c r="F94" i="6"/>
  <c r="G94" i="6" l="1"/>
  <c r="W58" i="6"/>
  <c r="N29" i="19"/>
  <c r="F74" i="17"/>
  <c r="F75" i="17" s="1"/>
  <c r="G72" i="17"/>
  <c r="O29" i="19" l="1"/>
  <c r="G73" i="17"/>
  <c r="Q29" i="19" l="1"/>
  <c r="S29" i="19" l="1"/>
  <c r="W65" i="6"/>
  <c r="W16" i="6"/>
  <c r="O94" i="6" l="1"/>
  <c r="S105" i="6" s="1"/>
  <c r="W63" i="6"/>
  <c r="N94" i="6"/>
  <c r="J16" i="17" l="1"/>
  <c r="V16" i="17" l="1"/>
  <c r="C18" i="10"/>
  <c r="G27" i="10"/>
  <c r="H23" i="10"/>
  <c r="U15" i="19"/>
  <c r="U20" i="19"/>
  <c r="U18" i="19"/>
  <c r="U17" i="19"/>
  <c r="AA17" i="11"/>
  <c r="J11" i="17"/>
  <c r="O35" i="7"/>
  <c r="S35" i="7" s="1"/>
  <c r="I23" i="7"/>
  <c r="V11" i="17" l="1"/>
  <c r="N23" i="7"/>
  <c r="O23" i="7" s="1"/>
  <c r="S23" i="7" s="1"/>
  <c r="J20" i="17" l="1"/>
  <c r="J23" i="17"/>
  <c r="V23" i="17" l="1"/>
  <c r="P13" i="11"/>
  <c r="Q13" i="11" s="1"/>
  <c r="V20" i="17"/>
  <c r="N21" i="19"/>
  <c r="I22" i="7" l="1"/>
  <c r="J17" i="17"/>
  <c r="V17" i="17" l="1"/>
  <c r="N22" i="7"/>
  <c r="V29" i="7"/>
  <c r="V30" i="7" s="1"/>
  <c r="V31" i="7" s="1"/>
  <c r="O22" i="7"/>
  <c r="S22" i="7" s="1"/>
  <c r="J8" i="17" l="1"/>
  <c r="V8" i="17" l="1"/>
  <c r="F82" i="25"/>
  <c r="F81" i="25"/>
  <c r="F107" i="25"/>
  <c r="F113" i="25"/>
  <c r="F118" i="25"/>
  <c r="M126" i="25"/>
  <c r="F123" i="25"/>
  <c r="L113" i="25" l="1"/>
  <c r="Q113" i="25"/>
  <c r="L123" i="25"/>
  <c r="Q123" i="25"/>
  <c r="L107" i="25"/>
  <c r="Q107" i="25"/>
  <c r="L81" i="25"/>
  <c r="N81" i="25" s="1"/>
  <c r="Q81" i="25"/>
  <c r="L118" i="25"/>
  <c r="Q118" i="25"/>
  <c r="L82" i="25"/>
  <c r="N82" i="25" s="1"/>
  <c r="Q82" i="25"/>
  <c r="R81" i="25" l="1"/>
  <c r="R123" i="25"/>
  <c r="R82" i="25"/>
  <c r="R118" i="25"/>
  <c r="R107" i="25"/>
  <c r="R113" i="25"/>
  <c r="P27" i="19" l="1"/>
  <c r="P28" i="19"/>
  <c r="V26" i="19" l="1"/>
  <c r="X26" i="19" s="1"/>
  <c r="V27" i="19"/>
  <c r="X27" i="19" s="1"/>
  <c r="V28" i="19"/>
  <c r="X28" i="19" s="1"/>
  <c r="O26" i="19"/>
  <c r="O27" i="19"/>
  <c r="O28" i="19"/>
  <c r="H26" i="19"/>
  <c r="I27" i="19"/>
  <c r="I28" i="19"/>
  <c r="F29" i="19"/>
  <c r="E29" i="19"/>
  <c r="D26" i="19"/>
  <c r="D27" i="19"/>
  <c r="D28" i="19"/>
  <c r="D29" i="19"/>
  <c r="C26" i="19"/>
  <c r="C27" i="19"/>
  <c r="C28" i="19"/>
  <c r="C29" i="19"/>
  <c r="B27" i="19"/>
  <c r="B26" i="19"/>
  <c r="B28" i="19"/>
  <c r="B29" i="19"/>
  <c r="Q26" i="19" l="1"/>
  <c r="Q28" i="19"/>
  <c r="J27" i="19"/>
  <c r="M27" i="19" s="1"/>
  <c r="J28" i="19"/>
  <c r="M28" i="19" s="1"/>
  <c r="I26" i="19"/>
  <c r="J26" i="19" s="1"/>
  <c r="M26" i="19" s="1"/>
  <c r="Z28" i="19"/>
  <c r="Z27" i="19"/>
  <c r="Q27" i="19"/>
  <c r="Z26" i="19"/>
  <c r="S26" i="19"/>
  <c r="I29" i="19"/>
  <c r="S28" i="19" l="1"/>
  <c r="S27" i="19"/>
  <c r="J29" i="19"/>
  <c r="M29" i="19" s="1"/>
  <c r="V29" i="19"/>
  <c r="X29" i="19" l="1"/>
  <c r="Z29" i="19" s="1"/>
  <c r="D14" i="57" l="1"/>
  <c r="C9" i="56" l="1"/>
  <c r="C13" i="56" l="1"/>
  <c r="O61" i="5" l="1"/>
  <c r="L61" i="5"/>
  <c r="C12" i="56"/>
  <c r="G67" i="17"/>
  <c r="D17" i="10" l="1"/>
  <c r="O65" i="5" l="1"/>
  <c r="L65" i="5"/>
  <c r="F36" i="15"/>
  <c r="P36" i="15" s="1"/>
  <c r="Q36" i="15" s="1"/>
  <c r="J26" i="17" l="1"/>
  <c r="J25" i="17"/>
  <c r="J24" i="17"/>
  <c r="O34" i="7"/>
  <c r="S34" i="7" s="1"/>
  <c r="A32" i="7"/>
  <c r="A33" i="7" s="1"/>
  <c r="A34" i="7" s="1"/>
  <c r="I21" i="7"/>
  <c r="J21" i="7"/>
  <c r="V25" i="17" l="1"/>
  <c r="P14" i="11"/>
  <c r="Q14" i="11" s="1"/>
  <c r="V24" i="17"/>
  <c r="V26" i="17"/>
  <c r="N21" i="7"/>
  <c r="O21" i="7" s="1"/>
  <c r="S21" i="7" s="1"/>
  <c r="N25" i="19"/>
  <c r="R26" i="17"/>
  <c r="S26" i="17" s="1"/>
  <c r="T26" i="17" s="1"/>
  <c r="D28" i="22" l="1"/>
  <c r="O66" i="5" l="1"/>
  <c r="L66" i="5"/>
  <c r="F122" i="25" l="1"/>
  <c r="F112" i="25"/>
  <c r="F117" i="25"/>
  <c r="E126" i="25"/>
  <c r="E121" i="25"/>
  <c r="E116" i="25"/>
  <c r="K126" i="25"/>
  <c r="J126" i="25"/>
  <c r="I126" i="25"/>
  <c r="H126" i="25"/>
  <c r="G126" i="25"/>
  <c r="M121" i="25"/>
  <c r="K121" i="25"/>
  <c r="J121" i="25"/>
  <c r="I121" i="25"/>
  <c r="H121" i="25"/>
  <c r="G121" i="25"/>
  <c r="P24" i="19" s="1"/>
  <c r="M116" i="25"/>
  <c r="K116" i="25"/>
  <c r="J116" i="25"/>
  <c r="I116" i="25"/>
  <c r="H116" i="25"/>
  <c r="G116" i="25"/>
  <c r="P23" i="19" s="1"/>
  <c r="N124" i="25"/>
  <c r="N123" i="25"/>
  <c r="N119" i="25"/>
  <c r="N118" i="25"/>
  <c r="N114" i="25"/>
  <c r="N113" i="25"/>
  <c r="F80" i="25"/>
  <c r="Q80" i="25" s="1"/>
  <c r="F79" i="25"/>
  <c r="F86" i="25" s="1"/>
  <c r="F106" i="25"/>
  <c r="L56" i="25"/>
  <c r="F55" i="25"/>
  <c r="Q55" i="25" s="1"/>
  <c r="L50" i="25"/>
  <c r="F49" i="25"/>
  <c r="Q49" i="25" s="1"/>
  <c r="F103" i="25"/>
  <c r="N50" i="25" l="1"/>
  <c r="R50" i="25"/>
  <c r="Q79" i="25"/>
  <c r="Q86" i="25"/>
  <c r="F116" i="25"/>
  <c r="Q116" i="25" s="1"/>
  <c r="Q112" i="25"/>
  <c r="L103" i="25"/>
  <c r="N103" i="25" s="1"/>
  <c r="Q103" i="25"/>
  <c r="N56" i="25"/>
  <c r="R56" i="25"/>
  <c r="F126" i="25"/>
  <c r="Q126" i="25" s="1"/>
  <c r="Q122" i="25"/>
  <c r="F121" i="25"/>
  <c r="Q121" i="25" s="1"/>
  <c r="Q117" i="25"/>
  <c r="F111" i="25"/>
  <c r="Q106" i="25"/>
  <c r="L122" i="25"/>
  <c r="L112" i="25"/>
  <c r="P25" i="19"/>
  <c r="L117" i="25"/>
  <c r="R122" i="25" l="1"/>
  <c r="R103" i="25"/>
  <c r="R112" i="25"/>
  <c r="R117" i="25"/>
  <c r="L121" i="25"/>
  <c r="R121" i="25" s="1"/>
  <c r="N117" i="25"/>
  <c r="N121" i="25" s="1"/>
  <c r="N122" i="25"/>
  <c r="N126" i="25" s="1"/>
  <c r="L126" i="25"/>
  <c r="R126" i="25" s="1"/>
  <c r="L116" i="25"/>
  <c r="R116" i="25" s="1"/>
  <c r="N112" i="25"/>
  <c r="N116" i="25" s="1"/>
  <c r="H99" i="25"/>
  <c r="R18" i="19" s="1"/>
  <c r="G99" i="25"/>
  <c r="F96" i="25"/>
  <c r="Q96" i="25" s="1"/>
  <c r="F97" i="25"/>
  <c r="F102" i="25"/>
  <c r="Q102" i="25" s="1"/>
  <c r="F101" i="25"/>
  <c r="Q101" i="25" s="1"/>
  <c r="F100" i="25"/>
  <c r="Q100" i="25" s="1"/>
  <c r="L61" i="25"/>
  <c r="F60" i="25"/>
  <c r="Q60" i="25" s="1"/>
  <c r="F59" i="25"/>
  <c r="Q59" i="25" s="1"/>
  <c r="F91" i="25"/>
  <c r="Q91" i="25" s="1"/>
  <c r="G90" i="25"/>
  <c r="F90" i="25"/>
  <c r="Q90" i="25" l="1"/>
  <c r="N61" i="25"/>
  <c r="R61" i="25"/>
  <c r="L97" i="25"/>
  <c r="N97" i="25" s="1"/>
  <c r="Q97" i="25"/>
  <c r="P21" i="5"/>
  <c r="L90" i="25"/>
  <c r="N90" i="25" s="1"/>
  <c r="F87" i="25"/>
  <c r="Q87" i="25" s="1"/>
  <c r="U25" i="19"/>
  <c r="V25" i="19" s="1"/>
  <c r="U24" i="19"/>
  <c r="V24" i="19" s="1"/>
  <c r="O25" i="19"/>
  <c r="N24" i="19"/>
  <c r="U23" i="19"/>
  <c r="N23" i="19"/>
  <c r="H25" i="19"/>
  <c r="H24" i="19"/>
  <c r="I24" i="19" s="1"/>
  <c r="H23" i="19"/>
  <c r="I23" i="19" s="1"/>
  <c r="R25" i="17"/>
  <c r="S25" i="17" s="1"/>
  <c r="T25" i="17" s="1"/>
  <c r="R24" i="17"/>
  <c r="S24" i="17" s="1"/>
  <c r="T24" i="17" s="1"/>
  <c r="F25" i="19"/>
  <c r="E25" i="19"/>
  <c r="F24" i="19"/>
  <c r="E24" i="19"/>
  <c r="F23" i="19"/>
  <c r="E23" i="19"/>
  <c r="D25" i="19"/>
  <c r="C25" i="19"/>
  <c r="B122" i="25" s="1"/>
  <c r="B25" i="19"/>
  <c r="C122" i="25" s="1"/>
  <c r="D24" i="19"/>
  <c r="C24" i="19"/>
  <c r="B117" i="25" s="1"/>
  <c r="B24" i="19"/>
  <c r="C117" i="25" s="1"/>
  <c r="D23" i="19"/>
  <c r="C23" i="19"/>
  <c r="B112" i="25" s="1"/>
  <c r="B23" i="19"/>
  <c r="C112" i="25" s="1"/>
  <c r="R22" i="17"/>
  <c r="S22" i="17" s="1"/>
  <c r="T22" i="17" s="1"/>
  <c r="U22" i="17" s="1"/>
  <c r="R23" i="17"/>
  <c r="S23" i="17" s="1"/>
  <c r="T23" i="17" s="1"/>
  <c r="U23" i="17" s="1"/>
  <c r="R21" i="17"/>
  <c r="S21" i="17" s="1"/>
  <c r="T21" i="17" s="1"/>
  <c r="U21" i="17" s="1"/>
  <c r="O24" i="19" l="1"/>
  <c r="R97" i="25"/>
  <c r="R90" i="25"/>
  <c r="I25" i="19"/>
  <c r="J25" i="19" s="1"/>
  <c r="M25" i="19" s="1"/>
  <c r="O23" i="19"/>
  <c r="V23" i="19"/>
  <c r="J23" i="19"/>
  <c r="M23" i="19" s="1"/>
  <c r="J24" i="19"/>
  <c r="M24" i="19" s="1"/>
  <c r="Q25" i="19"/>
  <c r="X24" i="19"/>
  <c r="Z24" i="19" s="1"/>
  <c r="X25" i="19"/>
  <c r="Z25" i="19" s="1"/>
  <c r="Q24" i="19" l="1"/>
  <c r="Q23" i="19"/>
  <c r="S23" i="19" s="1"/>
  <c r="S24" i="19"/>
  <c r="S25" i="19"/>
  <c r="X23" i="19"/>
  <c r="Z23" i="19" s="1"/>
  <c r="J39" i="6" l="1"/>
  <c r="K39" i="6" s="1"/>
  <c r="J94" i="6" l="1"/>
  <c r="V39" i="6"/>
  <c r="K94" i="6"/>
  <c r="W39" i="6"/>
  <c r="R37" i="6"/>
  <c r="S37" i="6" s="1"/>
  <c r="S94" i="6" l="1"/>
  <c r="W37" i="6"/>
  <c r="R94" i="6"/>
  <c r="V37" i="6"/>
  <c r="H13" i="60" s="1"/>
  <c r="K111" i="25"/>
  <c r="I111" i="25"/>
  <c r="H111" i="25"/>
  <c r="G111" i="25"/>
  <c r="P21" i="19" s="1"/>
  <c r="E111" i="25"/>
  <c r="N108" i="25"/>
  <c r="N107" i="25"/>
  <c r="L106" i="25"/>
  <c r="L101" i="25"/>
  <c r="L100" i="25"/>
  <c r="L102" i="25"/>
  <c r="M105" i="25"/>
  <c r="K105" i="25"/>
  <c r="J105" i="25"/>
  <c r="I105" i="25"/>
  <c r="H105" i="25"/>
  <c r="G105" i="25"/>
  <c r="P19" i="19" s="1"/>
  <c r="F105" i="25"/>
  <c r="E105" i="25"/>
  <c r="L91" i="25"/>
  <c r="L80" i="25"/>
  <c r="Q111" i="25" l="1"/>
  <c r="N80" i="25"/>
  <c r="R80" i="25"/>
  <c r="N101" i="25"/>
  <c r="R101" i="25"/>
  <c r="N91" i="25"/>
  <c r="R91" i="25"/>
  <c r="L111" i="25"/>
  <c r="R106" i="25"/>
  <c r="Q105" i="25"/>
  <c r="N102" i="25"/>
  <c r="R102" i="25"/>
  <c r="N100" i="25"/>
  <c r="R100" i="25"/>
  <c r="L105" i="25"/>
  <c r="N106" i="25"/>
  <c r="N111" i="25" s="1"/>
  <c r="R111" i="25" l="1"/>
  <c r="N105" i="25"/>
  <c r="R105" i="25"/>
  <c r="C10" i="56" l="1"/>
  <c r="U21" i="19" l="1"/>
  <c r="H21" i="19"/>
  <c r="I21" i="19" s="1"/>
  <c r="F21" i="19"/>
  <c r="E21" i="19"/>
  <c r="D21" i="19"/>
  <c r="C21" i="19"/>
  <c r="B106" i="25" s="1"/>
  <c r="B21" i="19"/>
  <c r="C106" i="25" s="1"/>
  <c r="R19" i="17"/>
  <c r="S19" i="17" s="1"/>
  <c r="T19" i="17" s="1"/>
  <c r="U19" i="17" s="1"/>
  <c r="O21" i="19" l="1"/>
  <c r="J21" i="19"/>
  <c r="M21" i="19" s="1"/>
  <c r="V21" i="19"/>
  <c r="X21" i="19" s="1"/>
  <c r="U26" i="17"/>
  <c r="U25" i="17"/>
  <c r="R12" i="17"/>
  <c r="S12" i="17" s="1"/>
  <c r="T12" i="17" s="1"/>
  <c r="Q21" i="19" l="1"/>
  <c r="U24" i="17"/>
  <c r="Z21" i="19"/>
  <c r="S21" i="19" l="1"/>
  <c r="U22" i="19"/>
  <c r="N22" i="19"/>
  <c r="H22" i="19"/>
  <c r="F22" i="19"/>
  <c r="E22" i="19"/>
  <c r="D22" i="19"/>
  <c r="C22" i="19"/>
  <c r="B22" i="19"/>
  <c r="R20" i="17"/>
  <c r="S20" i="17" s="1"/>
  <c r="T20" i="17" s="1"/>
  <c r="U20" i="17" s="1"/>
  <c r="I22" i="19" l="1"/>
  <c r="J22" i="19" s="1"/>
  <c r="O22" i="19"/>
  <c r="V22" i="19"/>
  <c r="M22" i="19" l="1"/>
  <c r="X22" i="19"/>
  <c r="Q22" i="19"/>
  <c r="L43" i="25" l="1"/>
  <c r="L36" i="25"/>
  <c r="L11" i="25"/>
  <c r="N11" i="25" s="1"/>
  <c r="L60" i="25"/>
  <c r="L96" i="25"/>
  <c r="L55" i="25"/>
  <c r="M79" i="25"/>
  <c r="M86" i="25" s="1"/>
  <c r="L79" i="25"/>
  <c r="L86" i="25" s="1"/>
  <c r="P22" i="19"/>
  <c r="M59" i="25"/>
  <c r="M64" i="25" s="1"/>
  <c r="L59" i="25"/>
  <c r="R59" i="25" s="1"/>
  <c r="K64" i="25"/>
  <c r="J64" i="25"/>
  <c r="I64" i="25"/>
  <c r="H64" i="25"/>
  <c r="G64" i="25"/>
  <c r="F64" i="25"/>
  <c r="E64" i="25"/>
  <c r="L49" i="25"/>
  <c r="E24" i="25"/>
  <c r="L22" i="25"/>
  <c r="J18" i="17"/>
  <c r="J17" i="7"/>
  <c r="J20" i="7"/>
  <c r="I20" i="7"/>
  <c r="E99" i="25"/>
  <c r="V18" i="17" l="1"/>
  <c r="P17" i="11"/>
  <c r="Q17" i="11" s="1"/>
  <c r="Q64" i="25"/>
  <c r="N36" i="25"/>
  <c r="R36" i="25"/>
  <c r="N22" i="25"/>
  <c r="R22" i="25"/>
  <c r="N96" i="25"/>
  <c r="R96" i="25"/>
  <c r="N43" i="25"/>
  <c r="R43" i="25"/>
  <c r="R86" i="25"/>
  <c r="R79" i="25"/>
  <c r="N60" i="25"/>
  <c r="R60" i="25"/>
  <c r="N49" i="25"/>
  <c r="R49" i="25"/>
  <c r="N55" i="25"/>
  <c r="R55" i="25"/>
  <c r="N20" i="7"/>
  <c r="O20" i="7" s="1"/>
  <c r="S20" i="7" s="1"/>
  <c r="L64" i="25"/>
  <c r="Z22" i="19"/>
  <c r="S22" i="19"/>
  <c r="N59" i="25"/>
  <c r="N79" i="25"/>
  <c r="N86" i="25" s="1"/>
  <c r="N64" i="25" l="1"/>
  <c r="R64" i="25"/>
  <c r="H20" i="19" l="1"/>
  <c r="H18" i="19"/>
  <c r="H17" i="19"/>
  <c r="H13" i="10"/>
  <c r="J14" i="17" l="1"/>
  <c r="J13" i="17"/>
  <c r="J10" i="17"/>
  <c r="V10" i="17" l="1"/>
  <c r="V13" i="17"/>
  <c r="V14" i="17"/>
  <c r="R15" i="17"/>
  <c r="S15" i="17" s="1"/>
  <c r="T15" i="17" s="1"/>
  <c r="U15" i="17" s="1"/>
  <c r="R38" i="7" l="1"/>
  <c r="Q38" i="7"/>
  <c r="P38" i="7"/>
  <c r="N38" i="7"/>
  <c r="L38" i="7"/>
  <c r="K38" i="7"/>
  <c r="J38" i="7"/>
  <c r="I38" i="7"/>
  <c r="H38" i="7"/>
  <c r="E38" i="7"/>
  <c r="F10" i="10" s="1"/>
  <c r="F12" i="10" s="1"/>
  <c r="O33" i="7"/>
  <c r="S33" i="7" s="1"/>
  <c r="J19" i="7"/>
  <c r="I19" i="7"/>
  <c r="R8" i="17"/>
  <c r="R14" i="17"/>
  <c r="S14" i="17" s="1"/>
  <c r="T14" i="17" s="1"/>
  <c r="G12" i="10"/>
  <c r="N20" i="19"/>
  <c r="N18" i="19"/>
  <c r="S8" i="17" l="1"/>
  <c r="D13" i="10"/>
  <c r="N17" i="19"/>
  <c r="F13" i="10"/>
  <c r="G13" i="10"/>
  <c r="N19" i="7"/>
  <c r="O19" i="7" s="1"/>
  <c r="S19" i="7" s="1"/>
  <c r="C13" i="10"/>
  <c r="D27" i="2" s="1"/>
  <c r="U14" i="17"/>
  <c r="U14" i="19"/>
  <c r="V14" i="19" s="1"/>
  <c r="R14" i="19"/>
  <c r="N14" i="19"/>
  <c r="H14" i="19"/>
  <c r="F14" i="19"/>
  <c r="E14" i="19"/>
  <c r="D14" i="19"/>
  <c r="C14" i="19"/>
  <c r="B14" i="19"/>
  <c r="A9" i="17"/>
  <c r="A10" i="17" s="1"/>
  <c r="A11" i="17" s="1"/>
  <c r="A12" i="17" s="1"/>
  <c r="A13" i="17" s="1"/>
  <c r="A14" i="17" s="1"/>
  <c r="A15" i="17" s="1"/>
  <c r="A16" i="17" s="1"/>
  <c r="A17" i="17" s="1"/>
  <c r="A18" i="17" s="1"/>
  <c r="A19" i="17" s="1"/>
  <c r="A20" i="17" s="1"/>
  <c r="A21" i="17" s="1"/>
  <c r="A22" i="17" s="1"/>
  <c r="A23" i="17" s="1"/>
  <c r="A24" i="17" s="1"/>
  <c r="T8" i="17" l="1"/>
  <c r="G27" i="2"/>
  <c r="F20" i="10"/>
  <c r="G28" i="10" s="1"/>
  <c r="E27" i="2"/>
  <c r="J27" i="2" s="1"/>
  <c r="A25" i="17"/>
  <c r="A26" i="17" s="1"/>
  <c r="A27" i="17" s="1"/>
  <c r="A28" i="17" s="1"/>
  <c r="A29" i="17" s="1"/>
  <c r="A30" i="17" s="1"/>
  <c r="X14" i="19"/>
  <c r="Z14" i="19" s="1"/>
  <c r="O14" i="19"/>
  <c r="I14" i="19"/>
  <c r="Q14" i="19" l="1"/>
  <c r="C4" i="56"/>
  <c r="J14" i="19"/>
  <c r="M14" i="19" s="1"/>
  <c r="S14" i="19" l="1"/>
  <c r="C19" i="41"/>
  <c r="H34" i="2" l="1"/>
  <c r="E34" i="2"/>
  <c r="J34" i="2" s="1"/>
  <c r="K34" i="2" l="1"/>
  <c r="M34" i="2"/>
  <c r="M54" i="25"/>
  <c r="F54" i="25"/>
  <c r="L54" i="25" l="1"/>
  <c r="N54" i="25" s="1"/>
  <c r="Q54" i="25"/>
  <c r="R54" i="25" l="1"/>
  <c r="U19" i="19" l="1"/>
  <c r="N19" i="19"/>
  <c r="H19" i="19"/>
  <c r="F19" i="19"/>
  <c r="E19" i="19"/>
  <c r="D19" i="19"/>
  <c r="C19" i="19"/>
  <c r="B100" i="25" s="1"/>
  <c r="B19" i="19"/>
  <c r="C100" i="25" s="1"/>
  <c r="U29" i="7" l="1"/>
  <c r="U30" i="7" s="1"/>
  <c r="U32" i="7" s="1"/>
  <c r="I19" i="19"/>
  <c r="O19" i="19"/>
  <c r="V19" i="19"/>
  <c r="E45" i="25"/>
  <c r="H15" i="19"/>
  <c r="Q19" i="19" l="1"/>
  <c r="X19" i="19"/>
  <c r="Z19" i="19" s="1"/>
  <c r="J19" i="19"/>
  <c r="M19" i="19" s="1"/>
  <c r="K169" i="5"/>
  <c r="S19" i="19" l="1"/>
  <c r="C14" i="11"/>
  <c r="C8" i="11"/>
  <c r="P18" i="19" l="1"/>
  <c r="F95" i="25"/>
  <c r="Q95" i="25" s="1"/>
  <c r="F89" i="25"/>
  <c r="F48" i="25"/>
  <c r="F47" i="25"/>
  <c r="Q47" i="25" s="1"/>
  <c r="F46" i="25"/>
  <c r="Q46" i="25" s="1"/>
  <c r="F28" i="25"/>
  <c r="Q28" i="25" s="1"/>
  <c r="L48" i="25" l="1"/>
  <c r="N48" i="25" s="1"/>
  <c r="Q48" i="25"/>
  <c r="L89" i="25"/>
  <c r="N89" i="25" s="1"/>
  <c r="Q89" i="25"/>
  <c r="L95" i="25"/>
  <c r="N95" i="25" s="1"/>
  <c r="L47" i="25"/>
  <c r="N47" i="25" s="1"/>
  <c r="R89" i="25" l="1"/>
  <c r="R47" i="25"/>
  <c r="R95" i="25"/>
  <c r="R48" i="25"/>
  <c r="G16" i="10"/>
  <c r="J9" i="17"/>
  <c r="U12" i="17"/>
  <c r="V9" i="17" l="1"/>
  <c r="P8" i="11"/>
  <c r="Q8" i="11" s="1"/>
  <c r="Q21" i="11" s="1"/>
  <c r="Q22" i="11" s="1"/>
  <c r="Q23" i="11" s="1"/>
  <c r="K61" i="17"/>
  <c r="J61" i="17"/>
  <c r="N15" i="19"/>
  <c r="R16" i="17"/>
  <c r="S16" i="17" s="1"/>
  <c r="T16" i="17" s="1"/>
  <c r="U16" i="17" s="1"/>
  <c r="E18" i="25" l="1"/>
  <c r="E13" i="25"/>
  <c r="M99" i="25"/>
  <c r="K99" i="25"/>
  <c r="I99" i="25"/>
  <c r="M93" i="25"/>
  <c r="K93" i="25"/>
  <c r="I93" i="25"/>
  <c r="H93" i="25"/>
  <c r="G93" i="25"/>
  <c r="P17" i="19" s="1"/>
  <c r="P79" i="19" s="1"/>
  <c r="D22" i="5" s="1"/>
  <c r="E93" i="25"/>
  <c r="M78" i="25"/>
  <c r="K78" i="25"/>
  <c r="I78" i="25"/>
  <c r="H78" i="25"/>
  <c r="G78" i="25"/>
  <c r="E78" i="25"/>
  <c r="K74" i="25"/>
  <c r="I74" i="25"/>
  <c r="H74" i="25"/>
  <c r="G74" i="25"/>
  <c r="E74" i="25"/>
  <c r="M58" i="25"/>
  <c r="K58" i="25"/>
  <c r="J58" i="25"/>
  <c r="I58" i="25"/>
  <c r="H58" i="25"/>
  <c r="G58" i="25"/>
  <c r="E58" i="25"/>
  <c r="M52" i="25"/>
  <c r="K52" i="25"/>
  <c r="J52" i="25"/>
  <c r="I52" i="25"/>
  <c r="H52" i="25"/>
  <c r="G52" i="25"/>
  <c r="F52" i="25"/>
  <c r="E52" i="25"/>
  <c r="M45" i="25"/>
  <c r="K45" i="25"/>
  <c r="I45" i="25"/>
  <c r="H45" i="25"/>
  <c r="G45" i="25"/>
  <c r="M38" i="25"/>
  <c r="K38" i="25"/>
  <c r="I38" i="25"/>
  <c r="H38" i="25"/>
  <c r="G38" i="25"/>
  <c r="E38" i="25"/>
  <c r="M30" i="25"/>
  <c r="K30" i="25"/>
  <c r="I30" i="25"/>
  <c r="H30" i="25"/>
  <c r="G30" i="25"/>
  <c r="F30" i="25"/>
  <c r="E30" i="25"/>
  <c r="M24" i="25"/>
  <c r="K24" i="25"/>
  <c r="I24" i="25"/>
  <c r="H24" i="25"/>
  <c r="G24" i="25"/>
  <c r="M18" i="25"/>
  <c r="K18" i="25"/>
  <c r="I18" i="25"/>
  <c r="H18" i="25"/>
  <c r="G18" i="25"/>
  <c r="K13" i="25"/>
  <c r="I13" i="25"/>
  <c r="H13" i="25"/>
  <c r="G13" i="25"/>
  <c r="G322" i="25" l="1"/>
  <c r="E322" i="25"/>
  <c r="K322" i="25"/>
  <c r="H322" i="25"/>
  <c r="I322" i="25"/>
  <c r="Q52" i="25"/>
  <c r="O32" i="7"/>
  <c r="J18" i="7"/>
  <c r="I18" i="7"/>
  <c r="E13" i="57"/>
  <c r="D13" i="57"/>
  <c r="N18" i="7" l="1"/>
  <c r="O18" i="7" s="1"/>
  <c r="S18" i="7" s="1"/>
  <c r="S32" i="7"/>
  <c r="E55" i="57"/>
  <c r="D55" i="57"/>
  <c r="E51" i="57"/>
  <c r="D51" i="57"/>
  <c r="E47" i="57"/>
  <c r="D47" i="57"/>
  <c r="C29" i="57"/>
  <c r="C21" i="57"/>
  <c r="D35" i="2" s="1"/>
  <c r="E19" i="57"/>
  <c r="D19" i="57"/>
  <c r="E18" i="57"/>
  <c r="D18" i="57"/>
  <c r="E17" i="57"/>
  <c r="D17" i="57"/>
  <c r="A12" i="57"/>
  <c r="A13" i="57" s="1"/>
  <c r="E21" i="57" l="1"/>
  <c r="H35" i="2" s="1"/>
  <c r="D21" i="57"/>
  <c r="F35" i="2" l="1"/>
  <c r="G35" i="2"/>
  <c r="E35" i="2"/>
  <c r="J35" i="2" s="1"/>
  <c r="K35" i="2" l="1"/>
  <c r="M35" i="2"/>
  <c r="C6" i="56"/>
  <c r="L28" i="25"/>
  <c r="R28" i="25" s="1"/>
  <c r="B18" i="19"/>
  <c r="L87" i="25"/>
  <c r="L25" i="25"/>
  <c r="R25" i="25" s="1"/>
  <c r="F88" i="25"/>
  <c r="F94" i="25"/>
  <c r="C94" i="25"/>
  <c r="B94" i="25"/>
  <c r="C87" i="25"/>
  <c r="F53" i="25"/>
  <c r="Q53" i="25" s="1"/>
  <c r="L46" i="25"/>
  <c r="R46" i="25" s="1"/>
  <c r="F41" i="25"/>
  <c r="F35" i="25"/>
  <c r="F34" i="25"/>
  <c r="F71" i="25"/>
  <c r="F70" i="25"/>
  <c r="F42" i="25"/>
  <c r="M10" i="25"/>
  <c r="M13" i="25" s="1"/>
  <c r="F10" i="25"/>
  <c r="L71" i="25" l="1"/>
  <c r="N71" i="25" s="1"/>
  <c r="Q71" i="25"/>
  <c r="N87" i="25"/>
  <c r="R87" i="25"/>
  <c r="L34" i="25"/>
  <c r="Q34" i="25"/>
  <c r="L94" i="25"/>
  <c r="Q94" i="25"/>
  <c r="L42" i="25"/>
  <c r="N42" i="25" s="1"/>
  <c r="Q42" i="25"/>
  <c r="L35" i="25"/>
  <c r="N35" i="25" s="1"/>
  <c r="Q35" i="25"/>
  <c r="L88" i="25"/>
  <c r="N88" i="25" s="1"/>
  <c r="Q88" i="25"/>
  <c r="L70" i="25"/>
  <c r="Q70" i="25"/>
  <c r="L41" i="25"/>
  <c r="Q41" i="25"/>
  <c r="L53" i="25"/>
  <c r="L58" i="25" s="1"/>
  <c r="F58" i="25"/>
  <c r="Q58" i="25" s="1"/>
  <c r="J99" i="25"/>
  <c r="F99" i="25"/>
  <c r="J93" i="25"/>
  <c r="F93" i="25"/>
  <c r="N46" i="25"/>
  <c r="N52" i="25" s="1"/>
  <c r="L52" i="25"/>
  <c r="R52" i="25" s="1"/>
  <c r="N28" i="25"/>
  <c r="R41" i="25" l="1"/>
  <c r="R88" i="25"/>
  <c r="R42" i="25"/>
  <c r="R53" i="25"/>
  <c r="N93" i="25"/>
  <c r="L93" i="25"/>
  <c r="Q93" i="25"/>
  <c r="R93" i="25" s="1"/>
  <c r="R58" i="25"/>
  <c r="R71" i="25"/>
  <c r="R70" i="25"/>
  <c r="R35" i="25"/>
  <c r="R94" i="25"/>
  <c r="R34" i="25"/>
  <c r="Q99" i="25"/>
  <c r="N53" i="25"/>
  <c r="N58" i="25" s="1"/>
  <c r="N94" i="25"/>
  <c r="N99" i="25" s="1"/>
  <c r="L99" i="25" l="1"/>
  <c r="R99" i="25" s="1"/>
  <c r="V20" i="19" l="1"/>
  <c r="U13" i="19"/>
  <c r="V13" i="19" s="1"/>
  <c r="R13" i="19"/>
  <c r="N13" i="19"/>
  <c r="H13" i="19"/>
  <c r="F13" i="19"/>
  <c r="E13" i="19"/>
  <c r="D13" i="19"/>
  <c r="C13" i="19"/>
  <c r="B13" i="19"/>
  <c r="O13" i="19" l="1"/>
  <c r="I13" i="19"/>
  <c r="J13" i="19" s="1"/>
  <c r="X13" i="19"/>
  <c r="Z13" i="19" s="1"/>
  <c r="Q13" i="19" l="1"/>
  <c r="U8" i="17"/>
  <c r="M13" i="19"/>
  <c r="S13" i="19" l="1"/>
  <c r="H28" i="2"/>
  <c r="G28" i="2"/>
  <c r="J28" i="2" l="1"/>
  <c r="C5" i="56"/>
  <c r="I10" i="10"/>
  <c r="I13" i="10" s="1"/>
  <c r="D45" i="2" l="1"/>
  <c r="K28" i="2"/>
  <c r="E12" i="10" l="1"/>
  <c r="E13" i="10" s="1"/>
  <c r="R9" i="17" l="1"/>
  <c r="R10" i="17"/>
  <c r="S10" i="17" s="1"/>
  <c r="T10" i="17" s="1"/>
  <c r="R11" i="17"/>
  <c r="S11" i="17" s="1"/>
  <c r="T11" i="17" s="1"/>
  <c r="R13" i="17"/>
  <c r="S13" i="17" s="1"/>
  <c r="T13" i="17" s="1"/>
  <c r="U13" i="17" s="1"/>
  <c r="R17" i="17"/>
  <c r="S17" i="17" s="1"/>
  <c r="T17" i="17" s="1"/>
  <c r="R18" i="17"/>
  <c r="S18" i="17" s="1"/>
  <c r="T18" i="17" s="1"/>
  <c r="U18" i="17" s="1"/>
  <c r="S9" i="17" l="1"/>
  <c r="F27" i="2"/>
  <c r="K27" i="2" s="1"/>
  <c r="E17" i="10"/>
  <c r="T9" i="17" l="1"/>
  <c r="N41" i="25" l="1"/>
  <c r="O31" i="7" l="1"/>
  <c r="O38" i="7" s="1"/>
  <c r="I17" i="7"/>
  <c r="S31" i="7" l="1"/>
  <c r="S38" i="7" s="1"/>
  <c r="N17" i="7"/>
  <c r="U17" i="17"/>
  <c r="U9" i="17"/>
  <c r="U10" i="19"/>
  <c r="U11" i="17"/>
  <c r="U9" i="19"/>
  <c r="U7" i="19"/>
  <c r="U10" i="17"/>
  <c r="V7" i="19" l="1"/>
  <c r="O17" i="7"/>
  <c r="S17" i="7" s="1"/>
  <c r="V18" i="19"/>
  <c r="U12" i="19"/>
  <c r="R12" i="19"/>
  <c r="N12" i="19"/>
  <c r="H12" i="19"/>
  <c r="F12" i="19"/>
  <c r="E12" i="19"/>
  <c r="D12" i="19"/>
  <c r="C12" i="19"/>
  <c r="B12" i="19"/>
  <c r="I12" i="19" l="1"/>
  <c r="J12" i="19" s="1"/>
  <c r="M12" i="19" s="1"/>
  <c r="O12" i="19"/>
  <c r="V12" i="19"/>
  <c r="X12" i="19" s="1"/>
  <c r="Q12" i="19" l="1"/>
  <c r="Z12" i="19"/>
  <c r="S12" i="19" l="1"/>
  <c r="N70" i="25"/>
  <c r="N34" i="25"/>
  <c r="V9" i="19" l="1"/>
  <c r="V10" i="19"/>
  <c r="U16" i="19"/>
  <c r="V15" i="19"/>
  <c r="U8" i="19"/>
  <c r="V8" i="19" l="1"/>
  <c r="V16" i="19"/>
  <c r="X16" i="19" s="1"/>
  <c r="F40" i="15"/>
  <c r="X9" i="19"/>
  <c r="X10" i="19"/>
  <c r="X15" i="19"/>
  <c r="X18" i="19"/>
  <c r="Z18" i="19" s="1"/>
  <c r="X20" i="19"/>
  <c r="V17" i="19"/>
  <c r="O60" i="5" l="1"/>
  <c r="L60" i="5"/>
  <c r="X8" i="19"/>
  <c r="F42" i="15"/>
  <c r="X17" i="19"/>
  <c r="K158" i="5" l="1"/>
  <c r="D124" i="5" l="1"/>
  <c r="D122" i="5"/>
  <c r="F75" i="25" l="1"/>
  <c r="O20" i="19"/>
  <c r="I20" i="19"/>
  <c r="F20" i="19"/>
  <c r="E20" i="19"/>
  <c r="D20" i="19"/>
  <c r="C20" i="19"/>
  <c r="B75" i="25" s="1"/>
  <c r="B20" i="19"/>
  <c r="C75" i="25" s="1"/>
  <c r="A8" i="19"/>
  <c r="A9" i="19" s="1"/>
  <c r="A10" i="19" s="1"/>
  <c r="A11" i="19" s="1"/>
  <c r="F78" i="25" l="1"/>
  <c r="J75" i="25"/>
  <c r="J78" i="25" s="1"/>
  <c r="A12" i="19"/>
  <c r="A13" i="19" s="1"/>
  <c r="Q20" i="19"/>
  <c r="J20" i="19"/>
  <c r="M20" i="19" s="1"/>
  <c r="S20" i="19" l="1"/>
  <c r="Q75" i="25"/>
  <c r="Q78" i="25"/>
  <c r="A14" i="19"/>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2" i="19" s="1"/>
  <c r="A43" i="19" s="1"/>
  <c r="A44" i="19" s="1"/>
  <c r="A45" i="19" s="1"/>
  <c r="A46" i="19" s="1"/>
  <c r="L75" i="25"/>
  <c r="L78" i="25" s="1"/>
  <c r="C116" i="5"/>
  <c r="R78" i="25" l="1"/>
  <c r="R75" i="25"/>
  <c r="N75" i="25"/>
  <c r="N78" i="25" s="1"/>
  <c r="C34" i="15"/>
  <c r="J15" i="25" l="1"/>
  <c r="Q15" i="25" s="1"/>
  <c r="D324" i="25"/>
  <c r="E324" i="25"/>
  <c r="J39" i="25"/>
  <c r="Q39" i="25" s="1"/>
  <c r="F40" i="25"/>
  <c r="J26" i="25"/>
  <c r="Q26" i="25" s="1"/>
  <c r="J16" i="25"/>
  <c r="Q16" i="25" s="1"/>
  <c r="J69" i="25"/>
  <c r="Q69" i="25" s="1"/>
  <c r="J27" i="25"/>
  <c r="Q27" i="25" s="1"/>
  <c r="J33" i="25"/>
  <c r="Q33" i="25" s="1"/>
  <c r="J68" i="25"/>
  <c r="Q68" i="25" s="1"/>
  <c r="J67" i="25"/>
  <c r="Q67" i="25" s="1"/>
  <c r="M66" i="25"/>
  <c r="M74" i="25" s="1"/>
  <c r="M322" i="25" s="1"/>
  <c r="F66" i="25"/>
  <c r="J21" i="25"/>
  <c r="Q21" i="25" s="1"/>
  <c r="J20" i="25"/>
  <c r="Q20" i="25" s="1"/>
  <c r="N44" i="25"/>
  <c r="N29" i="25"/>
  <c r="N23" i="25"/>
  <c r="J24" i="25" l="1"/>
  <c r="J30" i="25"/>
  <c r="Q30" i="25" s="1"/>
  <c r="F45" i="25"/>
  <c r="J40" i="25"/>
  <c r="J45" i="25" s="1"/>
  <c r="L67" i="25"/>
  <c r="N67" i="25" s="1"/>
  <c r="L69" i="25"/>
  <c r="N69" i="25" s="1"/>
  <c r="L33" i="25"/>
  <c r="N33" i="25" s="1"/>
  <c r="L26" i="25"/>
  <c r="N26" i="25" s="1"/>
  <c r="L39" i="25"/>
  <c r="N39" i="25" s="1"/>
  <c r="L68" i="25"/>
  <c r="N68" i="25" s="1"/>
  <c r="L27" i="25"/>
  <c r="N27" i="25" s="1"/>
  <c r="L15" i="25"/>
  <c r="N15" i="25" s="1"/>
  <c r="L21" i="25"/>
  <c r="N21" i="25" s="1"/>
  <c r="L16" i="25"/>
  <c r="N16" i="25" s="1"/>
  <c r="L20" i="25"/>
  <c r="N20" i="25" s="1"/>
  <c r="J66" i="25"/>
  <c r="Q66" i="25" s="1"/>
  <c r="R16" i="25" l="1"/>
  <c r="R69" i="25"/>
  <c r="R27" i="25"/>
  <c r="Q45" i="25"/>
  <c r="R26" i="25"/>
  <c r="R68" i="25"/>
  <c r="R67" i="25"/>
  <c r="Q40" i="25"/>
  <c r="R33" i="25"/>
  <c r="R21" i="25"/>
  <c r="R20" i="25"/>
  <c r="R39" i="25"/>
  <c r="R15" i="25"/>
  <c r="L30" i="25"/>
  <c r="R30" i="25" s="1"/>
  <c r="L40" i="25"/>
  <c r="L66" i="25"/>
  <c r="N66" i="25" s="1"/>
  <c r="R66" i="25" l="1"/>
  <c r="R40" i="25"/>
  <c r="N40" i="25"/>
  <c r="N45" i="25" s="1"/>
  <c r="L45" i="25"/>
  <c r="R45" i="25" s="1"/>
  <c r="F18" i="19"/>
  <c r="E18" i="19"/>
  <c r="Z20" i="19"/>
  <c r="O18" i="19" l="1"/>
  <c r="I18" i="19"/>
  <c r="J18" i="19" s="1"/>
  <c r="D18" i="19"/>
  <c r="C18" i="19"/>
  <c r="M18" i="19" l="1"/>
  <c r="Q18" i="19"/>
  <c r="S18" i="19" l="1"/>
  <c r="I16" i="7"/>
  <c r="N16" i="7" s="1"/>
  <c r="I15" i="7"/>
  <c r="N15" i="7" s="1"/>
  <c r="O15" i="7" s="1"/>
  <c r="S15" i="7" s="1"/>
  <c r="A11" i="7"/>
  <c r="A12" i="7" s="1"/>
  <c r="A13" i="7" s="1"/>
  <c r="A14" i="7" s="1"/>
  <c r="A15" i="7" s="1"/>
  <c r="A16" i="7" s="1"/>
  <c r="A17" i="7" s="1"/>
  <c r="A18" i="7" s="1"/>
  <c r="A19" i="7" s="1"/>
  <c r="A20" i="7" s="1"/>
  <c r="A21" i="7" s="1"/>
  <c r="O16" i="7" l="1"/>
  <c r="S16" i="7" s="1"/>
  <c r="J32" i="25"/>
  <c r="Q32" i="25" s="1"/>
  <c r="L32" i="25" l="1"/>
  <c r="N32" i="25" s="1"/>
  <c r="R32" i="25" l="1"/>
  <c r="I17" i="19"/>
  <c r="F17" i="19"/>
  <c r="E17" i="19"/>
  <c r="B17" i="19"/>
  <c r="D17" i="19"/>
  <c r="C17" i="19"/>
  <c r="B87" i="25" s="1"/>
  <c r="J17" i="19" l="1"/>
  <c r="M17" i="19" s="1"/>
  <c r="O17" i="19"/>
  <c r="Q17" i="19" l="1"/>
  <c r="U11" i="19"/>
  <c r="U79" i="19" s="1"/>
  <c r="R11" i="19"/>
  <c r="N11" i="19"/>
  <c r="H11" i="19"/>
  <c r="S17" i="19" l="1"/>
  <c r="V11" i="19"/>
  <c r="V79" i="19" s="1"/>
  <c r="O11" i="19"/>
  <c r="Z17" i="19"/>
  <c r="X11" i="19" l="1"/>
  <c r="Q11" i="19"/>
  <c r="S11" i="19" l="1"/>
  <c r="Z11" i="19"/>
  <c r="R10" i="19"/>
  <c r="R9" i="19"/>
  <c r="H10" i="19"/>
  <c r="H9" i="19"/>
  <c r="N10" i="19"/>
  <c r="N9" i="19"/>
  <c r="F11" i="19"/>
  <c r="E11" i="19"/>
  <c r="F10" i="19"/>
  <c r="E10" i="19"/>
  <c r="D11" i="19"/>
  <c r="C11" i="19"/>
  <c r="B11" i="19"/>
  <c r="D10" i="19"/>
  <c r="C10" i="19"/>
  <c r="B10" i="19"/>
  <c r="F9" i="19"/>
  <c r="E9" i="19"/>
  <c r="D9" i="19"/>
  <c r="C9" i="19"/>
  <c r="B9" i="19"/>
  <c r="I9" i="19" l="1"/>
  <c r="J9" i="19" s="1"/>
  <c r="M9" i="19" s="1"/>
  <c r="O9" i="19"/>
  <c r="O10" i="19"/>
  <c r="I11" i="19"/>
  <c r="I10" i="19"/>
  <c r="J10" i="19" s="1"/>
  <c r="F65" i="25"/>
  <c r="F31" i="25"/>
  <c r="N25" i="25"/>
  <c r="N30" i="25" s="1"/>
  <c r="F19" i="25"/>
  <c r="J14" i="25"/>
  <c r="J18" i="25" s="1"/>
  <c r="F14" i="25"/>
  <c r="Q9" i="19" l="1"/>
  <c r="F18" i="25"/>
  <c r="Q18" i="25" s="1"/>
  <c r="Q14" i="25"/>
  <c r="F74" i="25"/>
  <c r="F38" i="25"/>
  <c r="F24" i="25"/>
  <c r="Q24" i="25" s="1"/>
  <c r="Q19" i="25"/>
  <c r="J11" i="19"/>
  <c r="M11" i="19" s="1"/>
  <c r="J65" i="25"/>
  <c r="Q65" i="25" s="1"/>
  <c r="L19" i="25"/>
  <c r="S9" i="19"/>
  <c r="J31" i="25"/>
  <c r="J38" i="25" s="1"/>
  <c r="L14" i="25"/>
  <c r="M10" i="19"/>
  <c r="Z9" i="19"/>
  <c r="Z10" i="19"/>
  <c r="Q10" i="19"/>
  <c r="S10" i="19" l="1"/>
  <c r="R19" i="25"/>
  <c r="Q31" i="25"/>
  <c r="R14" i="25"/>
  <c r="Q38" i="25"/>
  <c r="L31" i="25"/>
  <c r="L38" i="25" s="1"/>
  <c r="L65" i="25"/>
  <c r="L74" i="25" s="1"/>
  <c r="J74" i="25"/>
  <c r="Q74" i="25" s="1"/>
  <c r="N14" i="25"/>
  <c r="N18" i="25" s="1"/>
  <c r="L18" i="25"/>
  <c r="R18" i="25" s="1"/>
  <c r="N19" i="25"/>
  <c r="N24" i="25" s="1"/>
  <c r="L24" i="25"/>
  <c r="R24" i="25" s="1"/>
  <c r="R38" i="25" l="1"/>
  <c r="R74" i="25"/>
  <c r="R31" i="25"/>
  <c r="R65" i="25"/>
  <c r="N31" i="25"/>
  <c r="N38" i="25" s="1"/>
  <c r="N65" i="25"/>
  <c r="N74" i="25" s="1"/>
  <c r="F16" i="19"/>
  <c r="E16" i="19"/>
  <c r="F15" i="19"/>
  <c r="E15" i="19"/>
  <c r="N16" i="19"/>
  <c r="H16" i="19" l="1"/>
  <c r="R15" i="19" l="1"/>
  <c r="I16" i="19" l="1"/>
  <c r="I15" i="19"/>
  <c r="G15" i="19"/>
  <c r="D15" i="19"/>
  <c r="C15" i="19"/>
  <c r="B15" i="19"/>
  <c r="J16" i="19" l="1"/>
  <c r="O15" i="19"/>
  <c r="J15" i="19"/>
  <c r="M15" i="19" s="1"/>
  <c r="J14" i="7"/>
  <c r="I14" i="7"/>
  <c r="O10" i="7"/>
  <c r="N42" i="7" l="1"/>
  <c r="M16" i="19"/>
  <c r="N14" i="7"/>
  <c r="O14" i="7" s="1"/>
  <c r="Q15" i="19"/>
  <c r="S15" i="19" l="1"/>
  <c r="Z15" i="19"/>
  <c r="E40" i="7" l="1"/>
  <c r="E46" i="7" s="1"/>
  <c r="F46" i="7" s="1"/>
  <c r="J10" i="25"/>
  <c r="L10" i="25" s="1"/>
  <c r="E94" i="6"/>
  <c r="V94" i="6" l="1"/>
  <c r="E40" i="15"/>
  <c r="P60" i="5" s="1"/>
  <c r="N10" i="25"/>
  <c r="E42" i="15" l="1"/>
  <c r="N13" i="7"/>
  <c r="O13" i="7" s="1"/>
  <c r="S13" i="7" s="1"/>
  <c r="W94" i="6" l="1"/>
  <c r="V105" i="6" s="1"/>
  <c r="C16" i="56" l="1"/>
  <c r="N8" i="19"/>
  <c r="H8" i="19"/>
  <c r="I8" i="19" l="1"/>
  <c r="J8" i="19" s="1"/>
  <c r="M8" i="19" l="1"/>
  <c r="F9" i="25"/>
  <c r="F13" i="25" s="1"/>
  <c r="F322" i="25" s="1"/>
  <c r="G11" i="21" l="1"/>
  <c r="J9" i="25"/>
  <c r="J13" i="25" s="1"/>
  <c r="J322" i="25" s="1"/>
  <c r="B9" i="25"/>
  <c r="I72" i="17"/>
  <c r="I67" i="17"/>
  <c r="I66" i="17"/>
  <c r="Q13" i="25" l="1"/>
  <c r="L327" i="25"/>
  <c r="L9" i="25"/>
  <c r="L13" i="25" s="1"/>
  <c r="L322" i="25" l="1"/>
  <c r="N326" i="25" s="1"/>
  <c r="R13" i="25"/>
  <c r="Q322" i="25"/>
  <c r="N9" i="25"/>
  <c r="N13" i="25" s="1"/>
  <c r="N322" i="25" s="1"/>
  <c r="G9" i="21" l="1"/>
  <c r="K17" i="21"/>
  <c r="F8" i="19" l="1"/>
  <c r="E8" i="19"/>
  <c r="D8" i="19"/>
  <c r="C8" i="19"/>
  <c r="B8" i="19"/>
  <c r="C32" i="15" l="1"/>
  <c r="J12" i="7" l="1"/>
  <c r="I12" i="7"/>
  <c r="I29" i="7" s="1"/>
  <c r="J29" i="7" l="1"/>
  <c r="W29" i="7" s="1"/>
  <c r="X29" i="7" s="1"/>
  <c r="D47" i="22"/>
  <c r="D48" i="22" s="1"/>
  <c r="I50" i="22"/>
  <c r="D19" i="22"/>
  <c r="F15" i="22"/>
  <c r="F17" i="22"/>
  <c r="F20" i="22"/>
  <c r="F21" i="22"/>
  <c r="F23" i="22"/>
  <c r="F25" i="22"/>
  <c r="F26" i="22"/>
  <c r="I35" i="22"/>
  <c r="C38" i="22" l="1"/>
  <c r="C31" i="22"/>
  <c r="I30" i="22" l="1"/>
  <c r="C39" i="22"/>
  <c r="C40" i="22" s="1"/>
  <c r="C41" i="22" s="1"/>
  <c r="G40" i="15" l="1"/>
  <c r="G42" i="15" s="1"/>
  <c r="H9" i="15"/>
  <c r="H10" i="15"/>
  <c r="H11" i="15"/>
  <c r="H12" i="15"/>
  <c r="H13" i="15"/>
  <c r="H8" i="15"/>
  <c r="H14" i="15"/>
  <c r="H15" i="15"/>
  <c r="H16" i="15"/>
  <c r="H17" i="15"/>
  <c r="H18" i="15"/>
  <c r="H20" i="15"/>
  <c r="H22" i="15"/>
  <c r="H26" i="15"/>
  <c r="H27" i="15"/>
  <c r="H28" i="15"/>
  <c r="H29" i="15"/>
  <c r="H30" i="15"/>
  <c r="H32" i="15"/>
  <c r="D38" i="22"/>
  <c r="D27" i="22" l="1"/>
  <c r="N7" i="19" l="1"/>
  <c r="N79" i="19" s="1"/>
  <c r="H7" i="19"/>
  <c r="H79" i="19" s="1"/>
  <c r="F88" i="19"/>
  <c r="F86" i="19"/>
  <c r="F87" i="19" s="1"/>
  <c r="E326" i="25" l="1"/>
  <c r="E327" i="25" s="1"/>
  <c r="I7" i="19"/>
  <c r="I79" i="19" s="1"/>
  <c r="C19" i="5" s="1"/>
  <c r="E19" i="5" s="1"/>
  <c r="G24" i="18"/>
  <c r="G10" i="21" l="1"/>
  <c r="E323" i="25"/>
  <c r="J7" i="19"/>
  <c r="J79" i="19" s="1"/>
  <c r="C20" i="5" s="1"/>
  <c r="E20" i="5" s="1"/>
  <c r="M7" i="19" l="1"/>
  <c r="M79" i="19" s="1"/>
  <c r="C18" i="5" s="1"/>
  <c r="C25" i="15"/>
  <c r="C24" i="15"/>
  <c r="C23" i="15"/>
  <c r="E18" i="5" l="1"/>
  <c r="E72" i="5" s="1"/>
  <c r="C72" i="5"/>
  <c r="H23" i="15"/>
  <c r="H24" i="15"/>
  <c r="H25" i="15"/>
  <c r="D24" i="22"/>
  <c r="D35" i="22"/>
  <c r="D18" i="22" l="1"/>
  <c r="D37" i="22" l="1"/>
  <c r="D39" i="22" s="1"/>
  <c r="D40" i="22" l="1"/>
  <c r="E40" i="22" l="1"/>
  <c r="F40" i="22"/>
  <c r="G40" i="22" s="1"/>
  <c r="E9" i="41"/>
  <c r="G9" i="41" s="1"/>
  <c r="E10" i="41" l="1"/>
  <c r="G10" i="41" s="1"/>
  <c r="E11" i="41" l="1"/>
  <c r="N12" i="7"/>
  <c r="O12" i="7" l="1"/>
  <c r="O29" i="7" s="1"/>
  <c r="N29" i="7"/>
  <c r="G11" i="41"/>
  <c r="E12" i="41"/>
  <c r="E13" i="41" s="1"/>
  <c r="E14" i="41" s="1"/>
  <c r="I6" i="41"/>
  <c r="I7" i="41" s="1"/>
  <c r="S12" i="7" l="1"/>
  <c r="S29" i="7" s="1"/>
  <c r="G14" i="41"/>
  <c r="E15" i="41"/>
  <c r="E16" i="41" s="1"/>
  <c r="E17" i="41" s="1"/>
  <c r="G12" i="41"/>
  <c r="G13" i="41"/>
  <c r="C21" i="15"/>
  <c r="E18" i="41" l="1"/>
  <c r="E19" i="41" s="1"/>
  <c r="G17" i="41"/>
  <c r="G15" i="41"/>
  <c r="G16" i="41"/>
  <c r="H21" i="15"/>
  <c r="G19" i="41" l="1"/>
  <c r="E20" i="41"/>
  <c r="G18" i="41"/>
  <c r="C31" i="15"/>
  <c r="C19" i="15"/>
  <c r="C40" i="15" l="1"/>
  <c r="C42" i="15" s="1"/>
  <c r="G20" i="41"/>
  <c r="E21" i="41"/>
  <c r="E22" i="41" s="1"/>
  <c r="E23" i="41" s="1"/>
  <c r="H19" i="15"/>
  <c r="H31" i="15"/>
  <c r="G23" i="41" l="1"/>
  <c r="E24" i="41"/>
  <c r="E25" i="41" s="1"/>
  <c r="E26" i="41" s="1"/>
  <c r="G22" i="41"/>
  <c r="G21" i="41"/>
  <c r="G26" i="18"/>
  <c r="H40" i="15"/>
  <c r="H42" i="15" s="1"/>
  <c r="K15" i="21"/>
  <c r="K14" i="21"/>
  <c r="K13" i="21"/>
  <c r="L4" i="2"/>
  <c r="L5" i="2" s="1"/>
  <c r="D42" i="15" l="1"/>
  <c r="G26" i="41"/>
  <c r="E27" i="41"/>
  <c r="E28" i="41" s="1"/>
  <c r="G25" i="41"/>
  <c r="G24" i="41"/>
  <c r="K16" i="21"/>
  <c r="D19" i="55"/>
  <c r="H12" i="55"/>
  <c r="F12" i="55"/>
  <c r="H11" i="55"/>
  <c r="F11" i="55"/>
  <c r="H10" i="55"/>
  <c r="F10" i="55"/>
  <c r="H9" i="55"/>
  <c r="F9" i="55"/>
  <c r="H8" i="55"/>
  <c r="F8" i="55"/>
  <c r="E29" i="41" l="1"/>
  <c r="E30" i="41" s="1"/>
  <c r="G28" i="41"/>
  <c r="G27" i="41"/>
  <c r="I12" i="55"/>
  <c r="F13" i="55"/>
  <c r="I10" i="55"/>
  <c r="H13" i="55"/>
  <c r="I8" i="55"/>
  <c r="E31" i="41" l="1"/>
  <c r="E32" i="41" s="1"/>
  <c r="G30" i="41"/>
  <c r="G29" i="41"/>
  <c r="I13" i="55"/>
  <c r="A9" i="11"/>
  <c r="A10" i="11" s="1"/>
  <c r="A11" i="11" s="1"/>
  <c r="A12" i="11" s="1"/>
  <c r="A13" i="11" s="1"/>
  <c r="A14" i="11" s="1"/>
  <c r="E33" i="41" l="1"/>
  <c r="G32" i="41"/>
  <c r="G31" i="41"/>
  <c r="A15" i="11"/>
  <c r="A16" i="11" s="1"/>
  <c r="A17" i="11" s="1"/>
  <c r="A18" i="11" s="1"/>
  <c r="D11" i="5"/>
  <c r="O11" i="5" l="1"/>
  <c r="L11" i="5"/>
  <c r="M8" i="5" s="1"/>
  <c r="G33" i="41"/>
  <c r="E34" i="41"/>
  <c r="D14" i="22"/>
  <c r="P11" i="5"/>
  <c r="F39" i="8"/>
  <c r="Z8" i="17"/>
  <c r="AA8" i="17" s="1"/>
  <c r="F56" i="8"/>
  <c r="F66" i="8"/>
  <c r="H61" i="8"/>
  <c r="H25" i="8"/>
  <c r="G34" i="41" l="1"/>
  <c r="E35" i="41"/>
  <c r="H40" i="7"/>
  <c r="H43" i="7" s="1"/>
  <c r="A2" i="2"/>
  <c r="E36" i="41" l="1"/>
  <c r="G35" i="41"/>
  <c r="BP96" i="6"/>
  <c r="BQ96" i="6" s="1"/>
  <c r="G36" i="41" l="1"/>
  <c r="E37" i="41"/>
  <c r="M25" i="8"/>
  <c r="G37" i="41" l="1"/>
  <c r="E38" i="41"/>
  <c r="G38" i="41" s="1"/>
  <c r="N25" i="8"/>
  <c r="W79" i="19" l="1"/>
  <c r="BM94" i="6"/>
  <c r="BM98" i="6"/>
  <c r="AW100" i="6" l="1"/>
  <c r="AX100" i="6" s="1"/>
  <c r="AW99" i="6"/>
  <c r="AX99" i="6" s="1"/>
  <c r="AW97" i="6"/>
  <c r="AX97" i="6" s="1"/>
  <c r="AW95" i="6"/>
  <c r="AX95" i="6" s="1"/>
  <c r="AW79" i="6"/>
  <c r="AX79" i="6" s="1"/>
  <c r="AW61" i="6"/>
  <c r="AX61" i="6" s="1"/>
  <c r="AW36" i="6"/>
  <c r="AX36" i="6" s="1"/>
  <c r="BN98" i="6"/>
  <c r="BN94" i="6"/>
  <c r="BK105" i="6" l="1"/>
  <c r="BI106" i="6"/>
  <c r="BI105" i="6"/>
  <c r="A51" i="8" l="1"/>
  <c r="A52" i="8" s="1"/>
  <c r="A53" i="8" s="1"/>
  <c r="A54" i="8" s="1"/>
  <c r="A55" i="8" s="1"/>
  <c r="A56" i="8" s="1"/>
  <c r="A57" i="8" s="1"/>
  <c r="A58" i="8" s="1"/>
  <c r="A59" i="8" s="1"/>
  <c r="A60" i="8" s="1"/>
  <c r="A62" i="8" s="1"/>
  <c r="A63" i="8" s="1"/>
  <c r="A64" i="8" s="1"/>
  <c r="A65" i="8" l="1"/>
  <c r="A66" i="8" s="1"/>
  <c r="N142" i="6"/>
  <c r="M142" i="6"/>
  <c r="Q142" i="6" s="1"/>
  <c r="H142" i="6"/>
  <c r="F142" i="6"/>
  <c r="E142" i="6"/>
  <c r="I142" i="6" s="1"/>
  <c r="V142" i="6" l="1"/>
  <c r="O142" i="6"/>
  <c r="G142" i="6"/>
  <c r="W142" i="6" l="1"/>
  <c r="B16" i="19" l="1"/>
  <c r="C16" i="19"/>
  <c r="D16" i="19"/>
  <c r="R16" i="19"/>
  <c r="R40" i="7" l="1"/>
  <c r="L40" i="7" l="1"/>
  <c r="K40" i="7"/>
  <c r="I40" i="7"/>
  <c r="I43" i="7" s="1"/>
  <c r="J40" i="7" l="1"/>
  <c r="N43" i="7" s="1"/>
  <c r="G18" i="21"/>
  <c r="X17" i="17" l="1"/>
  <c r="H87" i="17"/>
  <c r="G16" i="19" l="1"/>
  <c r="O16" i="19" s="1"/>
  <c r="AV16" i="19"/>
  <c r="AX16" i="19" s="1"/>
  <c r="BH98" i="6"/>
  <c r="BB98" i="6"/>
  <c r="BA98" i="6"/>
  <c r="AZ98" i="6"/>
  <c r="I86" i="17"/>
  <c r="I85" i="17"/>
  <c r="I84" i="17"/>
  <c r="I83" i="17"/>
  <c r="I82" i="17"/>
  <c r="I81" i="17"/>
  <c r="I80" i="17"/>
  <c r="Q16" i="19" l="1"/>
  <c r="I87" i="17"/>
  <c r="S16" i="19" l="1"/>
  <c r="Z16" i="19"/>
  <c r="AW98" i="6"/>
  <c r="AX98" i="6" s="1"/>
  <c r="AW96" i="6"/>
  <c r="AX96" i="6" s="1"/>
  <c r="M112" i="6" l="1"/>
  <c r="M113" i="6" s="1"/>
  <c r="M138" i="6"/>
  <c r="M139" i="6" s="1"/>
  <c r="N128" i="6"/>
  <c r="M130" i="6"/>
  <c r="M131" i="6" s="1"/>
  <c r="M124" i="6"/>
  <c r="M125" i="6" s="1"/>
  <c r="M115" i="6"/>
  <c r="M118" i="6" s="1"/>
  <c r="M119" i="6" s="1"/>
  <c r="F51" i="8" l="1"/>
  <c r="L29" i="8"/>
  <c r="L28" i="8"/>
  <c r="H38" i="8"/>
  <c r="K28" i="8"/>
  <c r="M28" i="8"/>
  <c r="M24" i="8"/>
  <c r="V24" i="8"/>
  <c r="K29" i="8"/>
  <c r="M29" i="8"/>
  <c r="K27" i="8"/>
  <c r="M27" i="8"/>
  <c r="M23" i="8"/>
  <c r="V23" i="8"/>
  <c r="M22" i="8"/>
  <c r="V22" i="8"/>
  <c r="M21" i="8"/>
  <c r="V21" i="8"/>
  <c r="M37" i="8"/>
  <c r="V37" i="8"/>
  <c r="D50" i="8"/>
  <c r="H24" i="8" l="1"/>
  <c r="H37" i="8"/>
  <c r="H29" i="8"/>
  <c r="H28" i="8"/>
  <c r="N28" i="8"/>
  <c r="N24" i="8"/>
  <c r="N29" i="8"/>
  <c r="H27" i="8"/>
  <c r="L27" i="8"/>
  <c r="N23" i="8"/>
  <c r="H23" i="8"/>
  <c r="H22" i="8"/>
  <c r="N22" i="8"/>
  <c r="H21" i="8"/>
  <c r="N37" i="8"/>
  <c r="N27" i="8" l="1"/>
  <c r="N21" i="8"/>
  <c r="F44" i="8" l="1"/>
  <c r="M36" i="8"/>
  <c r="M35" i="8"/>
  <c r="M34" i="8"/>
  <c r="M33" i="8"/>
  <c r="M32" i="8"/>
  <c r="M31" i="8"/>
  <c r="M30" i="8"/>
  <c r="K30" i="8"/>
  <c r="M26" i="8"/>
  <c r="K26" i="8"/>
  <c r="M20" i="8"/>
  <c r="M19" i="8"/>
  <c r="M18" i="8"/>
  <c r="M17" i="8"/>
  <c r="M16" i="8"/>
  <c r="M15" i="8"/>
  <c r="M14" i="8"/>
  <c r="M13" i="8"/>
  <c r="M12" i="8"/>
  <c r="M11" i="8"/>
  <c r="P22" i="5"/>
  <c r="F40" i="8" l="1"/>
  <c r="BM101" i="6" l="1"/>
  <c r="E21" i="11" l="1"/>
  <c r="J87" i="17"/>
  <c r="D64" i="8" l="1"/>
  <c r="H64" i="8" l="1"/>
  <c r="F41" i="8" l="1"/>
  <c r="D55" i="8" l="1"/>
  <c r="D54" i="8"/>
  <c r="H54" i="8" l="1"/>
  <c r="AK55" i="8"/>
  <c r="H55" i="8"/>
  <c r="AK54" i="8"/>
  <c r="BN101" i="6" l="1"/>
  <c r="D66" i="8" l="1"/>
  <c r="D65" i="8"/>
  <c r="E63" i="8"/>
  <c r="D63" i="8"/>
  <c r="D62" i="8"/>
  <c r="D60" i="8"/>
  <c r="D59" i="8"/>
  <c r="D58" i="8"/>
  <c r="D57" i="8"/>
  <c r="D56" i="8"/>
  <c r="D53" i="8"/>
  <c r="D52" i="8"/>
  <c r="D51" i="8"/>
  <c r="F42" i="8" l="1"/>
  <c r="F43" i="8"/>
  <c r="F62" i="8"/>
  <c r="F60" i="8"/>
  <c r="F63" i="8"/>
  <c r="L30" i="8"/>
  <c r="L26" i="8"/>
  <c r="V20" i="8" l="1"/>
  <c r="H20" i="8"/>
  <c r="AW94" i="6" l="1"/>
  <c r="AX94" i="6" s="1"/>
  <c r="AW37" i="6"/>
  <c r="AX37" i="6" s="1"/>
  <c r="N20" i="8" l="1"/>
  <c r="H33" i="8"/>
  <c r="H32" i="8"/>
  <c r="H31" i="8"/>
  <c r="V32" i="8" l="1"/>
  <c r="V31" i="8"/>
  <c r="V33" i="8"/>
  <c r="V19" i="8"/>
  <c r="N33" i="8"/>
  <c r="H47" i="8"/>
  <c r="H66" i="8"/>
  <c r="H19" i="8"/>
  <c r="N32" i="8" l="1"/>
  <c r="N19" i="8"/>
  <c r="N31" i="8" l="1"/>
  <c r="V14" i="8" l="1"/>
  <c r="H14" i="8"/>
  <c r="H30" i="8"/>
  <c r="H26" i="8"/>
  <c r="H13" i="8"/>
  <c r="H18" i="8"/>
  <c r="H17" i="8"/>
  <c r="N13" i="8" l="1"/>
  <c r="N14" i="8"/>
  <c r="N30" i="8"/>
  <c r="N26" i="8"/>
  <c r="N18" i="8"/>
  <c r="N17" i="8" l="1"/>
  <c r="D68" i="8"/>
  <c r="N101" i="6"/>
  <c r="BJ104" i="6"/>
  <c r="BH101" i="6" l="1"/>
  <c r="BA101" i="6"/>
  <c r="BB101" i="6"/>
  <c r="J48" i="2" l="1"/>
  <c r="D101" i="6" l="1"/>
  <c r="L101" i="6"/>
  <c r="H56" i="8" l="1"/>
  <c r="AK56" i="8"/>
  <c r="AW12" i="6" l="1"/>
  <c r="AX12" i="6" s="1"/>
  <c r="J9" i="46"/>
  <c r="I9" i="46"/>
  <c r="H9" i="46"/>
  <c r="G6" i="46"/>
  <c r="G9" i="46" s="1"/>
  <c r="F9" i="46"/>
  <c r="H58" i="8" l="1"/>
  <c r="H40" i="8" l="1"/>
  <c r="H39" i="8"/>
  <c r="H11" i="8" l="1"/>
  <c r="H43" i="8" l="1"/>
  <c r="O7" i="19" l="1"/>
  <c r="Q7" i="19" l="1"/>
  <c r="O8" i="19"/>
  <c r="O79" i="19" s="1"/>
  <c r="D19" i="5" l="1"/>
  <c r="S7" i="19"/>
  <c r="Q8" i="19"/>
  <c r="Q79" i="19" s="1"/>
  <c r="X7" i="19"/>
  <c r="X79" i="19" s="1"/>
  <c r="O19" i="5" l="1"/>
  <c r="L19" i="5"/>
  <c r="Z7" i="19"/>
  <c r="S8" i="19"/>
  <c r="S79" i="19" s="1"/>
  <c r="V34" i="8"/>
  <c r="V36" i="8"/>
  <c r="V35" i="8"/>
  <c r="H35" i="8"/>
  <c r="H36" i="8"/>
  <c r="H34" i="8"/>
  <c r="H42" i="8"/>
  <c r="Z8" i="19" l="1"/>
  <c r="Z79" i="19" s="1"/>
  <c r="N34" i="8"/>
  <c r="N36" i="8"/>
  <c r="N35" i="8" l="1"/>
  <c r="R8" i="19"/>
  <c r="R79" i="19" s="1"/>
  <c r="I84" i="19"/>
  <c r="D21" i="5" l="1"/>
  <c r="X18" i="17"/>
  <c r="X25" i="17"/>
  <c r="X24" i="17"/>
  <c r="X16" i="17"/>
  <c r="O21" i="5" l="1"/>
  <c r="L21" i="5"/>
  <c r="X8" i="17"/>
  <c r="G8" i="19" l="1"/>
  <c r="AV8" i="19"/>
  <c r="AX8" i="19" s="1"/>
  <c r="S9" i="25" l="1"/>
  <c r="T9" i="25" s="1"/>
  <c r="H16" i="8" l="1"/>
  <c r="V16" i="8" l="1"/>
  <c r="N16" i="8"/>
  <c r="H60" i="8" l="1"/>
  <c r="H59" i="8"/>
  <c r="H57" i="8"/>
  <c r="H52" i="8"/>
  <c r="F67" i="8"/>
  <c r="H62" i="8"/>
  <c r="AK53" i="8"/>
  <c r="AK52" i="8"/>
  <c r="H50" i="8"/>
  <c r="H46" i="8"/>
  <c r="H45" i="8"/>
  <c r="H44" i="8"/>
  <c r="H41" i="8"/>
  <c r="AI10" i="8"/>
  <c r="AI9" i="8"/>
  <c r="AC9" i="8"/>
  <c r="G68" i="8"/>
  <c r="H67" i="8" l="1"/>
  <c r="V12" i="8"/>
  <c r="V11" i="8"/>
  <c r="H51" i="8"/>
  <c r="H63" i="8"/>
  <c r="H65" i="8"/>
  <c r="H53" i="8"/>
  <c r="H15" i="8"/>
  <c r="E68" i="8"/>
  <c r="V15" i="8" l="1"/>
  <c r="H12" i="8"/>
  <c r="N11" i="8"/>
  <c r="F68" i="8"/>
  <c r="N15" i="8" l="1"/>
  <c r="N12" i="8"/>
  <c r="N10" i="8" l="1"/>
  <c r="H68" i="8"/>
  <c r="H10" i="8"/>
  <c r="H9" i="8" l="1"/>
  <c r="A47" i="8" l="1"/>
  <c r="K30" i="18" l="1"/>
  <c r="K25" i="18" l="1"/>
  <c r="I25" i="18"/>
  <c r="S9" i="8" l="1"/>
  <c r="M9" i="8"/>
  <c r="O9" i="8"/>
  <c r="I9" i="8"/>
  <c r="N9" i="8" l="1"/>
  <c r="K62" i="17" l="1"/>
  <c r="U1" i="19"/>
  <c r="P20" i="5"/>
  <c r="D7" i="19"/>
  <c r="C7" i="19"/>
  <c r="B7" i="19"/>
  <c r="R27" i="17"/>
  <c r="R61" i="17" s="1"/>
  <c r="C20" i="11"/>
  <c r="G6" i="41"/>
  <c r="H45" i="2"/>
  <c r="AY10" i="6"/>
  <c r="D22" i="11"/>
  <c r="D23" i="11" s="1"/>
  <c r="M45" i="22"/>
  <c r="M46" i="22" s="1"/>
  <c r="L44" i="22"/>
  <c r="L45" i="22" s="1"/>
  <c r="K44" i="22"/>
  <c r="W11" i="22"/>
  <c r="R15" i="22"/>
  <c r="L16" i="22"/>
  <c r="L17" i="22" s="1"/>
  <c r="L14" i="22"/>
  <c r="N14" i="22"/>
  <c r="R21" i="22"/>
  <c r="O21" i="22" s="1"/>
  <c r="U18" i="22"/>
  <c r="U20" i="22" s="1"/>
  <c r="C6" i="41"/>
  <c r="D9" i="41"/>
  <c r="D10" i="41" s="1"/>
  <c r="D11" i="41" s="1"/>
  <c r="G45" i="2"/>
  <c r="G2" i="21"/>
  <c r="G2" i="22" s="1"/>
  <c r="E2" i="57" s="1"/>
  <c r="D47" i="21"/>
  <c r="E47" i="21"/>
  <c r="D51" i="21"/>
  <c r="E51" i="21"/>
  <c r="D55" i="21"/>
  <c r="E55" i="21"/>
  <c r="H2" i="15"/>
  <c r="J2" i="10"/>
  <c r="T2" i="7"/>
  <c r="D74" i="7"/>
  <c r="E74" i="7"/>
  <c r="D78" i="7"/>
  <c r="E78" i="7"/>
  <c r="T2" i="8"/>
  <c r="T9" i="8"/>
  <c r="X2" i="6"/>
  <c r="P2" i="25"/>
  <c r="K2" i="17"/>
  <c r="H2" i="11"/>
  <c r="D54" i="11"/>
  <c r="E54" i="11"/>
  <c r="D58" i="11"/>
  <c r="E58" i="11"/>
  <c r="D62" i="11"/>
  <c r="E62" i="11"/>
  <c r="A3" i="2"/>
  <c r="G34" i="2"/>
  <c r="C9" i="18"/>
  <c r="C10" i="18"/>
  <c r="I44" i="22"/>
  <c r="E22" i="11"/>
  <c r="S27" i="17" l="1"/>
  <c r="S61" i="17" s="1"/>
  <c r="D12" i="41"/>
  <c r="F11" i="41"/>
  <c r="C5" i="22"/>
  <c r="J62" i="17"/>
  <c r="N40" i="7"/>
  <c r="F9" i="41"/>
  <c r="D32" i="2"/>
  <c r="E7" i="19"/>
  <c r="E79" i="19" s="1"/>
  <c r="A2" i="41"/>
  <c r="A4" i="11"/>
  <c r="C21" i="11"/>
  <c r="F21" i="11"/>
  <c r="F45" i="2"/>
  <c r="G34" i="18"/>
  <c r="E45" i="2"/>
  <c r="F7" i="19"/>
  <c r="F79" i="19" s="1"/>
  <c r="R22" i="22"/>
  <c r="K63" i="17"/>
  <c r="O22" i="5" l="1"/>
  <c r="Q22" i="5" s="1"/>
  <c r="L22" i="5"/>
  <c r="T27" i="17"/>
  <c r="T61" i="17" s="1"/>
  <c r="F22" i="11"/>
  <c r="E62" i="17"/>
  <c r="E63" i="17" s="1"/>
  <c r="G65" i="17"/>
  <c r="G66" i="17" s="1"/>
  <c r="J63" i="17"/>
  <c r="D13" i="41"/>
  <c r="F12" i="41"/>
  <c r="F62" i="17"/>
  <c r="F63" i="17" s="1"/>
  <c r="C22" i="11"/>
  <c r="C23" i="11" s="1"/>
  <c r="E23" i="11"/>
  <c r="G7" i="19"/>
  <c r="G79" i="19" s="1"/>
  <c r="AV7" i="19"/>
  <c r="AX7" i="19" s="1"/>
  <c r="O40" i="7"/>
  <c r="F10" i="41"/>
  <c r="A4" i="17"/>
  <c r="I62" i="17"/>
  <c r="I63" i="17" s="1"/>
  <c r="G62" i="17"/>
  <c r="P69" i="5" l="1"/>
  <c r="U27" i="17"/>
  <c r="U61" i="17" s="1"/>
  <c r="F23" i="11"/>
  <c r="F26" i="2" s="1"/>
  <c r="C25" i="11"/>
  <c r="G68" i="17"/>
  <c r="E27" i="11"/>
  <c r="G20" i="18"/>
  <c r="D14" i="41"/>
  <c r="I88" i="17"/>
  <c r="H90" i="17"/>
  <c r="A4" i="5"/>
  <c r="A3" i="19" s="1"/>
  <c r="A2" i="46" s="1"/>
  <c r="H62" i="17"/>
  <c r="G63" i="17"/>
  <c r="D25" i="11" l="1"/>
  <c r="D28" i="11"/>
  <c r="O69" i="5"/>
  <c r="L69" i="5"/>
  <c r="F84" i="19"/>
  <c r="F85" i="19" s="1"/>
  <c r="E81" i="19"/>
  <c r="E82" i="19" s="1"/>
  <c r="G25" i="11"/>
  <c r="D26" i="2"/>
  <c r="K26" i="2" s="1"/>
  <c r="M26" i="2" s="1"/>
  <c r="F29" i="2"/>
  <c r="D15" i="41"/>
  <c r="H91" i="17"/>
  <c r="A4" i="6"/>
  <c r="F44" i="2"/>
  <c r="F46" i="2" s="1"/>
  <c r="F47" i="2" s="1"/>
  <c r="H63" i="17"/>
  <c r="A4" i="25"/>
  <c r="G21" i="18"/>
  <c r="G22" i="18" s="1"/>
  <c r="E39" i="41" l="1"/>
  <c r="C40" i="41"/>
  <c r="E40" i="41" s="1"/>
  <c r="G39" i="41"/>
  <c r="E26" i="2"/>
  <c r="E28" i="11"/>
  <c r="K17" i="2"/>
  <c r="E25" i="11"/>
  <c r="D44" i="2"/>
  <c r="D46" i="2" s="1"/>
  <c r="D47" i="2" s="1"/>
  <c r="D48" i="2" s="1"/>
  <c r="D52" i="2" s="1"/>
  <c r="D53" i="2" s="1"/>
  <c r="D29" i="2"/>
  <c r="M29" i="2" s="1"/>
  <c r="P62" i="5"/>
  <c r="G23" i="21"/>
  <c r="D29" i="22"/>
  <c r="D16" i="41"/>
  <c r="F15" i="41"/>
  <c r="F13" i="41"/>
  <c r="A4" i="8"/>
  <c r="F48" i="2"/>
  <c r="G10" i="18" l="1"/>
  <c r="G40" i="41"/>
  <c r="J26" i="2"/>
  <c r="K29" i="2"/>
  <c r="H12" i="2"/>
  <c r="G12" i="2"/>
  <c r="D49" i="2"/>
  <c r="C3" i="56"/>
  <c r="C7" i="56" s="1"/>
  <c r="E29" i="2"/>
  <c r="F16" i="41"/>
  <c r="S24" i="2"/>
  <c r="E44" i="2"/>
  <c r="E46" i="2" s="1"/>
  <c r="E47" i="2" s="1"/>
  <c r="F14" i="41"/>
  <c r="A5" i="10"/>
  <c r="A6" i="7"/>
  <c r="F49" i="2"/>
  <c r="F52" i="2"/>
  <c r="F53" i="2" s="1"/>
  <c r="J29" i="2" l="1"/>
  <c r="C118" i="5"/>
  <c r="C9" i="22"/>
  <c r="J12" i="2"/>
  <c r="G31" i="18"/>
  <c r="G19" i="18"/>
  <c r="G23" i="18" s="1"/>
  <c r="G25" i="18" s="1"/>
  <c r="C7" i="22"/>
  <c r="E48" i="2"/>
  <c r="E49" i="2" s="1"/>
  <c r="A4" i="15"/>
  <c r="A5" i="21"/>
  <c r="A4" i="22" s="1"/>
  <c r="A6" i="57" s="1"/>
  <c r="O62" i="5" l="1"/>
  <c r="L62" i="5"/>
  <c r="D30" i="2"/>
  <c r="D30" i="22"/>
  <c r="E52" i="2"/>
  <c r="E53" i="2" s="1"/>
  <c r="D17" i="41"/>
  <c r="D18" i="41" l="1"/>
  <c r="F17" i="41"/>
  <c r="F18" i="41" l="1"/>
  <c r="D19" i="41"/>
  <c r="D20" i="41" l="1"/>
  <c r="F19" i="41"/>
  <c r="D21" i="41" l="1"/>
  <c r="F20" i="41"/>
  <c r="D20" i="5"/>
  <c r="P19" i="5"/>
  <c r="R19" i="5" s="1"/>
  <c r="O20" i="5" l="1"/>
  <c r="R20" i="5" s="1"/>
  <c r="L20" i="5"/>
  <c r="D18" i="5"/>
  <c r="D72" i="5" s="1"/>
  <c r="G14" i="21"/>
  <c r="F21" i="41"/>
  <c r="D22" i="41"/>
  <c r="D23" i="41" s="1"/>
  <c r="P18" i="5"/>
  <c r="O18" i="5" l="1"/>
  <c r="R18" i="5" s="1"/>
  <c r="L18" i="5"/>
  <c r="F30" i="2"/>
  <c r="M30" i="2" s="1"/>
  <c r="G25" i="21"/>
  <c r="G30" i="18" s="1"/>
  <c r="C14" i="56"/>
  <c r="C15" i="56" s="1"/>
  <c r="C17" i="56" s="1"/>
  <c r="D16" i="22"/>
  <c r="D31" i="22" s="1"/>
  <c r="F22" i="41"/>
  <c r="K26" i="18"/>
  <c r="K27" i="18" s="1"/>
  <c r="K29" i="18" s="1"/>
  <c r="K35" i="18" s="1"/>
  <c r="Q18" i="5" l="1"/>
  <c r="K30" i="2"/>
  <c r="E30" i="2"/>
  <c r="D41" i="22"/>
  <c r="F31" i="22"/>
  <c r="G31" i="22" s="1"/>
  <c r="E31" i="22"/>
  <c r="F23" i="41"/>
  <c r="D24" i="41"/>
  <c r="J30" i="2" l="1"/>
  <c r="L30" i="2" s="1"/>
  <c r="F24" i="41"/>
  <c r="D25" i="41"/>
  <c r="AY12" i="6"/>
  <c r="F25" i="41" l="1"/>
  <c r="D26" i="41"/>
  <c r="F26" i="41" l="1"/>
  <c r="D27" i="41"/>
  <c r="V101" i="6"/>
  <c r="F27" i="41" l="1"/>
  <c r="D28" i="41"/>
  <c r="E101" i="6"/>
  <c r="H101" i="6"/>
  <c r="F101" i="6"/>
  <c r="F28" i="41" l="1"/>
  <c r="D29" i="41"/>
  <c r="D30" i="41" s="1"/>
  <c r="I101" i="6"/>
  <c r="G101" i="6"/>
  <c r="F29" i="41" l="1"/>
  <c r="F30" i="41" l="1"/>
  <c r="D31" i="41"/>
  <c r="M101" i="6"/>
  <c r="Q101" i="6"/>
  <c r="W101" i="6"/>
  <c r="F31" i="41" l="1"/>
  <c r="D32" i="41"/>
  <c r="M106" i="6"/>
  <c r="I102" i="6"/>
  <c r="F32" i="41" l="1"/>
  <c r="D33" i="41"/>
  <c r="D34" i="41" s="1"/>
  <c r="O107" i="6"/>
  <c r="O101" i="6"/>
  <c r="M125" i="5"/>
  <c r="D35" i="41" l="1"/>
  <c r="F34" i="41"/>
  <c r="F33" i="41"/>
  <c r="G28" i="18"/>
  <c r="D31" i="2"/>
  <c r="AW101" i="6"/>
  <c r="AX101" i="6" s="1"/>
  <c r="D36" i="41" l="1"/>
  <c r="D37" i="41" s="1"/>
  <c r="D38" i="41" s="1"/>
  <c r="F35" i="41"/>
  <c r="D33" i="2"/>
  <c r="F31" i="2"/>
  <c r="M31" i="2" s="1"/>
  <c r="H30" i="2"/>
  <c r="F38" i="41" l="1"/>
  <c r="D39" i="41"/>
  <c r="D40" i="41" s="1"/>
  <c r="K31" i="2"/>
  <c r="F37" i="41"/>
  <c r="F36" i="41"/>
  <c r="D36" i="2"/>
  <c r="G9" i="18" l="1"/>
  <c r="D41" i="41"/>
  <c r="F40" i="41"/>
  <c r="F39" i="41"/>
  <c r="D37" i="2"/>
  <c r="G30" i="2"/>
  <c r="D42" i="41" l="1"/>
  <c r="G11" i="2"/>
  <c r="H11" i="2" s="1"/>
  <c r="E31" i="2"/>
  <c r="J31" i="2" l="1"/>
  <c r="E41" i="22"/>
  <c r="S40" i="7"/>
  <c r="Q40" i="7"/>
  <c r="S44" i="7" s="1"/>
  <c r="H20" i="2" l="1"/>
  <c r="G18" i="18" s="1"/>
  <c r="F41" i="22"/>
  <c r="G41" i="22"/>
  <c r="E116" i="5"/>
  <c r="E118" i="5" s="1"/>
  <c r="O4" i="5" s="1"/>
  <c r="O6" i="5" s="1"/>
  <c r="O7" i="5" s="1"/>
  <c r="D116" i="5" l="1"/>
  <c r="F32" i="2"/>
  <c r="M32" i="2" l="1"/>
  <c r="N33" i="2"/>
  <c r="K32" i="2"/>
  <c r="E32" i="2"/>
  <c r="D118" i="5"/>
  <c r="N4" i="5" s="1"/>
  <c r="N6" i="5" s="1"/>
  <c r="G32" i="2"/>
  <c r="H32" i="2"/>
  <c r="F33" i="2"/>
  <c r="M33" i="2" s="1"/>
  <c r="J32" i="2" l="1"/>
  <c r="K33" i="2"/>
  <c r="E33" i="2"/>
  <c r="C6" i="22"/>
  <c r="C8" i="22" s="1"/>
  <c r="M124" i="5"/>
  <c r="G27" i="18"/>
  <c r="G29" i="18" s="1"/>
  <c r="D129" i="5"/>
  <c r="D119" i="5"/>
  <c r="D121" i="5" s="1"/>
  <c r="D123" i="5" s="1"/>
  <c r="D125" i="5" s="1"/>
  <c r="C119" i="5"/>
  <c r="F36" i="2"/>
  <c r="K36" i="2" l="1"/>
  <c r="M36" i="2"/>
  <c r="J33" i="2"/>
  <c r="E36" i="2"/>
  <c r="J36" i="2" s="1"/>
  <c r="L40" i="2" s="1"/>
  <c r="I26" i="18"/>
  <c r="I27" i="18" s="1"/>
  <c r="K28" i="18" s="1"/>
  <c r="F37" i="2"/>
  <c r="K37" i="2" s="1"/>
  <c r="E37" i="2" l="1"/>
  <c r="J37" i="2" s="1"/>
  <c r="G38" i="18"/>
  <c r="L34" i="18"/>
  <c r="L35" i="18" s="1"/>
  <c r="P21" i="11" l="1"/>
  <c r="G21" i="11"/>
  <c r="P22" i="11" l="1"/>
  <c r="P23" i="11" s="1"/>
  <c r="L67" i="17"/>
  <c r="G22" i="11"/>
  <c r="G26" i="11" s="1"/>
  <c r="G27" i="11"/>
  <c r="J65" i="17"/>
  <c r="AA18" i="11"/>
  <c r="H21" i="11" l="1"/>
  <c r="AB18" i="11"/>
  <c r="G23" i="11"/>
  <c r="G28" i="11" l="1"/>
  <c r="J67" i="17"/>
  <c r="G26" i="2"/>
  <c r="H22" i="11"/>
  <c r="H23" i="11" s="1"/>
  <c r="H26" i="2" s="1"/>
  <c r="H29" i="2" l="1"/>
  <c r="H31" i="2" s="1"/>
  <c r="H33" i="2" s="1"/>
  <c r="H36" i="2" s="1"/>
  <c r="H37" i="2" s="1"/>
  <c r="H44" i="2"/>
  <c r="H46" i="2" s="1"/>
  <c r="G44" i="2"/>
  <c r="G46" i="2" s="1"/>
  <c r="G33" i="18"/>
  <c r="N26" i="2"/>
  <c r="G29" i="2"/>
  <c r="N29" i="2" s="1"/>
  <c r="G47" i="2" l="1"/>
  <c r="G48" i="2" s="1"/>
  <c r="H47" i="2"/>
  <c r="H48" i="2" s="1"/>
  <c r="G31" i="2"/>
  <c r="G33" i="2" s="1"/>
  <c r="G36" i="2" s="1"/>
  <c r="G32" i="18"/>
  <c r="H52" i="2" l="1"/>
  <c r="H53" i="2" s="1"/>
  <c r="H49" i="2"/>
  <c r="G37" i="2"/>
  <c r="G37" i="18"/>
  <c r="G52" i="2"/>
  <c r="G53" i="2" s="1"/>
  <c r="G49" i="2"/>
</calcChain>
</file>

<file path=xl/sharedStrings.xml><?xml version="1.0" encoding="utf-8"?>
<sst xmlns="http://schemas.openxmlformats.org/spreadsheetml/2006/main" count="1549" uniqueCount="987">
  <si>
    <t>Progress</t>
  </si>
  <si>
    <t>Financial State</t>
  </si>
  <si>
    <t>a. Date of Commencement</t>
  </si>
  <si>
    <t>Schedule of Project</t>
  </si>
  <si>
    <t>Rs (Million)</t>
  </si>
  <si>
    <t>b. Date of Completion</t>
  </si>
  <si>
    <t>Anx "B"</t>
  </si>
  <si>
    <t>Ser</t>
  </si>
  <si>
    <t>Activity</t>
  </si>
  <si>
    <t>Amount Rs in Million</t>
  </si>
  <si>
    <t>Total</t>
  </si>
  <si>
    <t>Anx "C"</t>
  </si>
  <si>
    <t>Qty</t>
  </si>
  <si>
    <t>Unit</t>
  </si>
  <si>
    <t>Cost</t>
  </si>
  <si>
    <t>Anx "D"</t>
  </si>
  <si>
    <t>Head of A/c</t>
  </si>
  <si>
    <t>During the Month</t>
  </si>
  <si>
    <t>Pay &amp; Allowances</t>
  </si>
  <si>
    <t>Other Expenditures</t>
  </si>
  <si>
    <t>a. Army Personals</t>
  </si>
  <si>
    <t>b. Civ Personals</t>
  </si>
  <si>
    <t>Item</t>
  </si>
  <si>
    <t>Remarks</t>
  </si>
  <si>
    <t>IPC No</t>
  </si>
  <si>
    <t>Submission Date</t>
  </si>
  <si>
    <t>Deduction</t>
  </si>
  <si>
    <t>Retention Money</t>
  </si>
  <si>
    <t>Mob Adv</t>
  </si>
  <si>
    <t>Status</t>
  </si>
  <si>
    <t>Anx "G"</t>
  </si>
  <si>
    <t>Description</t>
  </si>
  <si>
    <t>Hours/Kms</t>
  </si>
  <si>
    <t>Type of Claim</t>
  </si>
  <si>
    <t>Anx "H"</t>
  </si>
  <si>
    <t>%age</t>
  </si>
  <si>
    <t>Work Expenditures</t>
  </si>
  <si>
    <t>b. Repair/ Maint</t>
  </si>
  <si>
    <t>Overhead Expenditures</t>
  </si>
  <si>
    <t>Total Overhead Expenditure</t>
  </si>
  <si>
    <t>Total Work Expenditure</t>
  </si>
  <si>
    <t>Received From Client</t>
  </si>
  <si>
    <t>Work Done During the Month</t>
  </si>
  <si>
    <t>Vetted Work Done up to Date</t>
  </si>
  <si>
    <t>Amount of hiring* (Rs)</t>
  </si>
  <si>
    <t>Amount of Fuel Issued (Rs)</t>
  </si>
  <si>
    <t>Repair/ Maint (Rs)</t>
  </si>
  <si>
    <t>Contractor</t>
  </si>
  <si>
    <t>Anx "J"</t>
  </si>
  <si>
    <t>Anx "K"</t>
  </si>
  <si>
    <t>Total (Rs in Million)</t>
  </si>
  <si>
    <t>Total Cost (Rs in Million)</t>
  </si>
  <si>
    <t>Total (Rs inMillion)</t>
  </si>
  <si>
    <t>Work Done</t>
  </si>
  <si>
    <t>During The Month</t>
  </si>
  <si>
    <t>Upto Date</t>
  </si>
  <si>
    <t>Vetted Work</t>
  </si>
  <si>
    <t>Direct Cost</t>
  </si>
  <si>
    <t>Financial Charges</t>
  </si>
  <si>
    <t>Year to Date</t>
  </si>
  <si>
    <t>Gross Profit</t>
  </si>
  <si>
    <t>Gen &amp; Adm Exp</t>
  </si>
  <si>
    <t>Operating Profit</t>
  </si>
  <si>
    <t>Other Income</t>
  </si>
  <si>
    <t>Vetted Workdone Year to Date</t>
  </si>
  <si>
    <t>Vetted Workdone up to Date</t>
  </si>
  <si>
    <t>Expenditures (Rs in Million)</t>
  </si>
  <si>
    <t>Any Other</t>
  </si>
  <si>
    <t>b. Salaries Civilian Personals</t>
  </si>
  <si>
    <t>HQ Expenditures</t>
  </si>
  <si>
    <t>Upto date</t>
  </si>
  <si>
    <t>Net Profit (Million)</t>
  </si>
  <si>
    <t>Net Profit  %age</t>
  </si>
  <si>
    <t>Anx "F"</t>
  </si>
  <si>
    <t>STATE OF CLAIMS / VARIATION ORDERS</t>
  </si>
  <si>
    <t>CA No.</t>
  </si>
  <si>
    <t>Rupees in Million</t>
  </si>
  <si>
    <t>SUMMARY OF MONTHLY MONITORING REPORT</t>
  </si>
  <si>
    <t>Proj Con</t>
  </si>
  <si>
    <t>Name of Proj</t>
  </si>
  <si>
    <t>Month</t>
  </si>
  <si>
    <t>a.</t>
  </si>
  <si>
    <t>Physical</t>
  </si>
  <si>
    <t>(1)</t>
  </si>
  <si>
    <t>(2)</t>
  </si>
  <si>
    <t>Schedule of Proj</t>
  </si>
  <si>
    <t>b.</t>
  </si>
  <si>
    <t>c.</t>
  </si>
  <si>
    <t>CA Date of Completion</t>
  </si>
  <si>
    <t>d.</t>
  </si>
  <si>
    <t>e.</t>
  </si>
  <si>
    <t>f.</t>
  </si>
  <si>
    <t>g.</t>
  </si>
  <si>
    <t>h.</t>
  </si>
  <si>
    <t>j.</t>
  </si>
  <si>
    <t>k.</t>
  </si>
  <si>
    <t>l.</t>
  </si>
  <si>
    <t>m.</t>
  </si>
  <si>
    <t>n.</t>
  </si>
  <si>
    <t>o.</t>
  </si>
  <si>
    <t>p.</t>
  </si>
  <si>
    <t>q.</t>
  </si>
  <si>
    <t>r.</t>
  </si>
  <si>
    <t>s.</t>
  </si>
  <si>
    <t>t.</t>
  </si>
  <si>
    <t>u.</t>
  </si>
  <si>
    <t>Original Cost of Proj</t>
  </si>
  <si>
    <t>Rs in Million</t>
  </si>
  <si>
    <t>Cost of Work Done during the month by Petty Contrs</t>
  </si>
  <si>
    <t>Assets</t>
  </si>
  <si>
    <t>Total Cost of vetted work</t>
  </si>
  <si>
    <t>Financial Health</t>
  </si>
  <si>
    <t>Reasons for Delay in Progress</t>
  </si>
  <si>
    <t>Any Special Activity Carried out</t>
  </si>
  <si>
    <t>DETAIL OF WORK DONE BY NLC / HIRED LABOUR</t>
  </si>
  <si>
    <t>DETAIL OF WORK DONE BY SUB CONTRACTORS</t>
  </si>
  <si>
    <t>Vetted Work Done YTD</t>
  </si>
  <si>
    <t>Direct Labour</t>
  </si>
  <si>
    <t>DETAIL OF EXPENDITURES</t>
  </si>
  <si>
    <t>DETAIL OF PAYMENTS TO SUB CONTRACTORS</t>
  </si>
  <si>
    <t>S.No</t>
  </si>
  <si>
    <t>CA No</t>
  </si>
  <si>
    <t>NLC CA Amount</t>
  </si>
  <si>
    <t>Sub Contr CA Amount</t>
  </si>
  <si>
    <t>Sub Contr's Vetted Work Done</t>
  </si>
  <si>
    <t>Net Payment Due</t>
  </si>
  <si>
    <t>PAYMENT DETAIL OF SUB CONTRACTORS</t>
  </si>
  <si>
    <t>RAR No</t>
  </si>
  <si>
    <t>Paid Amount</t>
  </si>
  <si>
    <t>Less / (Over) Paid</t>
  </si>
  <si>
    <t>Cheque No</t>
  </si>
  <si>
    <t>Date</t>
  </si>
  <si>
    <t>DETAIL OF CONST MATERIAL</t>
  </si>
  <si>
    <t>DETAIL OF EQPTS, PLANTS, MACHINERY</t>
  </si>
  <si>
    <t>STATUS OF INTERIM PAYMENT CERTIFICATES</t>
  </si>
  <si>
    <t>Category of Asset</t>
  </si>
  <si>
    <t>Purchase Cost 
(Rs)</t>
  </si>
  <si>
    <t>Anx "L"</t>
  </si>
  <si>
    <t>Anx "M"</t>
  </si>
  <si>
    <t>DETAILS OF LIABILITIES</t>
  </si>
  <si>
    <t>-</t>
  </si>
  <si>
    <t>Anx "N"</t>
  </si>
  <si>
    <t xml:space="preserve">Plants and Machinery </t>
  </si>
  <si>
    <t>Sub Total</t>
  </si>
  <si>
    <t xml:space="preserve">Purchases </t>
  </si>
  <si>
    <t>Amount (M)</t>
  </si>
  <si>
    <t>Grand Total</t>
  </si>
  <si>
    <t>Sub Contr Cost</t>
  </si>
  <si>
    <t>Total Amounts (M)</t>
  </si>
  <si>
    <t xml:space="preserve">Revenue of Proj </t>
  </si>
  <si>
    <t xml:space="preserve">Workdone </t>
  </si>
  <si>
    <t>Liabilities till to date as per Anx 'M'</t>
  </si>
  <si>
    <t>Funds Received from Client</t>
  </si>
  <si>
    <t>Rentention Money Payable</t>
  </si>
  <si>
    <t>Other Payables</t>
  </si>
  <si>
    <t>Total Amount  (Rs)</t>
  </si>
  <si>
    <t>Total Amount (Rs)</t>
  </si>
  <si>
    <t>Remarks:</t>
  </si>
  <si>
    <t xml:space="preserve">Net Receivable </t>
  </si>
  <si>
    <t xml:space="preserve">(2) Achieved </t>
  </si>
  <si>
    <t>Stores Consumed (Material+Diesel)</t>
  </si>
  <si>
    <t>BUDGETING OF PROJECT</t>
  </si>
  <si>
    <t>Total Expenditure as per Exec Plan</t>
  </si>
  <si>
    <t>Bal Amount to be Expended</t>
  </si>
  <si>
    <t>Bal Work Done to be Done</t>
  </si>
  <si>
    <t>Rs. In Million</t>
  </si>
  <si>
    <t>Exp as per Rev Exec Plan</t>
  </si>
  <si>
    <t>Already Expended</t>
  </si>
  <si>
    <t>Exp on Bal Work</t>
  </si>
  <si>
    <t>Amount In Million</t>
  </si>
  <si>
    <t xml:space="preserve">Stores </t>
  </si>
  <si>
    <t>c. Wages/ Muster Roll</t>
  </si>
  <si>
    <t>a. Depreciation against FA</t>
  </si>
  <si>
    <t>c. Other Expenditure</t>
  </si>
  <si>
    <t>Total Expenditure</t>
  </si>
  <si>
    <t>Total Expected Revenue Incl Claims / VOs</t>
  </si>
  <si>
    <t>Total Expected Expenditure on Completion</t>
  </si>
  <si>
    <t>Net Profit / (Loss)</t>
  </si>
  <si>
    <t>Asset's Value</t>
  </si>
  <si>
    <t>Depreciation 
up to Date</t>
  </si>
  <si>
    <t>Depreciation 
Year to Date</t>
  </si>
  <si>
    <t>Running Total 
YTD</t>
  </si>
  <si>
    <t>Running Total up to Date</t>
  </si>
  <si>
    <t>Running Total Upto Date</t>
  </si>
  <si>
    <t>Running Total YTD</t>
  </si>
  <si>
    <t>Description of Work</t>
  </si>
  <si>
    <t>Consumed / Recovered</t>
  </si>
  <si>
    <t>Cost of Work Done during the month by Proj Con / Own WD</t>
  </si>
  <si>
    <t>Other Income against (MT, Lab &amp; Handling Charges)</t>
  </si>
  <si>
    <t xml:space="preserve">Contractor </t>
  </si>
  <si>
    <t>Anx 'A'</t>
  </si>
  <si>
    <t xml:space="preserve">a. Original Cost of Project as per Contract Agreement </t>
  </si>
  <si>
    <t>Total Work Done</t>
  </si>
  <si>
    <t>EPC's / Other Claims</t>
  </si>
  <si>
    <t xml:space="preserve">Approx cost of own works </t>
  </si>
  <si>
    <t xml:space="preserve">Date of approval </t>
  </si>
  <si>
    <t>Grand Total Expenditure (Work + Overhead)</t>
  </si>
  <si>
    <t>a. POL Exp</t>
  </si>
  <si>
    <t>v.</t>
  </si>
  <si>
    <t>Total Revenue (j+h)</t>
  </si>
  <si>
    <t>Net Profit %age</t>
  </si>
  <si>
    <t>Already Expended Amount Uptodate</t>
  </si>
  <si>
    <t>Work Done Uptodate</t>
  </si>
  <si>
    <t>Million</t>
  </si>
  <si>
    <t>M</t>
  </si>
  <si>
    <t>YTD</t>
  </si>
  <si>
    <t>As per Contract Cost</t>
  </si>
  <si>
    <t>Client / Consultant</t>
  </si>
  <si>
    <t xml:space="preserve">Revenue Claimed Expected </t>
  </si>
  <si>
    <t xml:space="preserve">Vetted Cost by Client </t>
  </si>
  <si>
    <t>During Month</t>
  </si>
  <si>
    <t>Update</t>
  </si>
  <si>
    <t>G.Total Amount in Million</t>
  </si>
  <si>
    <t xml:space="preserve">Based on vetted work done </t>
  </si>
  <si>
    <t xml:space="preserve">Based on Work Done </t>
  </si>
  <si>
    <t>Any Other Claims</t>
  </si>
  <si>
    <t xml:space="preserve">Cost of Work upto Previous Month Incl Escl </t>
  </si>
  <si>
    <t>NLC Cost</t>
  </si>
  <si>
    <t>Remarks of PM/PD :_</t>
  </si>
  <si>
    <t>,.</t>
  </si>
  <si>
    <t xml:space="preserve">Monthly Depreciation </t>
  </si>
  <si>
    <t xml:space="preserve">Accum Dep Adj </t>
  </si>
  <si>
    <t xml:space="preserve">Payable against Mob Adv received from Client </t>
  </si>
  <si>
    <t xml:space="preserve">(1) Planned Targets </t>
  </si>
  <si>
    <t xml:space="preserve">Start Date of Project </t>
  </si>
  <si>
    <t xml:space="preserve">Income tax payable </t>
  </si>
  <si>
    <t>Sec Adv Recovery</t>
  </si>
  <si>
    <t>Payable to contrs ( VWD)</t>
  </si>
  <si>
    <t xml:space="preserve">Payable against Un Vetted Work Done </t>
  </si>
  <si>
    <t>Secured Adv rel</t>
  </si>
  <si>
    <t xml:space="preserve"> Elect Recovery</t>
  </si>
  <si>
    <t xml:space="preserve">Balance </t>
  </si>
  <si>
    <t xml:space="preserve"> </t>
  </si>
  <si>
    <t xml:space="preserve">Material Recovery </t>
  </si>
  <si>
    <t>Against Contractor/Supplier</t>
  </si>
  <si>
    <t>Const Mat</t>
  </si>
  <si>
    <t>Income State (Based on Actual Profit Achieved)</t>
  </si>
  <si>
    <t>Uptodate</t>
  </si>
  <si>
    <t xml:space="preserve">Material Purchased </t>
  </si>
  <si>
    <t>Revised Cost (approx) Addl Work</t>
  </si>
  <si>
    <t>UPTO DATE WORK</t>
  </si>
  <si>
    <t>LIST OF ASSETS</t>
  </si>
  <si>
    <t>Planned</t>
  </si>
  <si>
    <t>Appx I to Anx "A"</t>
  </si>
  <si>
    <t>CA Amount (As per Ltr of Award)</t>
  </si>
  <si>
    <t xml:space="preserve">Revised CA Amount Addl Work </t>
  </si>
  <si>
    <t xml:space="preserve">Re-revise CA Amount </t>
  </si>
  <si>
    <t>Start Date (As per Ltr of Award)</t>
  </si>
  <si>
    <t>Completion Date (As per Ltr of Award)</t>
  </si>
  <si>
    <t>Progressive (Upto Date)</t>
  </si>
  <si>
    <t>Upto Date Progress %</t>
  </si>
  <si>
    <t>Achieved</t>
  </si>
  <si>
    <t>Const Mat &amp; EQPT</t>
  </si>
  <si>
    <t xml:space="preserve">   </t>
  </si>
  <si>
    <t>Mob Adv Part 1</t>
  </si>
  <si>
    <t xml:space="preserve">c. Date of Completion as per acutal site </t>
  </si>
  <si>
    <t>Total Qty Req (approx)</t>
  </si>
  <si>
    <t xml:space="preserve">Vetted Work Done </t>
  </si>
  <si>
    <t>Bill</t>
  </si>
  <si>
    <t>Steel</t>
  </si>
  <si>
    <t>Crush</t>
  </si>
  <si>
    <t>Contr</t>
  </si>
  <si>
    <t>Add 5% PST</t>
  </si>
  <si>
    <t>G Total (Rs inMillion)</t>
  </si>
  <si>
    <t>Date of Completion as per actual site.</t>
  </si>
  <si>
    <t>a. Hiring Charges / POL</t>
  </si>
  <si>
    <t>Engr Facility</t>
  </si>
  <si>
    <t>a. Labour Cost</t>
  </si>
  <si>
    <t>Over Head Exp</t>
  </si>
  <si>
    <t>Qty of POL Issued</t>
  </si>
  <si>
    <t>Total Cost of Work Done during the month by Proj Con / Hired Lab &amp; Petty Contrs (e+f) incl ESCL</t>
  </si>
  <si>
    <t>PST Deduction</t>
  </si>
  <si>
    <t>b. Depriciation</t>
  </si>
  <si>
    <t>Add PST 5%</t>
  </si>
  <si>
    <t>Note: CA are underprocess, nlc &amp; Sub Contractor Cost Might be change in future</t>
  </si>
  <si>
    <t>5% PST Deduction</t>
  </si>
  <si>
    <t>Note : Req Quantities might be change in future due to change in design and deletion / addition of works</t>
  </si>
  <si>
    <t xml:space="preserve">Gross Profit % </t>
  </si>
  <si>
    <t xml:space="preserve">Total EPC </t>
  </si>
  <si>
    <t>b. Revised Cost Est Cost ( Incl PSt 5% )</t>
  </si>
  <si>
    <t>PAYMENT DETAIL OF PETTY CONTRACTORS</t>
  </si>
  <si>
    <t>Income Tax 7%</t>
  </si>
  <si>
    <t>UTD</t>
  </si>
  <si>
    <t xml:space="preserve">Misc Site Expense </t>
  </si>
  <si>
    <t>Net Payments</t>
  </si>
  <si>
    <t>Recoveries (Sec Adv etc )</t>
  </si>
  <si>
    <t>Hiring Charges</t>
  </si>
  <si>
    <t>Depreciation of Operating Assets</t>
  </si>
  <si>
    <t>Proj Maint Cost Fund</t>
  </si>
  <si>
    <t>House Rent  Charges / Lab Test Fee</t>
  </si>
  <si>
    <t xml:space="preserve">Tn Charges / Loading/ Unloading </t>
  </si>
  <si>
    <t>Civ Personals/benefits</t>
  </si>
  <si>
    <t>NLC Employees Paybill</t>
  </si>
  <si>
    <t>Utilities</t>
  </si>
  <si>
    <t>Repair &amp; Maint (Cptr, Electric,Building and Genral)</t>
  </si>
  <si>
    <t>TA/DA Allowance</t>
  </si>
  <si>
    <t>Medical Charges</t>
  </si>
  <si>
    <t>Entertainment Exp</t>
  </si>
  <si>
    <t>Newspaper Exp</t>
  </si>
  <si>
    <t>Freight Charges</t>
  </si>
  <si>
    <t>HQ NLC Expenses</t>
  </si>
  <si>
    <t>HQ Engrs NLC Expenses</t>
  </si>
  <si>
    <t>Sub Contr's VWD</t>
  </si>
  <si>
    <t>Fee &amp; Subscription</t>
  </si>
  <si>
    <t>ICT Eqpts, Tools etc</t>
  </si>
  <si>
    <t xml:space="preserve">Total Cost of work done  excl Escl </t>
  </si>
  <si>
    <t>Slippage (q-r)</t>
  </si>
  <si>
    <t>Office Establishment Exp ( Deffered Cost )</t>
  </si>
  <si>
    <t>I. T@ 7% on WD after ded of POL and Mat Rec</t>
  </si>
  <si>
    <t>Local Purchase</t>
  </si>
  <si>
    <t>Bal Against VWD</t>
  </si>
  <si>
    <t>Bal Against UV WD</t>
  </si>
  <si>
    <t>Previous</t>
  </si>
  <si>
    <t>current</t>
  </si>
  <si>
    <t>Difference (Prev Liab - Current Liab</t>
  </si>
  <si>
    <t>Current - Difference</t>
  </si>
  <si>
    <t>Liability reduced - Anx-M</t>
  </si>
  <si>
    <t>I. Tax @ 7%</t>
  </si>
  <si>
    <t>RM</t>
  </si>
  <si>
    <t>Workdone NLC - Anx B</t>
  </si>
  <si>
    <t>Less Payment</t>
  </si>
  <si>
    <t>Provision @ 1%</t>
  </si>
  <si>
    <t>Material Recovery</t>
  </si>
  <si>
    <t>Exp upto last month</t>
  </si>
  <si>
    <t xml:space="preserve">Exp during the month </t>
  </si>
  <si>
    <t>Total Exp till to date  (m+n)</t>
  </si>
  <si>
    <t xml:space="preserve">NLC Own Vehicle </t>
  </si>
  <si>
    <t>895523 - Toyota Hilux D/C</t>
  </si>
  <si>
    <t>895525 - Toyota Hilux D/C</t>
  </si>
  <si>
    <t>LEG-1464 Dump Truck Renault</t>
  </si>
  <si>
    <t>E-457 Dozor Komatsu size 2</t>
  </si>
  <si>
    <t>7614 - TM ASTRA</t>
  </si>
  <si>
    <t>E - 655 Gen Set 225 KVA</t>
  </si>
  <si>
    <t>0 - Gen Set 2.5 KVA</t>
  </si>
  <si>
    <t xml:space="preserve">Hired Vehicle </t>
  </si>
  <si>
    <t xml:space="preserve">GBA - 128 Toyota D/C </t>
  </si>
  <si>
    <t>%</t>
  </si>
  <si>
    <t xml:space="preserve"> 882456  Toyota Hilux D/C</t>
  </si>
  <si>
    <t>Other Exp (Const Mat)</t>
  </si>
  <si>
    <t>Courier Charges</t>
  </si>
  <si>
    <t>Printing &amp; Stationery/Photocopies</t>
  </si>
  <si>
    <t>profit %</t>
  </si>
  <si>
    <t xml:space="preserve">Petty contract with out material </t>
  </si>
  <si>
    <t>Misc Exp</t>
  </si>
  <si>
    <t>E &amp; W Building Contractor</t>
  </si>
  <si>
    <t>Repair &amp; Maint (Vehicles)</t>
  </si>
  <si>
    <t>Tel / Mobile Exp/Internet</t>
  </si>
  <si>
    <t>Repair &amp; Maint (ICT )</t>
  </si>
  <si>
    <t>Store Consume</t>
  </si>
  <si>
    <t>Repair &amp; Maint (Furniture )</t>
  </si>
  <si>
    <t>Repair &amp; Maint (Batching Plant )</t>
  </si>
  <si>
    <t>Escalation clamied / Other Claims</t>
  </si>
  <si>
    <t>Al Makkah Generator Concern</t>
  </si>
  <si>
    <t>Muhammad Shahid</t>
  </si>
  <si>
    <t>Three Star Crane</t>
  </si>
  <si>
    <t>Shani Travels</t>
  </si>
  <si>
    <t>Baber Ali Baber</t>
  </si>
  <si>
    <t>Aswa Construction</t>
  </si>
  <si>
    <t>MAAKSON Engineering</t>
  </si>
  <si>
    <t>Saad Tours &amp; Rent A Car</t>
  </si>
  <si>
    <t>Computer Stationery</t>
  </si>
  <si>
    <t>Charge Off -  Electric Inst</t>
  </si>
  <si>
    <t>Repair &amp; Maint (Office Equipment )</t>
  </si>
  <si>
    <t>Repair/ Maint (Machinery-Grader etc)</t>
  </si>
  <si>
    <t>Charge Off -  Office Furniture</t>
  </si>
  <si>
    <t>Roof Grip Line Modified Bitumen</t>
  </si>
  <si>
    <t>Sft</t>
  </si>
  <si>
    <t>Diff</t>
  </si>
  <si>
    <t>Repair/ Maint (Batching Plant)</t>
  </si>
  <si>
    <t>Motor Grader 558934</t>
  </si>
  <si>
    <t xml:space="preserve">GAA - 878 Toyota D/C </t>
  </si>
  <si>
    <t xml:space="preserve">GBA - 105 Isuzu Pickup  </t>
  </si>
  <si>
    <t>194 - Gen Set 3 KVA (Petrol)</t>
  </si>
  <si>
    <t>GAA - 2418 Motorcycle Honda CG 125 (Petrol)</t>
  </si>
  <si>
    <t>GAA - 2419 Motorcycle Honda CG 125 (Petrol)</t>
  </si>
  <si>
    <t xml:space="preserve">E-659  Gen Set 25 KVA (Tranf from Salam Sargodha) </t>
  </si>
  <si>
    <t xml:space="preserve">E-659  Gen Set 25 KVA (Tranf from Salam Sargodha as on 27.6.2022) </t>
  </si>
  <si>
    <t>27.06.2022</t>
  </si>
  <si>
    <t>Prev</t>
  </si>
  <si>
    <t>ASWA Construction</t>
  </si>
  <si>
    <t>Muhammad Shahbaz</t>
  </si>
  <si>
    <t>Land Cruiser  (AEC-242) V8 Model 2012 (HOBC)</t>
  </si>
  <si>
    <t xml:space="preserve">POL </t>
  </si>
  <si>
    <t>Sand Larancepur</t>
  </si>
  <si>
    <t>Av Rate</t>
  </si>
  <si>
    <t>Basra</t>
  </si>
  <si>
    <t>Sand Chenab</t>
  </si>
  <si>
    <t>Ultra Chemical</t>
  </si>
  <si>
    <t>GST</t>
  </si>
  <si>
    <t>Repair &amp; Maint (Generator)</t>
  </si>
  <si>
    <t>Token Tax of Vehicles</t>
  </si>
  <si>
    <t>Profit Margin</t>
  </si>
  <si>
    <t>Office Contigencies (342 Aug)</t>
  </si>
  <si>
    <t>Conc Pump - 4665</t>
  </si>
  <si>
    <t xml:space="preserve">PMU NLC INFRA DEV WORKS at Chahar Bagh (RUDA ) </t>
  </si>
  <si>
    <t>RUDA /NESPAK</t>
  </si>
  <si>
    <t xml:space="preserve">Total Cost incl Pst 5% </t>
  </si>
  <si>
    <t xml:space="preserve">Earth Work &amp; Allied Activities </t>
  </si>
  <si>
    <t>Sub base Course</t>
  </si>
  <si>
    <t>Surface Course and pavement</t>
  </si>
  <si>
    <t xml:space="preserve">Drainage &amp; Erosion  Work </t>
  </si>
  <si>
    <t>Ancillary Work</t>
  </si>
  <si>
    <t xml:space="preserve">Sewerage Work </t>
  </si>
  <si>
    <t>O/H Water Tank</t>
  </si>
  <si>
    <t>Water Supply</t>
  </si>
  <si>
    <t xml:space="preserve">Tube well </t>
  </si>
  <si>
    <t>Bdry Wall</t>
  </si>
  <si>
    <t>Entry Gate</t>
  </si>
  <si>
    <t>INFRASTRUCTURAL DEVELOPMENT WORKS AT CHAHAR BAGH (RUDA) LAHORE</t>
  </si>
  <si>
    <r>
      <rPr>
        <b/>
        <sz val="11"/>
        <rFont val="Arial"/>
        <family val="2"/>
      </rPr>
      <t>Employer:</t>
    </r>
    <r>
      <rPr>
        <sz val="11"/>
        <rFont val="Arial"/>
        <family val="2"/>
      </rPr>
      <t xml:space="preserve"> RAVI URBAN DEVELOPMENT ATHORITY (RUDA) AT CHAHAR BAGH</t>
    </r>
  </si>
  <si>
    <t xml:space="preserve">Main Summary  </t>
  </si>
  <si>
    <r>
      <rPr>
        <b/>
        <sz val="12"/>
        <rFont val="Arial"/>
        <family val="2"/>
      </rPr>
      <t xml:space="preserve">Consultant: </t>
    </r>
    <r>
      <rPr>
        <sz val="12"/>
        <rFont val="Arial"/>
        <family val="2"/>
      </rPr>
      <t>M/S National Engineering Services Pakistan</t>
    </r>
  </si>
  <si>
    <t>Month of November Work Done</t>
  </si>
  <si>
    <r>
      <rPr>
        <b/>
        <sz val="12"/>
        <rFont val="Arial"/>
        <family val="2"/>
      </rPr>
      <t xml:space="preserve">Contractor: </t>
    </r>
    <r>
      <rPr>
        <sz val="12"/>
        <rFont val="Arial"/>
        <family val="2"/>
      </rPr>
      <t>National Logistic Cell (NLC)</t>
    </r>
  </si>
  <si>
    <t>BILL NO. 1:   EARTH WORK AND ALLIED ACTIVITIES</t>
  </si>
  <si>
    <t>Pay Item No.</t>
  </si>
  <si>
    <t>Quantity</t>
  </si>
  <si>
    <t xml:space="preserve">Original BOQ </t>
  </si>
  <si>
    <t>Total To Date</t>
  </si>
  <si>
    <t>%age Completed Todate</t>
  </si>
  <si>
    <t>Rate</t>
  </si>
  <si>
    <t>Amount
(Rs.)</t>
  </si>
  <si>
    <t xml:space="preserve">Quantity </t>
  </si>
  <si>
    <t>Clearing, Grubbing with Stripping. Removal and Disposal of Unsuitable &amp; Surplus material from the project area including all lead &amp; lift.</t>
  </si>
  <si>
    <t>CM</t>
  </si>
  <si>
    <t xml:space="preserve">Peparation of natural ground by Compaction of earthwork with power road roller, including ploughing, mixing, moistening earth to optimum moisture content in layers, etc. complete 6 inches </t>
  </si>
  <si>
    <t>With 90% minimum compaction of modified AASHTO dry Density</t>
  </si>
  <si>
    <t>Making Embankment With Borrow  in ordinary soil for embankments lead upto 100 ft. (30 m), including ploughing and mixing with blade grade or disc harrow or other suitable equipment, and compaction by mechanical means at optimum moisture content and dressing to designed section, complete in all respects:-</t>
  </si>
  <si>
    <t>With 90% Compaction of AASHTO dry density.</t>
  </si>
  <si>
    <t>Total of Bill 1 - Carried to Summary</t>
  </si>
  <si>
    <t xml:space="preserve">Borrow Material </t>
  </si>
  <si>
    <t xml:space="preserve">Cft </t>
  </si>
  <si>
    <t>office estb exp</t>
  </si>
  <si>
    <t xml:space="preserve">Payment Detail </t>
  </si>
  <si>
    <t xml:space="preserve">Payable against Hiring Charges </t>
  </si>
  <si>
    <t xml:space="preserve">Mob Adv (5%)        Chq </t>
  </si>
  <si>
    <t>POL ( Diesel Adm Veh )</t>
  </si>
  <si>
    <t>Water Bowzer</t>
  </si>
  <si>
    <t>Already paid amount</t>
  </si>
  <si>
    <t>Office Eqpts / ICT etc</t>
  </si>
  <si>
    <t xml:space="preserve">IT Eqpts </t>
  </si>
  <si>
    <t>Repair &amp; Maint ( Building Container )</t>
  </si>
  <si>
    <t>Furniture</t>
  </si>
  <si>
    <t xml:space="preserve">Computures &amp; IT Eqpts </t>
  </si>
  <si>
    <t>Monetary Awards</t>
  </si>
  <si>
    <t>Toyota Revo Double Cabin 4x4 GBB-031</t>
  </si>
  <si>
    <t>Toyota Hilux Single Cabin 2021 GBA-062</t>
  </si>
  <si>
    <t>Toyota Hilux Single Cabin 2007 895310</t>
  </si>
  <si>
    <t>Issuzu Truck GBA-753</t>
  </si>
  <si>
    <t>Grader E558</t>
  </si>
  <si>
    <t>Grader New from Karachi</t>
  </si>
  <si>
    <t>Plain Roller E636</t>
  </si>
  <si>
    <t>Motor Cycle GAA-4177</t>
  </si>
  <si>
    <t>Motor Cycle GAA-4178</t>
  </si>
  <si>
    <t>Motor Cycle GAA-4179</t>
  </si>
  <si>
    <t>Photostate Machine</t>
  </si>
  <si>
    <t>Porta cabin with AC &amp; Water Tank</t>
  </si>
  <si>
    <t xml:space="preserve">Client / Consultant misc expense </t>
  </si>
  <si>
    <t>Client / Consultant ( Expense ) (POL Expense )</t>
  </si>
  <si>
    <t xml:space="preserve">Lab Eqpts </t>
  </si>
  <si>
    <t xml:space="preserve">Svy Eqpts </t>
  </si>
  <si>
    <t>Mob Adv Part 2</t>
  </si>
  <si>
    <t>IPC No. 3 (Incl PST)</t>
  </si>
  <si>
    <t>M/s Muhammad Rafique Contractor (MRC)</t>
  </si>
  <si>
    <t>Earth Work</t>
  </si>
  <si>
    <t>Porta cabin 10x20 with AC 1 Ton</t>
  </si>
  <si>
    <t>Porta cabin with AC 1.5 Ton</t>
  </si>
  <si>
    <t>Porta cabin with Wash Room 10x20</t>
  </si>
  <si>
    <t>Porta cabin with AC-1.5 Ton &amp; Wash Room</t>
  </si>
  <si>
    <t>Porta cabin with AC-1.5 Ton 10x20</t>
  </si>
  <si>
    <t>c. Total Funds Received from Client incl mob adv</t>
  </si>
  <si>
    <t>b. Office Estb</t>
  </si>
  <si>
    <t>d. PST 5%</t>
  </si>
  <si>
    <t>e. Proj Maint cost</t>
  </si>
  <si>
    <t>IPC # 3 Chq</t>
  </si>
  <si>
    <t>ASTM 615, Gr-60 #3 (10mm)</t>
  </si>
  <si>
    <t>Ton</t>
  </si>
  <si>
    <t>Crush all size</t>
  </si>
  <si>
    <t>Insurance Exp</t>
  </si>
  <si>
    <t>RCC Pipes 8"x18"</t>
  </si>
  <si>
    <t>Nos</t>
  </si>
  <si>
    <t>RCC Pipes 8"x12"</t>
  </si>
  <si>
    <t>RCC Pipes 8"x9"</t>
  </si>
  <si>
    <t>RCC Pipes 8"x15"</t>
  </si>
  <si>
    <t>RCC Pipes 8"x21"</t>
  </si>
  <si>
    <t>RCC Pipes 8"x24"</t>
  </si>
  <si>
    <t>Cement</t>
  </si>
  <si>
    <t>Sand Lawrancpur</t>
  </si>
  <si>
    <t>Sand Ravi</t>
  </si>
  <si>
    <t>1st Class Bricks</t>
  </si>
  <si>
    <t>Dry Rammed Bricks</t>
  </si>
  <si>
    <t>Rec Coat 678 SE</t>
  </si>
  <si>
    <t>Bitumen Gde 800</t>
  </si>
  <si>
    <t>Kg</t>
  </si>
  <si>
    <t>Water Stopper</t>
  </si>
  <si>
    <t>Rft</t>
  </si>
  <si>
    <t>Rec Plast SP 42</t>
  </si>
  <si>
    <t>Welfare / Distress Gt NLC Emp</t>
  </si>
  <si>
    <t>IPC No. 4 (Incl PST)</t>
  </si>
  <si>
    <t>Main Hole Cast Iron Rungs</t>
  </si>
  <si>
    <t>145824 &amp; 146749</t>
  </si>
  <si>
    <t>21-03-2023 &amp; 31-03-2023</t>
  </si>
  <si>
    <t>Total Cost of Work Done till to date (d+e)</t>
  </si>
  <si>
    <t xml:space="preserve">M/s Focus Engg </t>
  </si>
  <si>
    <t>M/s Bhatti Associates</t>
  </si>
  <si>
    <t>Bndry Wall</t>
  </si>
  <si>
    <t>IPC No. 5 (Incl PST)</t>
  </si>
  <si>
    <t>IPC # 4 Chq</t>
  </si>
  <si>
    <t>Repair / Maint site</t>
  </si>
  <si>
    <t xml:space="preserve">M/s Bhatti Associates </t>
  </si>
  <si>
    <t>C/2022/P0460/chaharbagh schemeLhr-petty-6</t>
  </si>
  <si>
    <t>C/2022/P0460/chaharbagh schemeLhr-petty-14</t>
  </si>
  <si>
    <t>C/2022/P0460/chaharbagh schemeLhr-petty-15</t>
  </si>
  <si>
    <t>C/2022/P0460/chahar bagh schemeLhr petty-16</t>
  </si>
  <si>
    <t xml:space="preserve">Focus Engg Svcs </t>
  </si>
  <si>
    <t>Petty -13</t>
  </si>
  <si>
    <t>M/s Zaid Waqas Engg &amp; Trading</t>
  </si>
  <si>
    <t>Sub Base</t>
  </si>
  <si>
    <t>Curing Compound</t>
  </si>
  <si>
    <t>ASTM 615, Gr-60 #4 (12mm)</t>
  </si>
  <si>
    <t>ASTM 615, Gr-60 #5</t>
  </si>
  <si>
    <t>ASTM 615, Gr-60 #6</t>
  </si>
  <si>
    <t>M/s Z.K Builders</t>
  </si>
  <si>
    <t>IPC#5 Chq</t>
  </si>
  <si>
    <t>Transformer 200KVA</t>
  </si>
  <si>
    <t>IPC No. 6 (Incl PST)</t>
  </si>
  <si>
    <t>IPC No. 7 (Incl PST)</t>
  </si>
  <si>
    <t>OWHT 1,2 &amp; 4</t>
  </si>
  <si>
    <t>Fast Grout</t>
  </si>
  <si>
    <t>Stone Aggregate</t>
  </si>
  <si>
    <t>CA No. C/2022/P0460/Chaharbagh SchemeLhr-Petty-4</t>
  </si>
  <si>
    <t>C/2022/P0460/chahar bagh schemeLhr petty-17</t>
  </si>
  <si>
    <t>2x AC 1 Ton</t>
  </si>
  <si>
    <t>Vibrator Engine</t>
  </si>
  <si>
    <t>Sports Events</t>
  </si>
  <si>
    <t>IPC#6 Chq</t>
  </si>
  <si>
    <t xml:space="preserve">Other Income incl sale of concrete to private contr for Rs 2.346 Million </t>
  </si>
  <si>
    <r>
      <t>C/2022/P0460/Chaharbagh Sch Lhr-</t>
    </r>
    <r>
      <rPr>
        <sz val="10"/>
        <color rgb="FFFF0000"/>
        <rFont val="Arial"/>
        <family val="2"/>
      </rPr>
      <t>Petty-14</t>
    </r>
    <r>
      <rPr>
        <sz val="10"/>
        <rFont val="Arial"/>
        <family val="2"/>
      </rPr>
      <t xml:space="preserve"> (Const of Rd St No. 4,5,6)</t>
    </r>
  </si>
  <si>
    <r>
      <t>C/2022/P0460/Chaharbagh Sch Lhr-</t>
    </r>
    <r>
      <rPr>
        <sz val="10"/>
        <color rgb="FFFF0000"/>
        <rFont val="Arial"/>
        <family val="2"/>
      </rPr>
      <t>Petty-15</t>
    </r>
    <r>
      <rPr>
        <sz val="10"/>
        <rFont val="Arial"/>
        <family val="2"/>
      </rPr>
      <t xml:space="preserve"> (Const of Rd St No. 7,8,9)</t>
    </r>
  </si>
  <si>
    <r>
      <t>C/2022/P0460/Chaharbagh Sch Lhr-</t>
    </r>
    <r>
      <rPr>
        <sz val="10"/>
        <color rgb="FFFF0000"/>
        <rFont val="Arial"/>
        <family val="2"/>
      </rPr>
      <t>Petty-16</t>
    </r>
    <r>
      <rPr>
        <sz val="10"/>
        <rFont val="Arial"/>
        <family val="2"/>
      </rPr>
      <t xml:space="preserve"> (Const of Rd Pkg-1 St No. B-3)</t>
    </r>
  </si>
  <si>
    <r>
      <t>C/2022/P0460/Chahar Bagh/Lhr/</t>
    </r>
    <r>
      <rPr>
        <sz val="10"/>
        <color rgb="FFFF0000"/>
        <rFont val="Arial"/>
        <family val="2"/>
      </rPr>
      <t>Petty-13</t>
    </r>
  </si>
  <si>
    <r>
      <t>C/2022/P0460/Chahar Bagh/Lhr/</t>
    </r>
    <r>
      <rPr>
        <sz val="10"/>
        <color rgb="FFFF0000"/>
        <rFont val="Arial"/>
        <family val="2"/>
      </rPr>
      <t>Petty-6</t>
    </r>
  </si>
  <si>
    <r>
      <t>C/2022/P0460/Chahar Bagh/Lhr/</t>
    </r>
    <r>
      <rPr>
        <sz val="10"/>
        <color rgb="FFFF0000"/>
        <rFont val="Arial"/>
        <family val="2"/>
      </rPr>
      <t>Petty-5</t>
    </r>
    <r>
      <rPr>
        <sz val="10"/>
        <rFont val="Arial"/>
        <family val="2"/>
      </rPr>
      <t xml:space="preserve"> (Const of Bdry / Wall Pkg-1 L=5267 Ft</t>
    </r>
  </si>
  <si>
    <r>
      <t>C/2022/P0460/Chaharbagh Sch Lhr-</t>
    </r>
    <r>
      <rPr>
        <sz val="10"/>
        <color rgb="FFFF0000"/>
        <rFont val="Arial"/>
        <family val="2"/>
      </rPr>
      <t>Petty-4</t>
    </r>
    <r>
      <rPr>
        <sz val="10"/>
        <rFont val="Arial"/>
        <family val="2"/>
      </rPr>
      <t xml:space="preserve"> (Const of Rd </t>
    </r>
    <r>
      <rPr>
        <sz val="10"/>
        <color theme="1"/>
        <rFont val="Arial"/>
        <family val="2"/>
      </rPr>
      <t>Pkg -1</t>
    </r>
    <r>
      <rPr>
        <sz val="10"/>
        <rFont val="Arial"/>
        <family val="2"/>
      </rPr>
      <t xml:space="preserve"> St No. 11,12,13,14,15,16)</t>
    </r>
  </si>
  <si>
    <r>
      <t>C/2022/P0460/Chaharbagh Sch Lhr-</t>
    </r>
    <r>
      <rPr>
        <sz val="10"/>
        <color rgb="FFFF0000"/>
        <rFont val="Arial"/>
        <family val="2"/>
      </rPr>
      <t>Petty-17</t>
    </r>
    <r>
      <rPr>
        <sz val="10"/>
        <rFont val="Arial"/>
        <family val="2"/>
      </rPr>
      <t xml:space="preserve"> (Const of Rd </t>
    </r>
    <r>
      <rPr>
        <sz val="10"/>
        <color theme="1"/>
        <rFont val="Arial"/>
        <family val="2"/>
      </rPr>
      <t>Pkg-2</t>
    </r>
    <r>
      <rPr>
        <sz val="10"/>
        <rFont val="Arial"/>
        <family val="2"/>
      </rPr>
      <t xml:space="preserve"> St No. 11,12,13,14,15,16)</t>
    </r>
  </si>
  <si>
    <r>
      <t>C/2022/P0460/Chaharbagh Sch Lhr-</t>
    </r>
    <r>
      <rPr>
        <sz val="10"/>
        <color rgb="FFFF0000"/>
        <rFont val="Arial"/>
        <family val="2"/>
      </rPr>
      <t>Petty-19</t>
    </r>
    <r>
      <rPr>
        <sz val="10"/>
        <rFont val="Arial"/>
        <family val="2"/>
      </rPr>
      <t xml:space="preserve"> (Const of Rd </t>
    </r>
    <r>
      <rPr>
        <sz val="10"/>
        <color theme="1"/>
        <rFont val="Arial"/>
        <family val="2"/>
      </rPr>
      <t>Pkg-2</t>
    </r>
    <r>
      <rPr>
        <sz val="10"/>
        <rFont val="Arial"/>
        <family val="2"/>
      </rPr>
      <t xml:space="preserve"> St No. 11,12,13,14,15,16)</t>
    </r>
  </si>
  <si>
    <t>C/2022/P0460/Chaharbagh Sch-Lhr-01</t>
  </si>
  <si>
    <t>IPC No. 8 (Incl PST)</t>
  </si>
  <si>
    <t>EPC-01 Upto IPC-7</t>
  </si>
  <si>
    <t>Stone Dust</t>
  </si>
  <si>
    <t>Water Bound</t>
  </si>
  <si>
    <t>HDPE Pipe 90mm PN-10</t>
  </si>
  <si>
    <t>HDPE Pipe 125mm PN-10</t>
  </si>
  <si>
    <t>HDPE Pipe 180mm PN-10</t>
  </si>
  <si>
    <t>HDPE Pipe 250mm PN-10</t>
  </si>
  <si>
    <t>HDPE Pipe 315mm PN-10</t>
  </si>
  <si>
    <t>HDPE Pipe 355mm PN-10</t>
  </si>
  <si>
    <t>HDPE Pipe 160mm PN-6</t>
  </si>
  <si>
    <t>UPVC Lasani Pipe 8"</t>
  </si>
  <si>
    <t>UPVC Lasani Pipe 4"</t>
  </si>
  <si>
    <t>Hair AC 1.5 Ton</t>
  </si>
  <si>
    <t>Expanplast Sp-42</t>
  </si>
  <si>
    <t>Mtr</t>
  </si>
  <si>
    <t>IPC#7 Chq</t>
  </si>
  <si>
    <t>Profit</t>
  </si>
  <si>
    <t>cost %</t>
  </si>
  <si>
    <t>Petty contractor ( batching plant )</t>
  </si>
  <si>
    <t>Contr Cost</t>
  </si>
  <si>
    <t>P&amp;Loss Working</t>
  </si>
  <si>
    <t>WD</t>
  </si>
  <si>
    <t>Escl etc</t>
  </si>
  <si>
    <t>Total Revenue</t>
  </si>
  <si>
    <t>a</t>
  </si>
  <si>
    <t>b</t>
  </si>
  <si>
    <t>a+b</t>
  </si>
  <si>
    <t>c</t>
  </si>
  <si>
    <t>e</t>
  </si>
  <si>
    <t>d</t>
  </si>
  <si>
    <t>f</t>
  </si>
  <si>
    <t>g</t>
  </si>
  <si>
    <t xml:space="preserve">h </t>
  </si>
  <si>
    <t>j</t>
  </si>
  <si>
    <t>MMR</t>
  </si>
  <si>
    <t>NLC Self Execution Work</t>
  </si>
  <si>
    <t>Contr Exp</t>
  </si>
  <si>
    <t>NLC Profit</t>
  </si>
  <si>
    <t>addl claim</t>
  </si>
  <si>
    <t xml:space="preserve">other income </t>
  </si>
  <si>
    <r>
      <t>C/2022/P0460/Chaharbagh Sch Lhr-</t>
    </r>
    <r>
      <rPr>
        <sz val="10"/>
        <color rgb="FFFF0000"/>
        <rFont val="Arial"/>
        <family val="2"/>
      </rPr>
      <t>Petty-21</t>
    </r>
  </si>
  <si>
    <t>2nd Class Bricks</t>
  </si>
  <si>
    <t>Received from Other Proj</t>
  </si>
  <si>
    <t>Tfr to Other Proj</t>
  </si>
  <si>
    <t>ASTM 615, Gr-60 #8</t>
  </si>
  <si>
    <t>C/2022/P0460/chahar bagh schemeLhr petty-19</t>
  </si>
  <si>
    <t>C/2022/P0460/chahar bagh schemeLhr petty-21</t>
  </si>
  <si>
    <t>C/2022/P0460/Chaharbagh Sch-Lhr-02</t>
  </si>
  <si>
    <t>EPC's</t>
  </si>
  <si>
    <t>PMU NLC Chahar Bagh LHR</t>
  </si>
  <si>
    <t>Anx "O"</t>
  </si>
  <si>
    <t>DETAIL OF MT,LAB AND HANDLING CHARGES RECOVERIES</t>
  </si>
  <si>
    <t xml:space="preserve">Amount in Rs </t>
  </si>
  <si>
    <t>Total up to Date</t>
  </si>
  <si>
    <t xml:space="preserve">Plant &amp; Machinery Hiring Income </t>
  </si>
  <si>
    <t>Bank Profit</t>
  </si>
  <si>
    <t xml:space="preserve">Veh on payment </t>
  </si>
  <si>
    <t>Temp work claim</t>
  </si>
  <si>
    <t>a)</t>
  </si>
  <si>
    <t>b)</t>
  </si>
  <si>
    <t>c)</t>
  </si>
  <si>
    <t>d)</t>
  </si>
  <si>
    <t>e)</t>
  </si>
  <si>
    <t>f)</t>
  </si>
  <si>
    <t>Concrete Sale</t>
  </si>
  <si>
    <t>IPC No. 9 (Incl PST)</t>
  </si>
  <si>
    <t>IPC#8 Chq</t>
  </si>
  <si>
    <t>EPC-02 Upto IPC-9</t>
  </si>
  <si>
    <t>Insurance</t>
  </si>
  <si>
    <t>Main Hole CI Rings</t>
  </si>
  <si>
    <t>Hair LCD 65"</t>
  </si>
  <si>
    <t>Non BOQ items</t>
  </si>
  <si>
    <t>Muster Roll ( Non BOQ items )</t>
  </si>
  <si>
    <t>OWHT 5</t>
  </si>
  <si>
    <t>OWHT 3</t>
  </si>
  <si>
    <t>C/2022/P0460/Chaharbagh Sch-Lhr-Petty-23</t>
  </si>
  <si>
    <t>165273 &amp; 165301</t>
  </si>
  <si>
    <t>28/11/2023 &amp; 29-11-2023</t>
  </si>
  <si>
    <t>POL ( bikes petrol, Vib, )</t>
  </si>
  <si>
    <r>
      <t>C/2022/P0460/Chaharbagh Sch Lhr-</t>
    </r>
    <r>
      <rPr>
        <sz val="10"/>
        <color rgb="FFFF0000"/>
        <rFont val="Arial"/>
        <family val="2"/>
      </rPr>
      <t>Petty-27</t>
    </r>
  </si>
  <si>
    <t>EPC (Upto IPC-09)</t>
  </si>
  <si>
    <t>PST 5%</t>
  </si>
  <si>
    <t>IPC No. 10 (Incl PST)</t>
  </si>
  <si>
    <t>EPC-03 Upto IPC-10</t>
  </si>
  <si>
    <t>IPC#9 Chq</t>
  </si>
  <si>
    <t>Concrete Column, Planks</t>
  </si>
  <si>
    <t>Ultra Acc 727</t>
  </si>
  <si>
    <r>
      <t>C/2022/P0460/Chahar Bagh/Lhr/</t>
    </r>
    <r>
      <rPr>
        <sz val="10"/>
        <color rgb="FFFF0000"/>
        <rFont val="Arial"/>
        <family val="2"/>
      </rPr>
      <t>Petty-25</t>
    </r>
    <r>
      <rPr>
        <sz val="10"/>
        <rFont val="Arial"/>
        <family val="2"/>
      </rPr>
      <t xml:space="preserve"> (Const of Bdry / Wall </t>
    </r>
  </si>
  <si>
    <t>IPC No. 11 (Incl PST)</t>
  </si>
  <si>
    <t>C/2022/P0460/chahar bagh schemeLhr petty-27</t>
  </si>
  <si>
    <t>168948 &amp; 169052</t>
  </si>
  <si>
    <t>08/01/2024 &amp; 11-01-2024</t>
  </si>
  <si>
    <t xml:space="preserve">C/2022/P0460/Chahar Bagh/Lhr/Petty-25 (Const of Bdry / Wall </t>
  </si>
  <si>
    <t>169096 &amp; 169827</t>
  </si>
  <si>
    <t>12/01/2024 &amp; 19-01-2024</t>
  </si>
  <si>
    <t>High Octagonal Arm Pole</t>
  </si>
  <si>
    <t>IPC#10 Chq</t>
  </si>
  <si>
    <r>
      <t>C/2022/P0460/Chahar Bagh/Lhr/</t>
    </r>
    <r>
      <rPr>
        <sz val="10"/>
        <color rgb="FFFF0000"/>
        <rFont val="Arial"/>
        <family val="2"/>
      </rPr>
      <t>Petty-24</t>
    </r>
    <r>
      <rPr>
        <sz val="10"/>
        <rFont val="Arial"/>
        <family val="2"/>
      </rPr>
      <t xml:space="preserve"> (Const of Sewerage</t>
    </r>
  </si>
  <si>
    <t>M/s Al-Hafiz Management Works</t>
  </si>
  <si>
    <t>Sewerage</t>
  </si>
  <si>
    <t>Rec Flex PV-425</t>
  </si>
  <si>
    <t>Tube</t>
  </si>
  <si>
    <t>Binding Wire</t>
  </si>
  <si>
    <t>20-11-23</t>
  </si>
  <si>
    <t>18-01-24</t>
  </si>
  <si>
    <t>M/s Ejaz &amp; Co</t>
  </si>
  <si>
    <t>IPC#11 Chq</t>
  </si>
  <si>
    <t>M/s Integration Builders and Enterprises</t>
  </si>
  <si>
    <t>C/2022/P0460/Chahar Bagh Sch-Lhr-Petty-28</t>
  </si>
  <si>
    <t>C/2022/P0460/Chahar Bagh Sch-Lhr-Petty-26</t>
  </si>
  <si>
    <t>C/2022/P0460/Chahar Bagh Sch-Lhr-Petty-29</t>
  </si>
  <si>
    <t>M/s The Muhandis</t>
  </si>
  <si>
    <t>Final</t>
  </si>
  <si>
    <t>Earnest Money 2%</t>
  </si>
  <si>
    <t>159725</t>
  </si>
  <si>
    <t>171886,171943 &amp; 172065</t>
  </si>
  <si>
    <t>29/02/2024 &amp; 05-03-2024 &amp; 14-03-2024</t>
  </si>
  <si>
    <t>172019 &amp; 172166</t>
  </si>
  <si>
    <t>12/03/2024 &amp; 20-03-2024</t>
  </si>
  <si>
    <t xml:space="preserve">Earnest Money </t>
  </si>
  <si>
    <t>Earnest Money</t>
  </si>
  <si>
    <t>RCC Pipes 8"x30"</t>
  </si>
  <si>
    <t>Jumping Compactor Machine</t>
  </si>
  <si>
    <t>Weigh Bridge Charges</t>
  </si>
  <si>
    <t>TOTAL Without PST</t>
  </si>
  <si>
    <t>TOTAL with PST</t>
  </si>
  <si>
    <t>IPC No. 12 (Incl PST)</t>
  </si>
  <si>
    <t>EPC Upto IPC-12</t>
  </si>
  <si>
    <t>BOQ Items</t>
  </si>
  <si>
    <t>3% Handling Charges</t>
  </si>
  <si>
    <t>Asphalt Cost ( NLC + RBS )</t>
  </si>
  <si>
    <t>RCC Pipes 8"x36"</t>
  </si>
  <si>
    <t xml:space="preserve">Paid to project </t>
  </si>
  <si>
    <t xml:space="preserve">Cen payments </t>
  </si>
  <si>
    <t xml:space="preserve">tax </t>
  </si>
  <si>
    <t>pol</t>
  </si>
  <si>
    <t>pay&amp; Allces</t>
  </si>
  <si>
    <t>Provision for PST  accrued ( exp )</t>
  </si>
  <si>
    <t xml:space="preserve">Total Expenes </t>
  </si>
  <si>
    <t>payable ( Add )</t>
  </si>
  <si>
    <t>Less Exp</t>
  </si>
  <si>
    <t>Less Invetory of proj</t>
  </si>
  <si>
    <t xml:space="preserve">ch # </t>
  </si>
  <si>
    <t>Fiber Glass Pipe Dia 10'' 6.35 MM Thickness Filter</t>
  </si>
  <si>
    <t>Fiber Glass Pipe Dia 10'' 6.35 MM Thickness BailPlug</t>
  </si>
  <si>
    <t>Fiber Glass Pipe Dia 10'' 6.35 MM Thickness Blind</t>
  </si>
  <si>
    <t>MS Nipple Dia'' 10''</t>
  </si>
  <si>
    <t>Ms Well Cap Dia 18''</t>
  </si>
  <si>
    <t>C/2022/P0460/Chaharbagh Sch-Lhr-Petty-32</t>
  </si>
  <si>
    <t>RBS</t>
  </si>
  <si>
    <t>Asphalt</t>
  </si>
  <si>
    <t>Asphat Base course</t>
  </si>
  <si>
    <t>TOn</t>
  </si>
  <si>
    <t>176301&amp;176357</t>
  </si>
  <si>
    <t>09May24-15May24</t>
  </si>
  <si>
    <t>IPC No. 13 (Incl PST)</t>
  </si>
  <si>
    <t>EPC Upto IPC-14</t>
  </si>
  <si>
    <t>IPC No. 14 (Incl PST)</t>
  </si>
  <si>
    <t>Muster Roll</t>
  </si>
  <si>
    <t>Recoupment</t>
  </si>
  <si>
    <t>C/2022/P0460/Chaharbagh Sch-Lhr-Petty-33</t>
  </si>
  <si>
    <t>C/2022/P0460/Chaharbagh Sch-Lhr-Petty-35</t>
  </si>
  <si>
    <t>C/2022/P0460/Chaharbagh Sch-Lhr-Petty-36</t>
  </si>
  <si>
    <t>M/s Junaid Sindhu</t>
  </si>
  <si>
    <t>Sub Base &amp; base Course</t>
  </si>
  <si>
    <t>IPC No.15(Incl PST)</t>
  </si>
  <si>
    <t>Wages/ Muster Roll / Labour Muster Roll/Asphalt</t>
  </si>
  <si>
    <t>ASTM 615, Gr-60 #10</t>
  </si>
  <si>
    <t>ASTM 615, Gr-60 #11</t>
  </si>
  <si>
    <t>Income Tax</t>
  </si>
  <si>
    <t>12+2+7</t>
  </si>
  <si>
    <t xml:space="preserve">d. Total Funds Released to Project </t>
  </si>
  <si>
    <t>HDPE Pipe 50mm</t>
  </si>
  <si>
    <t xml:space="preserve">Provision for PST </t>
  </si>
  <si>
    <t>Proj Name</t>
  </si>
  <si>
    <t>Tax Amount</t>
  </si>
  <si>
    <t>h</t>
  </si>
  <si>
    <t>I=g+h</t>
  </si>
  <si>
    <t>J=I*7.5%</t>
  </si>
  <si>
    <t>Exeucted W.D Jul to Oct-24</t>
  </si>
  <si>
    <t xml:space="preserve">PMU Chahar Bagh Project </t>
  </si>
  <si>
    <t>Chahar Bagh</t>
  </si>
  <si>
    <t>Un-Vetted W.D ( Jun 24 )</t>
  </si>
  <si>
    <t>VWD Receivable( Jun 24)</t>
  </si>
  <si>
    <t>Net Profit (Million) before tax</t>
  </si>
  <si>
    <t xml:space="preserve">Tax on Revenue 7.5% </t>
  </si>
  <si>
    <t>IPC No.16(Incl PST)</t>
  </si>
  <si>
    <t xml:space="preserve">PST </t>
  </si>
  <si>
    <t>Variation</t>
  </si>
  <si>
    <t>PST</t>
  </si>
  <si>
    <t>Salaries</t>
  </si>
  <si>
    <t xml:space="preserve">Soil Reversal </t>
  </si>
  <si>
    <t>Cement Reversal</t>
  </si>
  <si>
    <t>C/2022/P0460/Chaharbagh Sch-Lhr-Petty-44</t>
  </si>
  <si>
    <t>C/2022/P0460/Chaharbagh Sch-Lhr-Petty-45</t>
  </si>
  <si>
    <t>C/2022/P0460/Chaharbagh Sch-Lhr-Petty-43</t>
  </si>
  <si>
    <t>Ms Ali Engineering</t>
  </si>
  <si>
    <t>Brick Work</t>
  </si>
  <si>
    <t>C/2022/P0460/Chaharbagh Sch-Lhr-Petty-42</t>
  </si>
  <si>
    <t>Ms Adan Construction</t>
  </si>
  <si>
    <t>IPC No.17(Incl PST)</t>
  </si>
  <si>
    <t>Plantation Horti Group/Kobble Stone</t>
  </si>
  <si>
    <t>Sluice Valve 3'' PN-16</t>
  </si>
  <si>
    <t>Sluice Valve 4'' PN-16</t>
  </si>
  <si>
    <t>Sluice Valve 6'' PN-16</t>
  </si>
  <si>
    <t>Sluice Valve 8'' PN-16</t>
  </si>
  <si>
    <t>Sluice Valve 10'' PN-16</t>
  </si>
  <si>
    <t>RFT</t>
  </si>
  <si>
    <t>MRC</t>
  </si>
  <si>
    <t>C/2022/P0460/Chaharbagh Sch-Lhr-Petty-46</t>
  </si>
  <si>
    <t>C/2022/P0460/Chaharbagh Sch-Lhr-Petty-48</t>
  </si>
  <si>
    <t>C/2022/P0460/Chaharbagh Sch-Lhr-Petty-47</t>
  </si>
  <si>
    <t>C/2022/P0460/Chaharbagh Sch-Lhr-Petty-49</t>
  </si>
  <si>
    <t>C/2022/P0460/Chaharbagh Sch-Lhr-Petty-38</t>
  </si>
  <si>
    <t>SS Enterprises</t>
  </si>
  <si>
    <t>C/2022/P0460/Chaharbagh Sch-Lhr-Petty-41</t>
  </si>
  <si>
    <t>AL Nasir Eng Services</t>
  </si>
  <si>
    <t>C/2022/P0460/Chaharbagh Sch-Lhr-Petty-50</t>
  </si>
  <si>
    <t>Farco Builders</t>
  </si>
  <si>
    <t>C/2022/P0460/Chaharbagh Sch-Lhr-Petty-53</t>
  </si>
  <si>
    <t>Ms GR Engineer</t>
  </si>
  <si>
    <t>C/2022/P0460/Chaharbagh Sch-Lhr-Petty-54</t>
  </si>
  <si>
    <t>Sewer House Con</t>
  </si>
  <si>
    <t>Boundry Wall</t>
  </si>
  <si>
    <t>Sand Filling</t>
  </si>
  <si>
    <t>Man Hole Covers</t>
  </si>
  <si>
    <t>Hand Holes</t>
  </si>
  <si>
    <t>Ancilary</t>
  </si>
  <si>
    <t>C/2022/P0460/Chaharbagh Sch-Lhr-Petty-39</t>
  </si>
  <si>
    <t>Tube Well Chamber</t>
  </si>
  <si>
    <t>MS Rashid Minhas</t>
  </si>
  <si>
    <t>Civil Work</t>
  </si>
  <si>
    <t>PST of other ruda proj also ded req to be recon Rs 62.00 Million</t>
  </si>
  <si>
    <t>d. Revised Cost Est Cost ( Incl PSt 5% )</t>
  </si>
  <si>
    <t xml:space="preserve">b. Revised  Cost of Project as VO </t>
  </si>
  <si>
    <t xml:space="preserve">Revised  Cost incl Pst 5% </t>
  </si>
  <si>
    <t>HDPE Pipe PN-10 160mm</t>
  </si>
  <si>
    <t>UPVC Pipe Conduit Class D Dia 4"</t>
  </si>
  <si>
    <t>UPVC 200mm</t>
  </si>
  <si>
    <t>UPVC Pipe Conduit Class B Dia 4"</t>
  </si>
  <si>
    <t>Asphalt Wearing</t>
  </si>
  <si>
    <t>09-05-2024-10-05-24</t>
  </si>
  <si>
    <t>177900-180162-180457</t>
  </si>
  <si>
    <t>12-06-2024-11June-24-19June-24</t>
  </si>
  <si>
    <t>182096-182186</t>
  </si>
  <si>
    <t>27-Sep-01Oct-24</t>
  </si>
  <si>
    <t>05-Apr-11July-12July-24</t>
  </si>
  <si>
    <t>174831-180166-180347</t>
  </si>
  <si>
    <t>C/2022/P0460/Chahar Bagh Sch-Lhr-Petty-44</t>
  </si>
  <si>
    <t>193123-193690</t>
  </si>
  <si>
    <t>4-Feb&amp;10-Feb-25</t>
  </si>
  <si>
    <t>C/2022/P0460/Chahar Bagh Sch-Lhr-Petty-45</t>
  </si>
  <si>
    <t>193691-193784</t>
  </si>
  <si>
    <t>10-Feb&amp;14-Feb-25</t>
  </si>
  <si>
    <t>C/2022/P0460/Chahar Bagh Sch-Lhr-Petty-32</t>
  </si>
  <si>
    <t>C/2022/P0460/Chahar Bagh Sch-Lhr-Petty-34</t>
  </si>
  <si>
    <t>M/s Junaid Sindhu Construction</t>
  </si>
  <si>
    <t>C/2022/P0460/Chahar Bagh Sch-Lhr-Petty-33</t>
  </si>
  <si>
    <t>C/2022/P0460/Chahar Bagh Sch-Lhr-Petty-35</t>
  </si>
  <si>
    <t>C/2022/P0460/Chahar Bagh Sch-Lhr-Petty-36</t>
  </si>
  <si>
    <t>C/2022/P0460/Chahar Bagh Sch-Lhr-Petty-40</t>
  </si>
  <si>
    <t>M/s SS Enterprises</t>
  </si>
  <si>
    <t>C/2022/P0460/Chahar Bagh Sch-Lhr-Petty-38</t>
  </si>
  <si>
    <t>C/2022/P0460/Chahar Bagh Sch-Lhr-Petty-39</t>
  </si>
  <si>
    <t>M/s Adan Construction Services</t>
  </si>
  <si>
    <t>C/2022/P0460/Chahar Bagh Sch-Lhr-Petty-42</t>
  </si>
  <si>
    <t>C/2022/P0460/Chahar Bagh Sch-Lhr-Petty-43</t>
  </si>
  <si>
    <t>M/s Ali Engineering Associates</t>
  </si>
  <si>
    <t>C/2022/P0460/Chahar Bagh Sch-Lhr-Petty-46</t>
  </si>
  <si>
    <t>C/2022/P0460/Chahar Bagh Sch-Lhr-Petty-47</t>
  </si>
  <si>
    <t>C/2022/P0460/Chahar Bagh Sch-Lhr-Petty-48</t>
  </si>
  <si>
    <t>193969-194494</t>
  </si>
  <si>
    <t>27 Feb &amp; 6 March-25</t>
  </si>
  <si>
    <t>C/2022/P0460/Chahar Bagh Sch-Lhr-Petty-49</t>
  </si>
  <si>
    <t>C/2022/P0460/Chahar Bagh Sch-Lhr-Petty-54</t>
  </si>
  <si>
    <t>C/2022/P0460/Chahar Bagh Sch-Lhr-Petty-59</t>
  </si>
  <si>
    <t>C/2022/P0460/Chahar Bagh Sch-Lhr-Petty-53</t>
  </si>
  <si>
    <t>M/s GR Engineer Construction Co</t>
  </si>
  <si>
    <t>M/s Al Nasir Engineering Svs</t>
  </si>
  <si>
    <t>C/2022/P0460/Chahar Bagh Sch-Lhr-Petty-41</t>
  </si>
  <si>
    <t>C/2022/P0460/Chahar Bagh Sch-Lhr-Petty-58</t>
  </si>
  <si>
    <t>M/s ACC Associates</t>
  </si>
  <si>
    <t>M/s FARCO</t>
  </si>
  <si>
    <t>C/2022/P0460/Chahar Bagh Sch-Lhr-Petty-50</t>
  </si>
  <si>
    <t>C/2022/P0460/Chahar Bagh Sch-Lhr-Petty-51</t>
  </si>
  <si>
    <t>C/2022/P0460/Chahar Bagh Sch-Lhr-Petty-52</t>
  </si>
  <si>
    <t>C/2022/P0460/Chahar Bagh Sch-Lhr-Petty-60</t>
  </si>
  <si>
    <t>M/s Rashid Minhas</t>
  </si>
  <si>
    <t>C/2022/P0460/Chahar Bagh Sch-Lhr-Petty-61</t>
  </si>
  <si>
    <t>C/2022/P0460/Chahar Bagh Sch-Lhr-Petty-62</t>
  </si>
  <si>
    <t>C/2022/P0460/Chahar Bagh Sch-Lhr-Petty-63</t>
  </si>
  <si>
    <t>Integration</t>
  </si>
  <si>
    <t>C/2022/P0460/Chaharbagh Sch-Lhr-Petty-34</t>
  </si>
  <si>
    <t>C/2022/P0460/Chaharbagh Sch-Lhr-Petty-51</t>
  </si>
  <si>
    <t>C/2022/P0460/Chaharbagh Sch-Lhr-Petty-52</t>
  </si>
  <si>
    <t>M/S FARCO</t>
  </si>
  <si>
    <t>C/2022/P0460/Chaharbagh Sch-Lhr-Petty-60</t>
  </si>
  <si>
    <t>M/S Nasir</t>
  </si>
  <si>
    <t>C/2022/P0460/Chaharbagh Sch-Lhr-Petty-59</t>
  </si>
  <si>
    <t>C/2022/P0460/Chaharbagh Sch-Lhr-Petty-58</t>
  </si>
  <si>
    <t>M/S ACC Associates</t>
  </si>
  <si>
    <t>C/2022/P0460/Chaharbagh Sch-Lhr-Petty-40</t>
  </si>
  <si>
    <t>M/S Sindhu</t>
  </si>
  <si>
    <t>C/2022/P0460/Chahar Bagh Sch-Lhr-Petty-64</t>
  </si>
  <si>
    <t>C/2022/P0460/Chaharbagh Sch-Lhr-Petty-64</t>
  </si>
  <si>
    <t>C/2022/P0460/Chaharbagh Sch-Lhr-Petty-63</t>
  </si>
  <si>
    <t>C/2022/P0460/Chaharbagh Sch-Lhr-Petty-62</t>
  </si>
  <si>
    <t>C/2022/P0460/Chaharbagh Sch-Lhr-Petty-61</t>
  </si>
  <si>
    <t>Excess Book in prev MMR</t>
  </si>
  <si>
    <t>196515-196576-196602-197759</t>
  </si>
  <si>
    <t>26Mar-28Mar-10Apr-11Apr-16Apr-2025</t>
  </si>
  <si>
    <t>197759-197831-197869</t>
  </si>
  <si>
    <t>16Apr-22Apr-24Apr-2025</t>
  </si>
  <si>
    <t>194660-194700</t>
  </si>
  <si>
    <t>13-Mar &amp; 19-Mar-2025</t>
  </si>
  <si>
    <t>193884-193968-194529-194559-194598-196438-196646</t>
  </si>
  <si>
    <t>21 Feb &amp; 27 Feb &amp; 6 Mar &amp; 10 Mar &amp; 11 Mar &amp; 27 Mar&amp;14 Apr-2025</t>
  </si>
  <si>
    <t>196640-197815-197867</t>
  </si>
  <si>
    <t>14-Apr &amp; 18-Apr &amp; 24-Apr 25</t>
  </si>
  <si>
    <t>196503-196648-197814</t>
  </si>
  <si>
    <t>28-Mar &amp; 14-Apr &amp; 18Apr-25</t>
  </si>
  <si>
    <t>1x16mm Circular Compact Green</t>
  </si>
  <si>
    <t>Purchase</t>
  </si>
  <si>
    <t>Consumed/Recovered</t>
  </si>
  <si>
    <t>Avg Rate</t>
  </si>
  <si>
    <t xml:space="preserve"> Previous</t>
  </si>
  <si>
    <t>Issue To Contractor</t>
  </si>
  <si>
    <t>Muhammad Tufail</t>
  </si>
  <si>
    <t>Mohsin Ali</t>
  </si>
  <si>
    <t>United Devepers &amp; Suppliers</t>
  </si>
  <si>
    <t>Al-Nasir Engineering Srvs</t>
  </si>
  <si>
    <t>Muhammad Rafique Contractors</t>
  </si>
  <si>
    <t>Bhatti Associates</t>
  </si>
  <si>
    <t>Naeem Hussain</t>
  </si>
  <si>
    <t>Imran Farrukh</t>
  </si>
  <si>
    <t>Adan Construction Services</t>
  </si>
  <si>
    <t>ZK Builders Pvt Limited</t>
  </si>
  <si>
    <t>Muhammad Ali</t>
  </si>
  <si>
    <t>M/S Zaid Waqas Engineering Trading</t>
  </si>
  <si>
    <t>Khalid Javed Chaudhry</t>
  </si>
  <si>
    <t>Sikandar Muaz</t>
  </si>
  <si>
    <t>The Muhandis</t>
  </si>
  <si>
    <t>Fawad Construction</t>
  </si>
  <si>
    <t>Punjab Drilling Corporation</t>
  </si>
  <si>
    <t>Shah Nawaz</t>
  </si>
  <si>
    <t>Mian Associates</t>
  </si>
  <si>
    <t>Al-Hafiz Management Works</t>
  </si>
  <si>
    <t>Muhammad Haris Ilyas</t>
  </si>
  <si>
    <t>Kamran Nazir</t>
  </si>
  <si>
    <t>Kaleem Ullah</t>
  </si>
  <si>
    <t>C/2022/P0460/Chaharbagh Sch-Lhr-Petty-65</t>
  </si>
  <si>
    <t>Electrical Works</t>
  </si>
  <si>
    <t>IPC No.18 (Incl PST)</t>
  </si>
  <si>
    <t>4 x 25mm2 90Al PVC 600/1000V</t>
  </si>
  <si>
    <t>1 X 25MM2 Cu PVC RED 450/750V</t>
  </si>
  <si>
    <t>Coil</t>
  </si>
  <si>
    <t>MS Pipe 8"</t>
  </si>
  <si>
    <t>MS Pipe 10"</t>
  </si>
  <si>
    <t>MS Pipe 12"</t>
  </si>
  <si>
    <t>198923-198956</t>
  </si>
  <si>
    <t>C&amp;G</t>
  </si>
  <si>
    <t>i) Payment of Vetted IPC # 18 of Amounting to Rs.267.775 Mn. yet not Released.</t>
  </si>
  <si>
    <t>SLCP</t>
  </si>
  <si>
    <t>Jhalnader / MS Pipe Asseesories</t>
  </si>
  <si>
    <t>B&amp; I Water Pumps</t>
  </si>
  <si>
    <t>Muzafar Hussain (Cleaning )</t>
  </si>
  <si>
    <t>M/S Muhammad Rafique Contractor (MRC</t>
  </si>
  <si>
    <t>C/2022/P0460/Chahar Bagh Sch-Lhr-Petty-66</t>
  </si>
  <si>
    <t>Work Doneuptodate Anx-C</t>
  </si>
  <si>
    <t>C</t>
  </si>
  <si>
    <t>B+C</t>
  </si>
  <si>
    <t>Anx-B+C</t>
  </si>
  <si>
    <t>M/s Horti Group</t>
  </si>
  <si>
    <t>Plantation Works Non BOQ</t>
  </si>
  <si>
    <t>C/2022/P0460/Chaharbagh Sch-Lhr-Petty-56</t>
  </si>
  <si>
    <t>C/2022/P0460/Chaharbagh Sch-Lhr-Petty-66</t>
  </si>
  <si>
    <t>Graval</t>
  </si>
  <si>
    <t>Muhammadi Engineering</t>
  </si>
  <si>
    <t>Provisional Exp ( Asphalt Plant )</t>
  </si>
  <si>
    <t>Provision for unseen expenses PST</t>
  </si>
  <si>
    <t>Escl claim unvwd</t>
  </si>
  <si>
    <t>C/2022/P0460/Chahar Bagh Sch-Lhr-Petty-65</t>
  </si>
  <si>
    <t>C/2022/P0460/Chahar Bagh Sch-Lhr-Petty-56</t>
  </si>
  <si>
    <t>201775</t>
  </si>
  <si>
    <t>201776-201674</t>
  </si>
  <si>
    <t>Security Exp Rahbar Guards/Fauji Guards</t>
  </si>
  <si>
    <t>Vetted</t>
  </si>
  <si>
    <t>Running Uptodate</t>
  </si>
  <si>
    <t>C/2022/P0460/Chaharbagh Sch-Lhr-Petty-30</t>
  </si>
  <si>
    <t>M/s Malik Faisal</t>
  </si>
  <si>
    <t>Boundary</t>
  </si>
  <si>
    <t>26.95 against Over Ded of PST in next IPC</t>
  </si>
  <si>
    <t xml:space="preserve">PMU NLC CHAHAR BAGH RUDA </t>
  </si>
  <si>
    <t>Ser No.</t>
  </si>
  <si>
    <t>DETAIL OF STORE CUNSUMED AS PER DPR</t>
  </si>
  <si>
    <t>DESCRIPTION</t>
  </si>
  <si>
    <t>Embankment</t>
  </si>
  <si>
    <t>Sand</t>
  </si>
  <si>
    <t>Bricks</t>
  </si>
  <si>
    <t>Crush/Aggregate</t>
  </si>
  <si>
    <t>WBM</t>
  </si>
  <si>
    <t>Cft</t>
  </si>
  <si>
    <t>Bal. in Store</t>
  </si>
  <si>
    <t>Comp. Factor</t>
  </si>
  <si>
    <t>RCC Pipes</t>
  </si>
  <si>
    <t>iii) 225 mm (9:) i/d</t>
  </si>
  <si>
    <t>310 mm (12") i/d.</t>
  </si>
  <si>
    <t>380 mm (15") i/d</t>
  </si>
  <si>
    <t>460 mm (18") i/d</t>
  </si>
  <si>
    <t>530 mm (21":) i/d</t>
  </si>
  <si>
    <t>610 mm (24") i/d</t>
  </si>
  <si>
    <t>760 mm (30")i/d</t>
  </si>
  <si>
    <t>910 mm (36")i/d</t>
  </si>
  <si>
    <t>g=e/d</t>
  </si>
  <si>
    <t>HDPE Pipe PN-10/SDR-17</t>
  </si>
  <si>
    <t>50 mm</t>
  </si>
  <si>
    <t>90 (3'')</t>
  </si>
  <si>
    <t>Pipe Dia 5" 125mm</t>
  </si>
  <si>
    <t>Pipe Dia 7" 180mm</t>
  </si>
  <si>
    <t>Pipe Dia 8" 200mm</t>
  </si>
  <si>
    <t>Pipe Dia 10" 250mm</t>
  </si>
  <si>
    <t>Pipe Dia 12" 315mm</t>
  </si>
  <si>
    <t>Pipe Dia 14" 355mm</t>
  </si>
  <si>
    <t>Purchases
as Per
Store Record</t>
  </si>
  <si>
    <t>Consumption
actual</t>
  </si>
  <si>
    <t>Mtr.</t>
  </si>
  <si>
    <t>MS Pipes</t>
  </si>
  <si>
    <t>12"</t>
  </si>
  <si>
    <t>10"</t>
  </si>
  <si>
    <t>8"</t>
  </si>
  <si>
    <t>UPVC Pipe</t>
  </si>
  <si>
    <t>8"/200 mm</t>
  </si>
  <si>
    <t>4" /110mm</t>
  </si>
  <si>
    <t>f=e-d</t>
  </si>
  <si>
    <t>Note:</t>
  </si>
  <si>
    <t>Work done reverse due to distribution of NON BOQ and BOQ items.</t>
  </si>
  <si>
    <t>July 2025</t>
  </si>
  <si>
    <t>RBS Constructions Asphalt work</t>
  </si>
  <si>
    <t>POL issue to CB-II ( Already exp in anx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</si>
</sst>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0.00_);_(* \(#,##0.00\);_(* &quot;-&quot;??_);_(@_)"/>
    <numFmt numFmtId="164" formatCode="_-* #,##0.00_-;\-* #,##0.00_-;_-* &quot;-&quot;??_-;_-@_-"/>
    <numFmt numFmtId="165" formatCode="_(* #,##0_);_(* \(#,##0\);_(* &quot;-&quot;??_);_(@_)"/>
    <numFmt numFmtId="166" formatCode="_(* #,##0.000_);_(* \(#,##0.000\);_(* &quot;-&quot;??_);_(@_)"/>
    <numFmt numFmtId="167" formatCode="_(* #,##0.0000_);_(* \(#,##0.0000\);_(* &quot;-&quot;??_);_(@_)"/>
    <numFmt numFmtId="168" formatCode="_(* #,##0.000_);_(* \(#,##0.000\);_(* &quot;-&quot;???_);_(@_)"/>
    <numFmt numFmtId="169" formatCode="0.000"/>
    <numFmt numFmtId="170" formatCode="_(* #,##0.000000_);_(* \(#,##0.000000\);_(* &quot;-&quot;??_);_(@_)"/>
    <numFmt numFmtId="171" formatCode="&quot;MCL/LHR/LRRP/&quot;0&quot;/06/NLC&quot;"/>
    <numFmt numFmtId="172" formatCode="0.00&quot; M&quot;"/>
    <numFmt numFmtId="173" formatCode="0.000&quot; M&quot;"/>
    <numFmt numFmtId="174" formatCode="[$-409]d/mmm/yy;@"/>
    <numFmt numFmtId="175" formatCode="[$-409]d\-mmm\-yy;@"/>
    <numFmt numFmtId="176" formatCode="_-* #,##0.0000_-;\-* #,##0.0000_-;_-* &quot;-&quot;??_-;_-@_-"/>
    <numFmt numFmtId="177" formatCode="_(* #,##0.00000_);_(* \(#,##0.00000\);_(* &quot;-&quot;??_);_(@_)"/>
    <numFmt numFmtId="178" formatCode="0.00000"/>
    <numFmt numFmtId="179" formatCode="_(* #,##0.0000000_);_(* \(#,##0.0000000\);_(* &quot;-&quot;??_);_(@_)"/>
    <numFmt numFmtId="180" formatCode="[$-409]d\-mmm\-yyyy;@"/>
    <numFmt numFmtId="181" formatCode="0.000%"/>
    <numFmt numFmtId="182" formatCode="[$-409]dd/mmm/yy;@"/>
    <numFmt numFmtId="183" formatCode="_(* #,##0.0000_);_(* \(#,##0.0000\);_(* &quot;-&quot;????_);_(@_)"/>
    <numFmt numFmtId="184" formatCode="_-* #,##0.000_-;\-* #,##0.000_-;_-* &quot;-&quot;??_-;_-@_-"/>
  </numFmts>
  <fonts count="59" x14ac:knownFonts="1">
    <font>
      <sz val="11"/>
      <color theme="1"/>
      <name val="Calibri"/>
      <family val="2"/>
      <scheme val="minor"/>
    </font>
    <font>
      <sz val="11"/>
      <color indexed="8"/>
      <name val="Calibri"/>
      <family val="2"/>
    </font>
    <font>
      <sz val="10"/>
      <name val="Arial"/>
      <family val="2"/>
    </font>
    <font>
      <sz val="11"/>
      <color indexed="8"/>
      <name val="Calibri"/>
      <family val="2"/>
    </font>
    <font>
      <sz val="10"/>
      <name val="Arial"/>
      <family val="2"/>
    </font>
    <font>
      <b/>
      <u/>
      <sz val="11"/>
      <color indexed="8"/>
      <name val="Arial"/>
      <family val="2"/>
    </font>
    <font>
      <b/>
      <sz val="11"/>
      <color indexed="8"/>
      <name val="Arial"/>
      <family val="2"/>
    </font>
    <font>
      <b/>
      <u/>
      <sz val="12"/>
      <color indexed="8"/>
      <name val="Arial"/>
      <family val="2"/>
    </font>
    <font>
      <sz val="11"/>
      <color indexed="8"/>
      <name val="Arial"/>
      <family val="2"/>
    </font>
    <font>
      <u/>
      <sz val="11"/>
      <color indexed="8"/>
      <name val="Arial"/>
      <family val="2"/>
    </font>
    <font>
      <b/>
      <u/>
      <sz val="14"/>
      <color indexed="8"/>
      <name val="Arial"/>
      <family val="2"/>
    </font>
    <font>
      <b/>
      <u/>
      <sz val="10"/>
      <color indexed="8"/>
      <name val="Arial"/>
      <family val="2"/>
    </font>
    <font>
      <sz val="11"/>
      <name val="Arial"/>
      <family val="2"/>
    </font>
    <font>
      <sz val="10"/>
      <color indexed="8"/>
      <name val="Arial"/>
      <family val="2"/>
    </font>
    <font>
      <b/>
      <sz val="10"/>
      <color indexed="8"/>
      <name val="Arial"/>
      <family val="2"/>
    </font>
    <font>
      <b/>
      <sz val="12"/>
      <color indexed="8"/>
      <name val="Arial"/>
      <family val="2"/>
    </font>
    <font>
      <sz val="12"/>
      <color indexed="8"/>
      <name val="Arial"/>
      <family val="2"/>
    </font>
    <font>
      <u/>
      <sz val="12"/>
      <color indexed="8"/>
      <name val="Arial"/>
      <family val="2"/>
    </font>
    <font>
      <sz val="12"/>
      <name val="Arial"/>
      <family val="2"/>
    </font>
    <font>
      <b/>
      <sz val="12"/>
      <name val="Arial"/>
      <family val="2"/>
    </font>
    <font>
      <sz val="9"/>
      <color indexed="8"/>
      <name val="Arial"/>
      <family val="2"/>
    </font>
    <font>
      <b/>
      <sz val="10"/>
      <name val="Arial"/>
      <family val="2"/>
    </font>
    <font>
      <b/>
      <u/>
      <sz val="10"/>
      <name val="Arial"/>
      <family val="2"/>
    </font>
    <font>
      <i/>
      <sz val="11"/>
      <color indexed="8"/>
      <name val="Arial"/>
      <family val="2"/>
    </font>
    <font>
      <b/>
      <u/>
      <sz val="16"/>
      <color indexed="8"/>
      <name val="Arial"/>
      <family val="2"/>
    </font>
    <font>
      <b/>
      <sz val="16"/>
      <color indexed="8"/>
      <name val="Arial"/>
      <family val="2"/>
    </font>
    <font>
      <sz val="12"/>
      <name val="Arial Narrow"/>
      <family val="2"/>
    </font>
    <font>
      <b/>
      <sz val="9"/>
      <color indexed="8"/>
      <name val="Arial"/>
      <family val="2"/>
    </font>
    <font>
      <sz val="9"/>
      <name val="Arial"/>
      <family val="2"/>
    </font>
    <font>
      <b/>
      <u/>
      <sz val="9"/>
      <color indexed="8"/>
      <name val="Arial"/>
      <family val="2"/>
    </font>
    <font>
      <sz val="11"/>
      <color theme="1"/>
      <name val="Calibri"/>
      <family val="2"/>
      <scheme val="minor"/>
    </font>
    <font>
      <b/>
      <sz val="11"/>
      <color theme="1"/>
      <name val="Calibri"/>
      <family val="2"/>
      <scheme val="minor"/>
    </font>
    <font>
      <sz val="12"/>
      <color theme="1"/>
      <name val="Calibri"/>
      <family val="2"/>
      <scheme val="minor"/>
    </font>
    <font>
      <sz val="11"/>
      <color theme="1"/>
      <name val="Arial"/>
      <family val="2"/>
    </font>
    <font>
      <sz val="12"/>
      <color theme="1"/>
      <name val="Arial"/>
      <family val="2"/>
    </font>
    <font>
      <sz val="11"/>
      <color rgb="FFFF0000"/>
      <name val="Arial"/>
      <family val="2"/>
    </font>
    <font>
      <sz val="11"/>
      <name val="Calibri"/>
      <family val="2"/>
      <scheme val="minor"/>
    </font>
    <font>
      <sz val="10"/>
      <color rgb="FFFF0000"/>
      <name val="Arial"/>
      <family val="2"/>
    </font>
    <font>
      <b/>
      <sz val="11"/>
      <name val="Arial"/>
      <family val="2"/>
    </font>
    <font>
      <sz val="11"/>
      <color indexed="8"/>
      <name val="Calibri"/>
      <family val="2"/>
      <charset val="1"/>
    </font>
    <font>
      <b/>
      <sz val="11"/>
      <color rgb="FFFF0000"/>
      <name val="Arial"/>
      <family val="2"/>
    </font>
    <font>
      <sz val="12"/>
      <name val="Times New Roman"/>
      <family val="1"/>
    </font>
    <font>
      <b/>
      <sz val="14"/>
      <name val="Arial"/>
      <family val="2"/>
    </font>
    <font>
      <sz val="16"/>
      <name val="Arial"/>
      <family val="2"/>
    </font>
    <font>
      <b/>
      <sz val="16"/>
      <name val="Arial"/>
      <family val="2"/>
    </font>
    <font>
      <b/>
      <sz val="12"/>
      <name val="Times New Roman"/>
      <family val="1"/>
    </font>
    <font>
      <b/>
      <sz val="16"/>
      <name val="Times New Roman"/>
      <family val="1"/>
    </font>
    <font>
      <sz val="10"/>
      <name val="Times New Roman"/>
      <family val="1"/>
    </font>
    <font>
      <sz val="10"/>
      <color theme="1"/>
      <name val="Arial"/>
      <family val="2"/>
    </font>
    <font>
      <b/>
      <u/>
      <sz val="11"/>
      <color theme="1"/>
      <name val="Calibri"/>
      <family val="2"/>
      <scheme val="minor"/>
    </font>
    <font>
      <sz val="10"/>
      <color rgb="FF7030A0"/>
      <name val="Arial"/>
      <family val="2"/>
    </font>
    <font>
      <b/>
      <u/>
      <sz val="11"/>
      <color theme="1"/>
      <name val="Arial"/>
      <family val="2"/>
    </font>
    <font>
      <b/>
      <sz val="10"/>
      <color theme="1"/>
      <name val="Arial"/>
      <family val="2"/>
    </font>
    <font>
      <b/>
      <u/>
      <sz val="18"/>
      <color indexed="8"/>
      <name val="Arial"/>
      <family val="2"/>
    </font>
    <font>
      <sz val="11"/>
      <color rgb="FF000000"/>
      <name val="Book Antiqua"/>
      <family val="1"/>
    </font>
    <font>
      <b/>
      <sz val="11"/>
      <color rgb="FF000000"/>
      <name val="Book Antiqua"/>
      <family val="1"/>
    </font>
    <font>
      <b/>
      <sz val="11"/>
      <color theme="1"/>
      <name val="Arial"/>
      <family val="2"/>
    </font>
    <font>
      <sz val="11"/>
      <color rgb="FF000000"/>
      <name val="Arial"/>
      <family val="2"/>
    </font>
    <font>
      <b/>
      <sz val="11"/>
      <color rgb="FF000000"/>
      <name val="Arial"/>
      <family val="2"/>
    </font>
  </fonts>
  <fills count="2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tint="0.79998168889431442"/>
        <bgColor indexed="64"/>
      </patternFill>
    </fill>
  </fills>
  <borders count="87">
    <border>
      <left/>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right/>
      <top style="double">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double">
        <color indexed="64"/>
      </left>
      <right style="double">
        <color indexed="64"/>
      </right>
      <top style="double">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double">
        <color indexed="64"/>
      </bottom>
      <diagonal/>
    </border>
    <border>
      <left/>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double">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indexed="64"/>
      </right>
      <top style="double">
        <color indexed="64"/>
      </top>
      <bottom/>
      <diagonal/>
    </border>
    <border>
      <left style="double">
        <color indexed="64"/>
      </left>
      <right style="medium">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style="medium">
        <color indexed="64"/>
      </bottom>
      <diagonal/>
    </border>
    <border>
      <left style="double">
        <color indexed="64"/>
      </left>
      <right style="medium">
        <color indexed="64"/>
      </right>
      <top style="medium">
        <color indexed="64"/>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style="thin">
        <color indexed="64"/>
      </right>
      <top/>
      <bottom style="medium">
        <color indexed="64"/>
      </bottom>
      <diagonal/>
    </border>
    <border>
      <left/>
      <right style="double">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5">
    <xf numFmtId="0" fontId="0" fillId="0" borderId="0"/>
    <xf numFmtId="43" fontId="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 fillId="0" borderId="0"/>
    <xf numFmtId="0" fontId="4" fillId="0" borderId="0"/>
    <xf numFmtId="0" fontId="2"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0" fontId="1" fillId="0" borderId="0"/>
    <xf numFmtId="0" fontId="30" fillId="0" borderId="0"/>
    <xf numFmtId="43" fontId="1" fillId="0" borderId="0" applyFont="0" applyFill="0" applyBorder="0" applyAlignment="0" applyProtection="0"/>
    <xf numFmtId="0" fontId="39" fillId="0" borderId="0"/>
    <xf numFmtId="0" fontId="30" fillId="0" borderId="0"/>
    <xf numFmtId="0" fontId="1" fillId="0" borderId="0"/>
    <xf numFmtId="0" fontId="41" fillId="0" borderId="0"/>
    <xf numFmtId="43" fontId="30" fillId="0" borderId="0" applyFont="0" applyFill="0" applyBorder="0" applyAlignment="0" applyProtection="0"/>
    <xf numFmtId="9" fontId="41" fillId="0" borderId="0" applyFont="0" applyFill="0" applyBorder="0" applyAlignment="0" applyProtection="0"/>
    <xf numFmtId="0" fontId="54" fillId="0" borderId="0"/>
    <xf numFmtId="0" fontId="2" fillId="0" borderId="0"/>
  </cellStyleXfs>
  <cellXfs count="1366">
    <xf numFmtId="0" fontId="0" fillId="0" borderId="0" xfId="0"/>
    <xf numFmtId="0" fontId="6" fillId="0" borderId="0" xfId="0" applyFont="1" applyAlignment="1">
      <alignment horizontal="right" vertical="center"/>
    </xf>
    <xf numFmtId="0" fontId="8" fillId="0" borderId="0" xfId="0" applyFont="1" applyAlignment="1">
      <alignment horizontal="right" vertical="center"/>
    </xf>
    <xf numFmtId="0" fontId="8" fillId="0" borderId="1" xfId="0" applyFont="1" applyBorder="1" applyAlignment="1">
      <alignment horizontal="center" vertical="center" wrapText="1"/>
    </xf>
    <xf numFmtId="0" fontId="5" fillId="0" borderId="0" xfId="0" applyFont="1" applyAlignment="1">
      <alignment vertical="top"/>
    </xf>
    <xf numFmtId="0" fontId="8" fillId="0" borderId="0" xfId="0" applyFont="1" applyAlignment="1">
      <alignment vertical="top"/>
    </xf>
    <xf numFmtId="0" fontId="7" fillId="0" borderId="0" xfId="0" applyFont="1" applyAlignment="1">
      <alignment horizontal="center" vertical="top"/>
    </xf>
    <xf numFmtId="0" fontId="6" fillId="0" borderId="0" xfId="0" applyFont="1" applyAlignment="1">
      <alignment horizontal="center" vertical="top"/>
    </xf>
    <xf numFmtId="0" fontId="6" fillId="0" borderId="0" xfId="0" applyFont="1" applyAlignment="1">
      <alignment horizontal="left" vertical="top"/>
    </xf>
    <xf numFmtId="0" fontId="8" fillId="0" borderId="0" xfId="0" applyFont="1" applyAlignment="1">
      <alignment horizontal="center" vertical="top"/>
    </xf>
    <xf numFmtId="0" fontId="5" fillId="0" borderId="0" xfId="0" applyFont="1" applyAlignment="1">
      <alignment horizontal="left" vertical="top"/>
    </xf>
    <xf numFmtId="0" fontId="8" fillId="0" borderId="0" xfId="0" applyFont="1" applyAlignment="1">
      <alignment horizontal="left" vertical="top"/>
    </xf>
    <xf numFmtId="43" fontId="8" fillId="0" borderId="0" xfId="0" applyNumberFormat="1" applyFont="1" applyAlignment="1">
      <alignment vertical="top"/>
    </xf>
    <xf numFmtId="0" fontId="9" fillId="0" borderId="0" xfId="0" applyFont="1" applyAlignment="1">
      <alignment vertical="top"/>
    </xf>
    <xf numFmtId="0" fontId="8" fillId="0" borderId="0" xfId="0" quotePrefix="1" applyFont="1" applyAlignment="1">
      <alignment horizontal="left" vertical="top"/>
    </xf>
    <xf numFmtId="0" fontId="8" fillId="0" borderId="0" xfId="0" quotePrefix="1" applyFont="1" applyAlignment="1">
      <alignment vertical="top"/>
    </xf>
    <xf numFmtId="0" fontId="6" fillId="0" borderId="0" xfId="0" applyFont="1" applyAlignment="1">
      <alignment vertical="top"/>
    </xf>
    <xf numFmtId="172" fontId="8" fillId="0" borderId="0" xfId="0" applyNumberFormat="1" applyFont="1" applyAlignment="1">
      <alignment vertical="top"/>
    </xf>
    <xf numFmtId="0" fontId="8" fillId="0" borderId="0" xfId="0" applyFont="1" applyAlignment="1">
      <alignment vertical="center"/>
    </xf>
    <xf numFmtId="0" fontId="6"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10" fontId="8" fillId="0" borderId="0" xfId="1" applyNumberFormat="1" applyFont="1" applyAlignment="1">
      <alignment vertical="center"/>
    </xf>
    <xf numFmtId="166" fontId="8" fillId="0" borderId="0" xfId="1" applyNumberFormat="1" applyFont="1" applyAlignment="1">
      <alignment vertical="center"/>
    </xf>
    <xf numFmtId="0" fontId="12" fillId="0" borderId="0" xfId="0" applyFont="1" applyAlignment="1">
      <alignment vertical="center"/>
    </xf>
    <xf numFmtId="43" fontId="8" fillId="0" borderId="0" xfId="0" applyNumberFormat="1" applyFont="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9"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14"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left" vertical="center"/>
    </xf>
    <xf numFmtId="14" fontId="13" fillId="0" borderId="0" xfId="0" applyNumberFormat="1" applyFont="1" applyAlignment="1">
      <alignment vertical="center"/>
    </xf>
    <xf numFmtId="9" fontId="13" fillId="0" borderId="0" xfId="11" applyFont="1" applyAlignment="1">
      <alignment vertical="center"/>
    </xf>
    <xf numFmtId="0" fontId="14" fillId="0" borderId="0" xfId="0" applyFont="1" applyAlignment="1">
      <alignment vertical="center"/>
    </xf>
    <xf numFmtId="9" fontId="14" fillId="0" borderId="0" xfId="11" applyFont="1" applyAlignment="1">
      <alignment vertical="center"/>
    </xf>
    <xf numFmtId="0" fontId="13" fillId="0" borderId="0" xfId="0" applyFont="1" applyAlignment="1">
      <alignment horizontal="center"/>
    </xf>
    <xf numFmtId="0" fontId="13" fillId="0" borderId="0" xfId="0" applyFont="1"/>
    <xf numFmtId="0" fontId="8"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8" fillId="0" borderId="2" xfId="0" applyFont="1" applyBorder="1" applyAlignment="1">
      <alignment vertical="center" wrapText="1"/>
    </xf>
    <xf numFmtId="0" fontId="10" fillId="0" borderId="0" xfId="0" applyFont="1" applyAlignment="1">
      <alignment horizontal="center" vertical="center"/>
    </xf>
    <xf numFmtId="0" fontId="8" fillId="0" borderId="2" xfId="0" applyFont="1" applyBorder="1" applyAlignment="1">
      <alignment horizontal="center" vertical="center"/>
    </xf>
    <xf numFmtId="0" fontId="11" fillId="0" borderId="0" xfId="0" applyFont="1" applyAlignment="1">
      <alignment horizontal="center" vertical="center" wrapText="1"/>
    </xf>
    <xf numFmtId="0" fontId="16" fillId="0" borderId="0" xfId="0" applyFont="1" applyAlignment="1">
      <alignment horizontal="center" vertical="center" wrapText="1"/>
    </xf>
    <xf numFmtId="0" fontId="6" fillId="0" borderId="1" xfId="0" applyFont="1" applyBorder="1" applyAlignment="1">
      <alignment horizontal="center" vertical="center" wrapText="1"/>
    </xf>
    <xf numFmtId="43" fontId="8" fillId="0" borderId="0" xfId="0" applyNumberFormat="1" applyFont="1" applyAlignment="1">
      <alignment horizontal="center" vertical="center" wrapText="1"/>
    </xf>
    <xf numFmtId="0" fontId="14"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43" fontId="13" fillId="0" borderId="2" xfId="1"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vertical="center" wrapText="1"/>
    </xf>
    <xf numFmtId="0" fontId="11" fillId="0" borderId="3" xfId="0" applyFont="1" applyBorder="1" applyAlignment="1">
      <alignment horizontal="center" vertical="center" wrapText="1"/>
    </xf>
    <xf numFmtId="0" fontId="11" fillId="0" borderId="3" xfId="0" applyFont="1" applyBorder="1" applyAlignment="1">
      <alignment horizontal="left" vertical="center" wrapText="1"/>
    </xf>
    <xf numFmtId="166" fontId="13" fillId="0" borderId="2" xfId="1" applyNumberFormat="1" applyFont="1" applyFill="1" applyBorder="1" applyAlignment="1">
      <alignment horizontal="center" vertical="center" wrapText="1"/>
    </xf>
    <xf numFmtId="166" fontId="13" fillId="0" borderId="2" xfId="1" applyNumberFormat="1"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0" fontId="13" fillId="0" borderId="5" xfId="0" applyFont="1" applyBorder="1" applyAlignment="1">
      <alignment horizontal="center" vertical="center" wrapText="1"/>
    </xf>
    <xf numFmtId="0" fontId="14" fillId="0" borderId="1" xfId="0" applyFont="1" applyBorder="1" applyAlignment="1">
      <alignment horizontal="left" vertical="center" wrapText="1"/>
    </xf>
    <xf numFmtId="0" fontId="11" fillId="0" borderId="5" xfId="0" applyFont="1" applyBorder="1" applyAlignment="1">
      <alignment horizontal="center" vertical="center" wrapText="1"/>
    </xf>
    <xf numFmtId="0" fontId="14" fillId="2" borderId="1" xfId="0" applyFont="1" applyFill="1" applyBorder="1" applyAlignment="1">
      <alignment horizontal="left" vertical="center" wrapText="1"/>
    </xf>
    <xf numFmtId="0" fontId="13" fillId="0" borderId="0" xfId="0" applyFont="1" applyAlignment="1">
      <alignment vertical="center" wrapText="1"/>
    </xf>
    <xf numFmtId="166" fontId="13" fillId="0" borderId="2" xfId="1" applyNumberFormat="1" applyFont="1" applyBorder="1" applyAlignment="1">
      <alignment vertical="center" wrapText="1"/>
    </xf>
    <xf numFmtId="0" fontId="13" fillId="0" borderId="2" xfId="0" applyFont="1" applyBorder="1" applyAlignment="1">
      <alignment vertical="center" wrapText="1"/>
    </xf>
    <xf numFmtId="165" fontId="13" fillId="0" borderId="2" xfId="1" applyNumberFormat="1" applyFont="1" applyBorder="1" applyAlignment="1">
      <alignment vertical="center" wrapText="1"/>
    </xf>
    <xf numFmtId="166" fontId="13" fillId="0" borderId="0" xfId="0" applyNumberFormat="1" applyFont="1" applyAlignment="1">
      <alignment vertical="center" wrapText="1"/>
    </xf>
    <xf numFmtId="0" fontId="11" fillId="0" borderId="0" xfId="0" applyFont="1" applyAlignment="1">
      <alignment horizontal="right" vertical="center"/>
    </xf>
    <xf numFmtId="0" fontId="14" fillId="0" borderId="0" xfId="0" applyFont="1" applyAlignment="1">
      <alignment horizontal="right" vertical="center"/>
    </xf>
    <xf numFmtId="43" fontId="11" fillId="0" borderId="0" xfId="1" applyFont="1" applyFill="1" applyBorder="1" applyAlignment="1">
      <alignment horizontal="center" vertical="center" wrapText="1"/>
    </xf>
    <xf numFmtId="0" fontId="13" fillId="0" borderId="0" xfId="0" applyFont="1" applyAlignment="1">
      <alignment horizontal="center" vertical="center" wrapText="1"/>
    </xf>
    <xf numFmtId="43" fontId="13" fillId="0" borderId="0" xfId="1" applyFont="1" applyFill="1" applyAlignment="1">
      <alignment vertical="center" wrapText="1"/>
    </xf>
    <xf numFmtId="43" fontId="13" fillId="0" borderId="0" xfId="0" applyNumberFormat="1" applyFont="1" applyAlignment="1">
      <alignment vertical="center" wrapText="1"/>
    </xf>
    <xf numFmtId="0" fontId="14" fillId="0" borderId="0" xfId="0" applyFont="1" applyAlignment="1">
      <alignment horizontal="left" vertical="center"/>
    </xf>
    <xf numFmtId="0" fontId="6" fillId="0" borderId="0" xfId="0" applyFont="1" applyAlignment="1">
      <alignment horizontal="center" vertical="center" wrapText="1"/>
    </xf>
    <xf numFmtId="43" fontId="8" fillId="0" borderId="2" xfId="1" applyFont="1" applyBorder="1" applyAlignment="1">
      <alignment horizontal="center" vertical="center"/>
    </xf>
    <xf numFmtId="0" fontId="5" fillId="0" borderId="0" xfId="0" applyFont="1" applyAlignment="1">
      <alignment vertical="center"/>
    </xf>
    <xf numFmtId="166" fontId="6" fillId="0" borderId="2" xfId="1" applyNumberFormat="1" applyFont="1" applyFill="1" applyBorder="1" applyAlignment="1">
      <alignment vertical="center"/>
    </xf>
    <xf numFmtId="166" fontId="14" fillId="2" borderId="1" xfId="1" applyNumberFormat="1" applyFont="1" applyFill="1" applyBorder="1" applyAlignment="1">
      <alignment horizontal="center" vertical="center" wrapText="1"/>
    </xf>
    <xf numFmtId="166" fontId="14" fillId="0" borderId="1" xfId="1" applyNumberFormat="1" applyFont="1" applyBorder="1" applyAlignment="1">
      <alignment horizontal="center" vertical="center" wrapText="1"/>
    </xf>
    <xf numFmtId="166" fontId="14" fillId="2" borderId="1" xfId="0" applyNumberFormat="1" applyFont="1" applyFill="1" applyBorder="1" applyAlignment="1">
      <alignment horizontal="center" vertical="center" wrapText="1"/>
    </xf>
    <xf numFmtId="168" fontId="13" fillId="0" borderId="0" xfId="0" applyNumberFormat="1" applyFont="1" applyAlignment="1">
      <alignment vertical="center" wrapText="1"/>
    </xf>
    <xf numFmtId="166" fontId="13" fillId="0" borderId="2" xfId="1" applyNumberFormat="1" applyFont="1" applyFill="1" applyBorder="1" applyAlignment="1">
      <alignment horizontal="justify" vertical="center" wrapText="1"/>
    </xf>
    <xf numFmtId="166" fontId="13" fillId="0" borderId="3" xfId="1" applyNumberFormat="1" applyFont="1" applyFill="1" applyBorder="1" applyAlignment="1">
      <alignment horizontal="center" vertical="center" wrapText="1"/>
    </xf>
    <xf numFmtId="43" fontId="8" fillId="0" borderId="0" xfId="0" applyNumberFormat="1" applyFont="1" applyAlignment="1">
      <alignment vertical="center" wrapText="1"/>
    </xf>
    <xf numFmtId="166" fontId="8" fillId="0" borderId="0" xfId="0" applyNumberFormat="1" applyFont="1" applyAlignment="1">
      <alignment vertical="center" wrapText="1"/>
    </xf>
    <xf numFmtId="169" fontId="8" fillId="0" borderId="0" xfId="0" applyNumberFormat="1" applyFont="1" applyAlignment="1">
      <alignment vertical="top"/>
    </xf>
    <xf numFmtId="173" fontId="8" fillId="0" borderId="0" xfId="0" applyNumberFormat="1" applyFont="1" applyAlignment="1">
      <alignment vertical="top"/>
    </xf>
    <xf numFmtId="166" fontId="8" fillId="0" borderId="0" xfId="1" applyNumberFormat="1" applyFont="1" applyAlignment="1">
      <alignment vertical="top"/>
    </xf>
    <xf numFmtId="10" fontId="6" fillId="0" borderId="2" xfId="11" applyNumberFormat="1" applyFont="1" applyBorder="1" applyAlignment="1">
      <alignment vertical="center"/>
    </xf>
    <xf numFmtId="166" fontId="13" fillId="0" borderId="0" xfId="0" applyNumberFormat="1" applyFont="1" applyAlignment="1">
      <alignment vertical="center"/>
    </xf>
    <xf numFmtId="169" fontId="8" fillId="0" borderId="0" xfId="1" applyNumberFormat="1" applyFont="1" applyAlignment="1">
      <alignment vertical="center"/>
    </xf>
    <xf numFmtId="165" fontId="13" fillId="0" borderId="2" xfId="1" applyNumberFormat="1" applyFont="1" applyBorder="1" applyAlignment="1">
      <alignment horizontal="center" vertical="center" wrapText="1"/>
    </xf>
    <xf numFmtId="0" fontId="5" fillId="0" borderId="0" xfId="0" applyFont="1" applyAlignment="1">
      <alignment horizontal="right" vertical="center" wrapText="1"/>
    </xf>
    <xf numFmtId="166" fontId="8" fillId="0" borderId="0" xfId="0" applyNumberFormat="1" applyFont="1" applyAlignment="1">
      <alignment vertical="center"/>
    </xf>
    <xf numFmtId="0" fontId="7" fillId="0" borderId="0" xfId="0" applyFont="1" applyAlignment="1">
      <alignment horizontal="right" vertical="center" wrapText="1"/>
    </xf>
    <xf numFmtId="0" fontId="15" fillId="0" borderId="0" xfId="0" applyFont="1" applyAlignment="1">
      <alignment horizontal="right" vertical="center"/>
    </xf>
    <xf numFmtId="43" fontId="6" fillId="0" borderId="0" xfId="1" applyFont="1" applyFill="1" applyAlignment="1">
      <alignment horizontal="right" vertical="center" wrapText="1"/>
    </xf>
    <xf numFmtId="0" fontId="7" fillId="0" borderId="0" xfId="0" applyFont="1" applyAlignment="1">
      <alignment horizontal="right" vertical="center"/>
    </xf>
    <xf numFmtId="0" fontId="7" fillId="0" borderId="0" xfId="0" applyFont="1" applyAlignment="1">
      <alignment horizontal="right" vertical="top"/>
    </xf>
    <xf numFmtId="166" fontId="13" fillId="0" borderId="0" xfId="1" applyNumberFormat="1" applyFont="1" applyAlignment="1">
      <alignment vertical="center" wrapText="1"/>
    </xf>
    <xf numFmtId="166" fontId="8" fillId="0" borderId="0" xfId="0" applyNumberFormat="1" applyFont="1" applyAlignment="1">
      <alignment horizontal="left" vertical="center"/>
    </xf>
    <xf numFmtId="166" fontId="13" fillId="0" borderId="0" xfId="0" applyNumberFormat="1" applyFont="1" applyAlignment="1">
      <alignment horizontal="left" vertical="center"/>
    </xf>
    <xf numFmtId="166" fontId="8" fillId="0" borderId="0" xfId="0" applyNumberFormat="1" applyFont="1" applyAlignment="1">
      <alignment horizontal="center" vertical="center" wrapText="1"/>
    </xf>
    <xf numFmtId="166" fontId="8" fillId="0" borderId="0" xfId="1" applyNumberFormat="1" applyFont="1" applyFill="1" applyAlignment="1">
      <alignment vertical="center"/>
    </xf>
    <xf numFmtId="166" fontId="6" fillId="0" borderId="0" xfId="1" applyNumberFormat="1" applyFont="1" applyFill="1" applyBorder="1" applyAlignment="1">
      <alignment vertical="center"/>
    </xf>
    <xf numFmtId="166" fontId="13" fillId="0" borderId="0" xfId="1" applyNumberFormat="1" applyFont="1" applyAlignment="1">
      <alignment vertical="center"/>
    </xf>
    <xf numFmtId="0" fontId="13" fillId="0" borderId="0" xfId="0" applyFont="1" applyAlignment="1">
      <alignment vertical="top"/>
    </xf>
    <xf numFmtId="43" fontId="14" fillId="0" borderId="0" xfId="1" applyFont="1" applyFill="1" applyAlignment="1">
      <alignment horizontal="left" vertical="center"/>
    </xf>
    <xf numFmtId="1" fontId="8" fillId="0" borderId="0" xfId="0" applyNumberFormat="1" applyFont="1" applyAlignment="1">
      <alignment vertical="top"/>
    </xf>
    <xf numFmtId="169" fontId="8" fillId="0" borderId="0" xfId="0" applyNumberFormat="1" applyFont="1" applyAlignment="1">
      <alignment horizontal="left" vertical="center"/>
    </xf>
    <xf numFmtId="14" fontId="6" fillId="0" borderId="0" xfId="0" applyNumberFormat="1" applyFont="1" applyAlignment="1">
      <alignment horizontal="right" vertical="center"/>
    </xf>
    <xf numFmtId="43" fontId="13" fillId="0" borderId="0" xfId="0" applyNumberFormat="1" applyFont="1" applyAlignment="1">
      <alignment horizontal="center" vertical="center"/>
    </xf>
    <xf numFmtId="166" fontId="8" fillId="0" borderId="0" xfId="1" applyNumberFormat="1" applyFont="1" applyAlignment="1">
      <alignment horizontal="left" vertical="center"/>
    </xf>
    <xf numFmtId="2" fontId="8" fillId="0" borderId="0" xfId="0" applyNumberFormat="1" applyFont="1" applyAlignment="1">
      <alignment vertical="top"/>
    </xf>
    <xf numFmtId="0" fontId="9" fillId="0" borderId="0" xfId="0" applyFont="1" applyAlignment="1">
      <alignment horizontal="right" vertical="top"/>
    </xf>
    <xf numFmtId="166" fontId="8" fillId="0" borderId="4" xfId="1" applyNumberFormat="1" applyFont="1" applyFill="1" applyBorder="1" applyAlignment="1">
      <alignment vertical="center"/>
    </xf>
    <xf numFmtId="43" fontId="13" fillId="0" borderId="2" xfId="1" applyFont="1" applyFill="1" applyBorder="1" applyAlignment="1">
      <alignment horizontal="left" vertical="center" wrapText="1"/>
    </xf>
    <xf numFmtId="43" fontId="13" fillId="0" borderId="0" xfId="1" applyFont="1" applyFill="1" applyAlignment="1">
      <alignment vertical="center"/>
    </xf>
    <xf numFmtId="169" fontId="13" fillId="0" borderId="0" xfId="0" applyNumberFormat="1" applyFont="1" applyAlignment="1">
      <alignment vertical="center" wrapText="1"/>
    </xf>
    <xf numFmtId="43" fontId="6" fillId="0" borderId="2" xfId="0" applyNumberFormat="1" applyFont="1" applyBorder="1" applyAlignment="1">
      <alignment vertical="center"/>
    </xf>
    <xf numFmtId="43" fontId="6" fillId="0" borderId="0" xfId="1" applyFont="1" applyAlignment="1">
      <alignment horizontal="right" vertical="center"/>
    </xf>
    <xf numFmtId="43" fontId="7" fillId="0" borderId="0" xfId="1" applyFont="1" applyAlignment="1">
      <alignment horizontal="right" vertical="center"/>
    </xf>
    <xf numFmtId="43" fontId="8" fillId="0" borderId="0" xfId="1" applyFont="1" applyAlignment="1">
      <alignment vertical="center"/>
    </xf>
    <xf numFmtId="43" fontId="6" fillId="0" borderId="1" xfId="1" applyFont="1" applyBorder="1" applyAlignment="1">
      <alignment horizontal="center" vertical="center" wrapText="1"/>
    </xf>
    <xf numFmtId="0" fontId="14" fillId="0" borderId="1" xfId="0" applyFont="1" applyBorder="1" applyAlignment="1">
      <alignment horizontal="right" vertical="center" wrapText="1"/>
    </xf>
    <xf numFmtId="14" fontId="8" fillId="0" borderId="0" xfId="0" applyNumberFormat="1" applyFont="1" applyAlignment="1">
      <alignment horizontal="center" vertical="center" wrapText="1"/>
    </xf>
    <xf numFmtId="0" fontId="14" fillId="2" borderId="1" xfId="0" applyFont="1" applyFill="1" applyBorder="1" applyAlignment="1">
      <alignment horizontal="right" vertical="center" wrapText="1"/>
    </xf>
    <xf numFmtId="166" fontId="13" fillId="0" borderId="8" xfId="1" applyNumberFormat="1" applyFont="1" applyBorder="1" applyAlignment="1">
      <alignment vertical="center" wrapText="1"/>
    </xf>
    <xf numFmtId="0" fontId="13" fillId="0" borderId="8" xfId="1" applyNumberFormat="1" applyFont="1" applyBorder="1" applyAlignment="1">
      <alignment horizontal="center" vertical="center" wrapText="1"/>
    </xf>
    <xf numFmtId="43" fontId="13" fillId="0" borderId="8" xfId="1" applyFont="1" applyBorder="1" applyAlignment="1">
      <alignment horizontal="center" vertical="center" wrapText="1"/>
    </xf>
    <xf numFmtId="0" fontId="20" fillId="0" borderId="8" xfId="0" applyFont="1" applyBorder="1" applyAlignment="1">
      <alignment vertical="center" wrapText="1"/>
    </xf>
    <xf numFmtId="0" fontId="13" fillId="0" borderId="0" xfId="0" applyFont="1" applyAlignment="1">
      <alignment horizontal="center" vertical="center" textRotation="90" wrapText="1"/>
    </xf>
    <xf numFmtId="0" fontId="13" fillId="0" borderId="9" xfId="0" applyFont="1" applyBorder="1" applyAlignment="1">
      <alignment horizontal="left" vertical="center"/>
    </xf>
    <xf numFmtId="0" fontId="14" fillId="0" borderId="0" xfId="0" applyFont="1" applyAlignment="1">
      <alignment horizontal="center" vertical="center" wrapText="1"/>
    </xf>
    <xf numFmtId="166" fontId="13" fillId="0" borderId="0" xfId="1" applyNumberFormat="1" applyFont="1" applyBorder="1" applyAlignment="1">
      <alignment vertical="center" wrapText="1"/>
    </xf>
    <xf numFmtId="0" fontId="13" fillId="0" borderId="0" xfId="1" applyNumberFormat="1" applyFont="1" applyBorder="1" applyAlignment="1">
      <alignment horizontal="center" vertical="center" wrapText="1"/>
    </xf>
    <xf numFmtId="43" fontId="13" fillId="0" borderId="0" xfId="1" applyFont="1" applyBorder="1" applyAlignment="1">
      <alignment horizontal="center" vertical="center" wrapText="1"/>
    </xf>
    <xf numFmtId="43" fontId="13" fillId="0" borderId="0" xfId="1" applyFont="1" applyBorder="1" applyAlignment="1">
      <alignment vertical="center" wrapText="1"/>
    </xf>
    <xf numFmtId="0" fontId="14" fillId="0" borderId="0" xfId="0" applyFont="1" applyAlignment="1">
      <alignment vertical="center" wrapText="1"/>
    </xf>
    <xf numFmtId="43" fontId="8" fillId="0" borderId="0" xfId="1" applyFont="1" applyAlignment="1">
      <alignment horizontal="center" vertical="center" wrapText="1"/>
    </xf>
    <xf numFmtId="165" fontId="8" fillId="0" borderId="0" xfId="0" applyNumberFormat="1" applyFont="1" applyAlignment="1">
      <alignment vertical="center" wrapText="1"/>
    </xf>
    <xf numFmtId="43" fontId="8" fillId="0" borderId="0" xfId="0" applyNumberFormat="1" applyFont="1" applyAlignment="1">
      <alignment horizontal="left" vertical="center"/>
    </xf>
    <xf numFmtId="43" fontId="13" fillId="0" borderId="0" xfId="1" applyFont="1" applyAlignment="1">
      <alignment vertical="center" wrapText="1"/>
    </xf>
    <xf numFmtId="170" fontId="13" fillId="0" borderId="0" xfId="0" applyNumberFormat="1" applyFont="1" applyAlignment="1">
      <alignment vertical="center"/>
    </xf>
    <xf numFmtId="165" fontId="8" fillId="0" borderId="0" xfId="1" applyNumberFormat="1" applyFont="1" applyAlignment="1">
      <alignment horizontal="left" vertical="center"/>
    </xf>
    <xf numFmtId="166" fontId="8" fillId="0" borderId="0" xfId="1" applyNumberFormat="1" applyFont="1" applyAlignment="1">
      <alignment horizontal="center" vertical="center" wrapText="1"/>
    </xf>
    <xf numFmtId="0" fontId="14" fillId="0" borderId="0" xfId="0" applyFont="1" applyAlignment="1">
      <alignment horizontal="right" vertical="center" wrapText="1"/>
    </xf>
    <xf numFmtId="166" fontId="14" fillId="0" borderId="0" xfId="1" applyNumberFormat="1" applyFont="1" applyBorder="1" applyAlignment="1">
      <alignment vertical="center" wrapText="1"/>
    </xf>
    <xf numFmtId="166" fontId="13" fillId="0" borderId="0" xfId="1" applyNumberFormat="1" applyFont="1" applyBorder="1" applyAlignment="1">
      <alignment horizontal="center" vertical="center" wrapText="1"/>
    </xf>
    <xf numFmtId="166" fontId="14" fillId="0" borderId="0" xfId="1" applyNumberFormat="1" applyFont="1" applyBorder="1" applyAlignment="1">
      <alignment horizontal="center" vertical="center" wrapText="1"/>
    </xf>
    <xf numFmtId="0" fontId="8" fillId="0" borderId="0" xfId="0" applyFont="1" applyAlignment="1">
      <alignment horizontal="right" vertical="center" wrapText="1"/>
    </xf>
    <xf numFmtId="0" fontId="23" fillId="0" borderId="0" xfId="0" applyFont="1" applyAlignment="1">
      <alignment horizontal="left" vertical="center"/>
    </xf>
    <xf numFmtId="43" fontId="8" fillId="0" borderId="0" xfId="1" applyFont="1" applyAlignment="1">
      <alignment horizontal="left" vertical="center"/>
    </xf>
    <xf numFmtId="0" fontId="6" fillId="0" borderId="6" xfId="0" applyFont="1" applyBorder="1" applyAlignment="1">
      <alignment horizontal="center" vertical="center"/>
    </xf>
    <xf numFmtId="43" fontId="8" fillId="0" borderId="0" xfId="1" applyFont="1" applyAlignment="1">
      <alignment vertical="center" wrapText="1"/>
    </xf>
    <xf numFmtId="0" fontId="18" fillId="0" borderId="2" xfId="0" applyFont="1" applyBorder="1" applyAlignment="1">
      <alignment vertical="center" wrapText="1"/>
    </xf>
    <xf numFmtId="166" fontId="8" fillId="0" borderId="0" xfId="1" applyNumberFormat="1" applyFont="1" applyAlignment="1">
      <alignment horizontal="center" vertical="center"/>
    </xf>
    <xf numFmtId="166" fontId="11" fillId="0" borderId="11" xfId="1" applyNumberFormat="1" applyFont="1" applyBorder="1" applyAlignment="1">
      <alignment horizontal="left" vertical="center" wrapText="1"/>
    </xf>
    <xf numFmtId="166" fontId="13" fillId="0" borderId="3" xfId="1" applyNumberFormat="1" applyFont="1" applyBorder="1" applyAlignment="1">
      <alignment horizontal="center" vertical="center" wrapText="1"/>
    </xf>
    <xf numFmtId="166" fontId="11" fillId="0" borderId="2" xfId="1" applyNumberFormat="1" applyFont="1" applyBorder="1" applyAlignment="1">
      <alignment horizontal="left" vertical="center" wrapText="1"/>
    </xf>
    <xf numFmtId="166" fontId="13" fillId="0" borderId="2" xfId="1" applyNumberFormat="1" applyFont="1" applyBorder="1" applyAlignment="1">
      <alignment horizontal="left" vertical="center" wrapText="1"/>
    </xf>
    <xf numFmtId="166" fontId="14" fillId="0" borderId="1" xfId="1" applyNumberFormat="1" applyFont="1" applyBorder="1" applyAlignment="1">
      <alignment horizontal="right" vertical="center" wrapText="1"/>
    </xf>
    <xf numFmtId="9" fontId="13" fillId="0" borderId="2" xfId="11" applyFont="1" applyBorder="1" applyAlignment="1">
      <alignment horizontal="center" vertical="center" wrapText="1"/>
    </xf>
    <xf numFmtId="9" fontId="13" fillId="0" borderId="3" xfId="11" applyFont="1" applyBorder="1" applyAlignment="1">
      <alignment horizontal="center" vertical="center" wrapText="1"/>
    </xf>
    <xf numFmtId="9" fontId="13" fillId="0" borderId="4" xfId="11" applyFont="1" applyBorder="1" applyAlignment="1">
      <alignment horizontal="center" vertical="center" wrapText="1"/>
    </xf>
    <xf numFmtId="166" fontId="8" fillId="0" borderId="2" xfId="1" applyNumberFormat="1" applyFont="1" applyBorder="1" applyAlignment="1">
      <alignment horizontal="center" vertical="center"/>
    </xf>
    <xf numFmtId="166" fontId="8" fillId="0" borderId="3" xfId="1" applyNumberFormat="1" applyFont="1" applyBorder="1" applyAlignment="1">
      <alignment horizontal="center" vertical="center"/>
    </xf>
    <xf numFmtId="166" fontId="14" fillId="0" borderId="0" xfId="1" applyNumberFormat="1" applyFont="1" applyFill="1" applyBorder="1" applyAlignment="1">
      <alignment horizontal="right" vertical="center" wrapText="1"/>
    </xf>
    <xf numFmtId="166" fontId="14" fillId="0" borderId="0" xfId="1" applyNumberFormat="1" applyFont="1" applyFill="1" applyBorder="1" applyAlignment="1">
      <alignment horizontal="center" vertical="center" wrapText="1"/>
    </xf>
    <xf numFmtId="43" fontId="14" fillId="0" borderId="0" xfId="0" applyNumberFormat="1" applyFont="1" applyAlignment="1">
      <alignment horizontal="center" vertical="center" wrapText="1"/>
    </xf>
    <xf numFmtId="0" fontId="8" fillId="0" borderId="0" xfId="0" applyFont="1" applyAlignment="1">
      <alignment horizontal="left" vertical="center" wrapText="1"/>
    </xf>
    <xf numFmtId="165" fontId="8" fillId="0" borderId="0" xfId="0" applyNumberFormat="1" applyFont="1" applyAlignment="1">
      <alignment horizontal="left" vertical="center"/>
    </xf>
    <xf numFmtId="165" fontId="8" fillId="0" borderId="0" xfId="1" applyNumberFormat="1" applyFont="1" applyAlignment="1">
      <alignment vertical="center" wrapText="1"/>
    </xf>
    <xf numFmtId="9" fontId="8" fillId="0" borderId="0" xfId="0" applyNumberFormat="1" applyFont="1" applyAlignment="1">
      <alignment horizontal="left" vertical="center"/>
    </xf>
    <xf numFmtId="166" fontId="8" fillId="0" borderId="12" xfId="1" applyNumberFormat="1" applyFont="1" applyBorder="1" applyAlignment="1">
      <alignment horizontal="center" vertical="center"/>
    </xf>
    <xf numFmtId="168" fontId="8" fillId="0" borderId="0" xfId="0" applyNumberFormat="1" applyFont="1" applyAlignment="1">
      <alignment horizontal="left" vertical="center"/>
    </xf>
    <xf numFmtId="166" fontId="23" fillId="0" borderId="0" xfId="0" applyNumberFormat="1" applyFont="1" applyAlignment="1">
      <alignment horizontal="left" vertical="center"/>
    </xf>
    <xf numFmtId="167" fontId="8" fillId="0" borderId="0" xfId="0" applyNumberFormat="1" applyFont="1" applyAlignment="1">
      <alignment vertical="center" wrapText="1"/>
    </xf>
    <xf numFmtId="166" fontId="8" fillId="0" borderId="0" xfId="1" applyNumberFormat="1" applyFont="1" applyAlignment="1">
      <alignment vertical="center" wrapText="1"/>
    </xf>
    <xf numFmtId="0" fontId="9" fillId="0" borderId="0" xfId="0" applyFont="1" applyAlignment="1">
      <alignment horizontal="left" vertical="center" wrapText="1"/>
    </xf>
    <xf numFmtId="0" fontId="5" fillId="0" borderId="0" xfId="0" applyFont="1" applyAlignment="1">
      <alignment horizontal="right" vertical="center"/>
    </xf>
    <xf numFmtId="166" fontId="8" fillId="0" borderId="0" xfId="0" applyNumberFormat="1" applyFont="1" applyAlignment="1">
      <alignment horizontal="left" vertical="center" wrapText="1"/>
    </xf>
    <xf numFmtId="43" fontId="8" fillId="0" borderId="0" xfId="1" applyFont="1" applyAlignment="1">
      <alignment horizontal="left" vertical="center" wrapText="1"/>
    </xf>
    <xf numFmtId="166" fontId="8" fillId="0" borderId="0" xfId="1" applyNumberFormat="1" applyFont="1" applyAlignment="1">
      <alignment horizontal="left" vertical="center" wrapText="1"/>
    </xf>
    <xf numFmtId="43" fontId="8" fillId="0" borderId="0" xfId="0" applyNumberFormat="1" applyFont="1" applyAlignment="1">
      <alignment horizontal="left" vertical="center" wrapText="1"/>
    </xf>
    <xf numFmtId="169" fontId="5" fillId="0" borderId="0" xfId="0" applyNumberFormat="1" applyFont="1" applyAlignment="1">
      <alignment horizontal="left" vertical="center"/>
    </xf>
    <xf numFmtId="166" fontId="6" fillId="0" borderId="2" xfId="0" applyNumberFormat="1" applyFont="1" applyBorder="1" applyAlignment="1">
      <alignment vertical="center" wrapText="1"/>
    </xf>
    <xf numFmtId="0" fontId="13" fillId="0" borderId="13" xfId="0" applyFont="1" applyBorder="1" applyAlignment="1">
      <alignment horizontal="center" vertical="center" wrapText="1"/>
    </xf>
    <xf numFmtId="0" fontId="13" fillId="0" borderId="2" xfId="0" applyFont="1" applyBorder="1" applyAlignment="1">
      <alignment horizontal="center" vertical="center" textRotation="90" wrapText="1"/>
    </xf>
    <xf numFmtId="0" fontId="6" fillId="0" borderId="2" xfId="0" applyFont="1" applyBorder="1" applyAlignment="1">
      <alignment horizontal="center" vertical="center" wrapText="1"/>
    </xf>
    <xf numFmtId="166" fontId="13" fillId="3" borderId="2" xfId="1" applyNumberFormat="1" applyFont="1" applyFill="1" applyBorder="1" applyAlignment="1">
      <alignment horizontal="center" vertical="center" wrapText="1"/>
    </xf>
    <xf numFmtId="0" fontId="8" fillId="4" borderId="2" xfId="0" applyFont="1" applyFill="1" applyBorder="1" applyAlignment="1">
      <alignment horizontal="left" vertical="center"/>
    </xf>
    <xf numFmtId="0" fontId="8" fillId="4" borderId="2" xfId="0" applyFont="1" applyFill="1" applyBorder="1" applyAlignment="1">
      <alignment horizontal="left" vertical="center" wrapText="1"/>
    </xf>
    <xf numFmtId="165" fontId="13" fillId="0" borderId="0" xfId="1" applyNumberFormat="1" applyFont="1" applyFill="1"/>
    <xf numFmtId="165" fontId="13" fillId="0" borderId="0" xfId="0" applyNumberFormat="1" applyFont="1"/>
    <xf numFmtId="0" fontId="6" fillId="0" borderId="14" xfId="0" applyFont="1" applyBorder="1" applyAlignment="1">
      <alignment horizontal="center" vertical="center" wrapText="1"/>
    </xf>
    <xf numFmtId="166" fontId="6" fillId="0" borderId="5" xfId="1" applyNumberFormat="1" applyFont="1" applyFill="1" applyBorder="1" applyAlignment="1">
      <alignment vertical="center"/>
    </xf>
    <xf numFmtId="43" fontId="6" fillId="0" borderId="0" xfId="1" applyFont="1" applyBorder="1" applyAlignment="1">
      <alignment horizontal="center" vertical="center" wrapText="1"/>
    </xf>
    <xf numFmtId="166" fontId="13" fillId="0" borderId="0" xfId="0" applyNumberFormat="1" applyFont="1"/>
    <xf numFmtId="43" fontId="14" fillId="0" borderId="0" xfId="1" applyFont="1" applyAlignment="1">
      <alignment vertical="center"/>
    </xf>
    <xf numFmtId="166" fontId="14" fillId="0" borderId="2" xfId="1" applyNumberFormat="1" applyFont="1" applyBorder="1" applyAlignment="1">
      <alignment vertical="center" wrapText="1"/>
    </xf>
    <xf numFmtId="165" fontId="6" fillId="0" borderId="0" xfId="1" applyNumberFormat="1" applyFont="1" applyFill="1" applyAlignment="1">
      <alignment horizontal="left" vertical="center"/>
    </xf>
    <xf numFmtId="43" fontId="13" fillId="0" borderId="0" xfId="0" applyNumberFormat="1" applyFont="1"/>
    <xf numFmtId="43" fontId="13" fillId="0" borderId="0" xfId="0" applyNumberFormat="1" applyFont="1" applyAlignment="1">
      <alignment vertical="center"/>
    </xf>
    <xf numFmtId="9" fontId="8" fillId="0" borderId="0" xfId="11" applyFont="1" applyAlignment="1">
      <alignment horizontal="center" vertical="center" wrapText="1"/>
    </xf>
    <xf numFmtId="43" fontId="13" fillId="0" borderId="0" xfId="1" applyFont="1"/>
    <xf numFmtId="166" fontId="13" fillId="0" borderId="0" xfId="1" applyNumberFormat="1" applyFont="1"/>
    <xf numFmtId="10" fontId="6" fillId="0" borderId="0" xfId="11" applyNumberFormat="1" applyFont="1" applyBorder="1" applyAlignment="1">
      <alignment vertical="center"/>
    </xf>
    <xf numFmtId="0" fontId="13" fillId="0" borderId="2" xfId="0" applyFont="1" applyBorder="1" applyAlignment="1">
      <alignment horizontal="left" vertical="center"/>
    </xf>
    <xf numFmtId="43" fontId="13" fillId="0" borderId="2" xfId="1" applyFont="1" applyBorder="1" applyAlignment="1">
      <alignment horizontal="center" vertical="center"/>
    </xf>
    <xf numFmtId="165" fontId="13" fillId="0" borderId="2" xfId="1" applyNumberFormat="1" applyFont="1" applyBorder="1" applyAlignment="1">
      <alignment vertical="center"/>
    </xf>
    <xf numFmtId="165" fontId="13" fillId="0" borderId="2" xfId="0" applyNumberFormat="1" applyFont="1" applyBorder="1" applyAlignment="1">
      <alignment horizontal="center" vertical="center"/>
    </xf>
    <xf numFmtId="0" fontId="13" fillId="0" borderId="2" xfId="0" applyFont="1" applyBorder="1" applyAlignment="1">
      <alignment horizontal="center" vertical="center"/>
    </xf>
    <xf numFmtId="169" fontId="8" fillId="0" borderId="0" xfId="0" applyNumberFormat="1" applyFont="1" applyAlignment="1">
      <alignment vertical="center"/>
    </xf>
    <xf numFmtId="166" fontId="14" fillId="0" borderId="0" xfId="11" applyNumberFormat="1" applyFont="1" applyAlignment="1">
      <alignment vertical="center"/>
    </xf>
    <xf numFmtId="166" fontId="13" fillId="0" borderId="2" xfId="1" applyNumberFormat="1" applyFont="1" applyFill="1" applyBorder="1" applyAlignment="1">
      <alignment vertical="center" wrapText="1"/>
    </xf>
    <xf numFmtId="165" fontId="13" fillId="0" borderId="2" xfId="1" applyNumberFormat="1" applyFont="1" applyFill="1" applyBorder="1" applyAlignment="1">
      <alignment horizontal="center" vertical="center" wrapText="1"/>
    </xf>
    <xf numFmtId="165" fontId="13" fillId="0" borderId="0" xfId="1" applyNumberFormat="1" applyFont="1" applyAlignment="1">
      <alignment vertical="center" wrapText="1"/>
    </xf>
    <xf numFmtId="43" fontId="6" fillId="0" borderId="0" xfId="11" applyNumberFormat="1" applyFont="1" applyBorder="1" applyAlignment="1">
      <alignment vertical="center"/>
    </xf>
    <xf numFmtId="168" fontId="8" fillId="0" borderId="0" xfId="0" applyNumberFormat="1" applyFont="1" applyAlignment="1">
      <alignment horizontal="center" vertical="center" wrapText="1"/>
    </xf>
    <xf numFmtId="166" fontId="6" fillId="0" borderId="15" xfId="1" applyNumberFormat="1" applyFont="1" applyFill="1" applyBorder="1" applyAlignment="1">
      <alignment vertical="center"/>
    </xf>
    <xf numFmtId="166" fontId="6" fillId="0" borderId="2" xfId="1" applyNumberFormat="1" applyFont="1" applyBorder="1" applyAlignment="1">
      <alignment horizontal="center" vertical="center"/>
    </xf>
    <xf numFmtId="43" fontId="8" fillId="0" borderId="2" xfId="0" applyNumberFormat="1" applyFont="1" applyBorder="1" applyAlignment="1" applyProtection="1">
      <alignment vertical="center"/>
      <protection locked="0"/>
    </xf>
    <xf numFmtId="1" fontId="13" fillId="0" borderId="2" xfId="0" applyNumberFormat="1" applyFont="1" applyBorder="1" applyAlignment="1">
      <alignment horizontal="center" vertical="center" wrapText="1"/>
    </xf>
    <xf numFmtId="0" fontId="7"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indent="2"/>
    </xf>
    <xf numFmtId="0" fontId="16" fillId="0" borderId="0" xfId="0" applyFont="1" applyAlignment="1">
      <alignment horizontal="left" vertical="center"/>
    </xf>
    <xf numFmtId="14" fontId="16" fillId="0" borderId="0" xfId="0" applyNumberFormat="1" applyFont="1" applyAlignment="1">
      <alignment horizontal="left" vertical="center"/>
    </xf>
    <xf numFmtId="0" fontId="15" fillId="0" borderId="7" xfId="0" applyFont="1" applyBorder="1" applyAlignment="1">
      <alignment horizontal="center" vertical="center"/>
    </xf>
    <xf numFmtId="0" fontId="15" fillId="0" borderId="16" xfId="0" applyFont="1" applyBorder="1" applyAlignment="1">
      <alignment horizontal="center" vertical="center"/>
    </xf>
    <xf numFmtId="2" fontId="16" fillId="0" borderId="2" xfId="0" applyNumberFormat="1" applyFont="1" applyBorder="1" applyAlignment="1">
      <alignment horizontal="center" vertical="center"/>
    </xf>
    <xf numFmtId="2" fontId="16" fillId="0" borderId="3" xfId="0" applyNumberFormat="1" applyFont="1" applyBorder="1" applyAlignment="1">
      <alignment horizontal="center" vertical="center"/>
    </xf>
    <xf numFmtId="9" fontId="16" fillId="0" borderId="3" xfId="11" applyFont="1" applyBorder="1" applyAlignment="1">
      <alignment horizontal="center" vertical="center"/>
    </xf>
    <xf numFmtId="43" fontId="6" fillId="0" borderId="1" xfId="0" applyNumberFormat="1" applyFont="1" applyBorder="1" applyAlignment="1">
      <alignment horizontal="center" vertical="center" wrapText="1"/>
    </xf>
    <xf numFmtId="166" fontId="8" fillId="0" borderId="2" xfId="4" applyNumberFormat="1" applyFont="1" applyFill="1" applyBorder="1" applyAlignment="1">
      <alignment vertical="center"/>
    </xf>
    <xf numFmtId="166" fontId="8" fillId="3" borderId="2" xfId="4" applyNumberFormat="1" applyFont="1" applyFill="1" applyBorder="1" applyAlignment="1">
      <alignment vertical="center"/>
    </xf>
    <xf numFmtId="43" fontId="6" fillId="0" borderId="0" xfId="0" applyNumberFormat="1" applyFont="1" applyAlignment="1">
      <alignment vertical="center"/>
    </xf>
    <xf numFmtId="165" fontId="13" fillId="0" borderId="0" xfId="1" applyNumberFormat="1" applyFont="1" applyAlignment="1">
      <alignment vertical="center"/>
    </xf>
    <xf numFmtId="166" fontId="2" fillId="0" borderId="2" xfId="1" applyNumberFormat="1" applyFont="1" applyFill="1" applyBorder="1" applyAlignment="1">
      <alignment horizontal="center" vertical="center" wrapText="1"/>
    </xf>
    <xf numFmtId="166" fontId="16" fillId="0" borderId="0" xfId="0" applyNumberFormat="1" applyFont="1" applyAlignment="1">
      <alignment horizontal="center" vertical="center" wrapText="1"/>
    </xf>
    <xf numFmtId="166" fontId="8" fillId="0" borderId="2" xfId="1" applyNumberFormat="1" applyFont="1" applyBorder="1" applyAlignment="1">
      <alignment horizontal="center" vertical="center" wrapText="1"/>
    </xf>
    <xf numFmtId="10" fontId="13" fillId="0" borderId="0" xfId="11" applyNumberFormat="1" applyFont="1" applyAlignment="1">
      <alignment vertical="center" wrapText="1"/>
    </xf>
    <xf numFmtId="10" fontId="13" fillId="0" borderId="0" xfId="0" applyNumberFormat="1" applyFont="1" applyAlignment="1">
      <alignment vertical="center" wrapText="1"/>
    </xf>
    <xf numFmtId="0" fontId="14" fillId="0" borderId="14" xfId="0" applyFont="1" applyBorder="1" applyAlignment="1">
      <alignment horizontal="center" vertical="center" textRotation="90" wrapText="1"/>
    </xf>
    <xf numFmtId="43" fontId="11" fillId="0" borderId="0" xfId="1" applyFont="1" applyAlignment="1">
      <alignment horizontal="center" vertical="center" wrapText="1"/>
    </xf>
    <xf numFmtId="43" fontId="7" fillId="0" borderId="0" xfId="1" applyFont="1" applyAlignment="1">
      <alignment horizontal="center" vertical="center" wrapText="1"/>
    </xf>
    <xf numFmtId="43" fontId="8" fillId="0" borderId="0" xfId="1" applyFont="1" applyAlignment="1">
      <alignment horizontal="center" vertical="center"/>
    </xf>
    <xf numFmtId="43" fontId="9" fillId="0" borderId="0" xfId="1" applyFont="1" applyAlignment="1">
      <alignment horizontal="center" vertical="center" wrapText="1"/>
    </xf>
    <xf numFmtId="43" fontId="8" fillId="0" borderId="0" xfId="1" applyFont="1" applyFill="1" applyAlignment="1">
      <alignment horizontal="center" vertical="center"/>
    </xf>
    <xf numFmtId="0" fontId="26" fillId="0" borderId="2" xfId="10" applyFont="1" applyBorder="1" applyAlignment="1">
      <alignment horizontal="center" vertical="center" wrapText="1"/>
    </xf>
    <xf numFmtId="165" fontId="26" fillId="0" borderId="2" xfId="10" applyNumberFormat="1" applyFont="1" applyBorder="1" applyAlignment="1">
      <alignment vertical="center" wrapText="1"/>
    </xf>
    <xf numFmtId="0" fontId="14" fillId="5" borderId="2" xfId="0" applyFont="1" applyFill="1" applyBorder="1" applyAlignment="1">
      <alignment horizontal="center" vertical="center" wrapText="1"/>
    </xf>
    <xf numFmtId="1" fontId="14" fillId="5" borderId="2" xfId="0" applyNumberFormat="1" applyFont="1" applyFill="1" applyBorder="1" applyAlignment="1">
      <alignment horizontal="center" vertical="center" wrapText="1"/>
    </xf>
    <xf numFmtId="0" fontId="14" fillId="5" borderId="18" xfId="0" applyFont="1" applyFill="1" applyBorder="1" applyAlignment="1">
      <alignment horizontal="center" vertical="center" textRotation="90" wrapText="1"/>
    </xf>
    <xf numFmtId="43" fontId="13" fillId="0" borderId="2" xfId="1" applyFont="1" applyFill="1" applyBorder="1" applyAlignment="1">
      <alignment horizontal="center" vertical="center" wrapText="1"/>
    </xf>
    <xf numFmtId="17" fontId="32" fillId="0" borderId="19" xfId="0" applyNumberFormat="1" applyFont="1" applyBorder="1" applyAlignment="1">
      <alignment vertical="center"/>
    </xf>
    <xf numFmtId="166" fontId="33" fillId="3" borderId="2" xfId="1" applyNumberFormat="1" applyFont="1" applyFill="1" applyBorder="1" applyAlignment="1">
      <alignment vertical="center"/>
    </xf>
    <xf numFmtId="43" fontId="8" fillId="0" borderId="2" xfId="1" applyFont="1" applyBorder="1" applyAlignment="1">
      <alignment horizontal="center" vertical="center" wrapText="1"/>
    </xf>
    <xf numFmtId="43" fontId="6" fillId="0" borderId="2" xfId="1" applyFont="1" applyBorder="1" applyAlignment="1">
      <alignment horizontal="center" vertical="center"/>
    </xf>
    <xf numFmtId="0" fontId="14" fillId="2" borderId="20" xfId="0" applyFont="1" applyFill="1" applyBorder="1" applyAlignment="1">
      <alignment horizontal="center" vertical="center" wrapText="1"/>
    </xf>
    <xf numFmtId="43" fontId="16" fillId="0" borderId="0" xfId="1" applyFont="1" applyAlignment="1">
      <alignment horizontal="center" vertical="center" wrapText="1"/>
    </xf>
    <xf numFmtId="0" fontId="16" fillId="0" borderId="2" xfId="0" applyFont="1" applyBorder="1" applyAlignment="1">
      <alignment vertical="center" wrapText="1"/>
    </xf>
    <xf numFmtId="166" fontId="6" fillId="0" borderId="2" xfId="0" applyNumberFormat="1" applyFont="1" applyBorder="1" applyAlignment="1">
      <alignment vertical="center"/>
    </xf>
    <xf numFmtId="167" fontId="13" fillId="0" borderId="0" xfId="1" applyNumberFormat="1" applyFont="1" applyAlignment="1">
      <alignment vertical="center"/>
    </xf>
    <xf numFmtId="167" fontId="13" fillId="0" borderId="0" xfId="1" applyNumberFormat="1" applyFont="1"/>
    <xf numFmtId="166" fontId="13" fillId="0" borderId="3" xfId="1" applyNumberFormat="1" applyFont="1" applyBorder="1" applyAlignment="1">
      <alignment horizontal="left" vertical="center" wrapText="1"/>
    </xf>
    <xf numFmtId="43" fontId="13" fillId="0" borderId="2" xfId="0" applyNumberFormat="1" applyFont="1" applyBorder="1" applyAlignment="1">
      <alignment horizontal="center" vertical="center" textRotation="90" wrapText="1"/>
    </xf>
    <xf numFmtId="0" fontId="13" fillId="0" borderId="0" xfId="0" applyFont="1" applyAlignment="1">
      <alignment horizontal="left" vertical="center" indent="2"/>
    </xf>
    <xf numFmtId="0" fontId="13" fillId="0" borderId="1" xfId="0" applyFont="1" applyBorder="1" applyAlignment="1">
      <alignment horizontal="center" vertical="center" wrapText="1"/>
    </xf>
    <xf numFmtId="43" fontId="34" fillId="0" borderId="2" xfId="4" applyFont="1" applyFill="1" applyBorder="1" applyAlignment="1">
      <alignment horizontal="center" vertical="center" wrapText="1"/>
    </xf>
    <xf numFmtId="43" fontId="6" fillId="0" borderId="20" xfId="4" applyFont="1" applyBorder="1" applyAlignment="1">
      <alignment horizontal="center" vertical="center" wrapText="1"/>
    </xf>
    <xf numFmtId="166" fontId="8" fillId="0" borderId="2" xfId="4" applyNumberFormat="1" applyFont="1" applyBorder="1" applyAlignment="1">
      <alignment vertical="center"/>
    </xf>
    <xf numFmtId="168" fontId="8" fillId="0" borderId="0" xfId="0" applyNumberFormat="1" applyFont="1" applyAlignment="1">
      <alignment vertical="center"/>
    </xf>
    <xf numFmtId="43" fontId="13" fillId="0" borderId="0" xfId="1" applyFont="1" applyAlignment="1">
      <alignment vertical="center"/>
    </xf>
    <xf numFmtId="166" fontId="9" fillId="0" borderId="0" xfId="1" applyNumberFormat="1" applyFont="1" applyAlignment="1">
      <alignment horizontal="left" vertical="center" wrapText="1"/>
    </xf>
    <xf numFmtId="166" fontId="8" fillId="0" borderId="2" xfId="4" applyNumberFormat="1" applyFont="1" applyBorder="1" applyAlignment="1">
      <alignment horizontal="center" vertical="center" wrapText="1"/>
    </xf>
    <xf numFmtId="165" fontId="8" fillId="0" borderId="0" xfId="1" applyNumberFormat="1" applyFont="1" applyAlignment="1">
      <alignment horizontal="center" vertical="center" wrapText="1"/>
    </xf>
    <xf numFmtId="14" fontId="14" fillId="4" borderId="2" xfId="1" applyNumberFormat="1" applyFont="1" applyFill="1" applyBorder="1" applyAlignment="1">
      <alignment horizontal="center" vertical="center" wrapText="1"/>
    </xf>
    <xf numFmtId="166" fontId="14" fillId="4" borderId="2" xfId="1" applyNumberFormat="1" applyFont="1" applyFill="1" applyBorder="1" applyAlignment="1">
      <alignment horizontal="center" vertical="center" wrapText="1"/>
    </xf>
    <xf numFmtId="166" fontId="14" fillId="4" borderId="3" xfId="1" applyNumberFormat="1" applyFont="1" applyFill="1" applyBorder="1" applyAlignment="1">
      <alignment horizontal="center" vertical="center" wrapText="1"/>
    </xf>
    <xf numFmtId="43" fontId="14" fillId="4" borderId="2" xfId="1" applyFont="1" applyFill="1" applyBorder="1" applyAlignment="1">
      <alignment horizontal="left" vertical="center" wrapText="1"/>
    </xf>
    <xf numFmtId="166" fontId="14" fillId="6" borderId="20" xfId="1" applyNumberFormat="1" applyFont="1" applyFill="1" applyBorder="1" applyAlignment="1">
      <alignment vertical="center" wrapText="1"/>
    </xf>
    <xf numFmtId="43" fontId="14" fillId="6" borderId="20" xfId="1" applyFont="1" applyFill="1" applyBorder="1" applyAlignment="1">
      <alignment vertical="center" wrapText="1"/>
    </xf>
    <xf numFmtId="0" fontId="14" fillId="4" borderId="2" xfId="0" applyFont="1" applyFill="1" applyBorder="1" applyAlignment="1">
      <alignment horizontal="center" vertical="center" wrapText="1"/>
    </xf>
    <xf numFmtId="43" fontId="6" fillId="0" borderId="0" xfId="0" applyNumberFormat="1" applyFont="1" applyAlignment="1">
      <alignment vertical="center" wrapText="1"/>
    </xf>
    <xf numFmtId="0" fontId="14" fillId="0" borderId="2" xfId="0" applyFont="1" applyBorder="1" applyAlignment="1">
      <alignment horizontal="right" vertical="center" wrapText="1"/>
    </xf>
    <xf numFmtId="0" fontId="12" fillId="0" borderId="2" xfId="0" applyFont="1" applyBorder="1" applyAlignment="1">
      <alignment horizontal="left" vertical="center" wrapText="1"/>
    </xf>
    <xf numFmtId="43" fontId="12" fillId="0" borderId="2" xfId="1" applyFont="1" applyBorder="1" applyAlignment="1">
      <alignment horizontal="left" vertical="center" wrapText="1"/>
    </xf>
    <xf numFmtId="43" fontId="14" fillId="0" borderId="2" xfId="1" applyFont="1" applyBorder="1" applyAlignment="1">
      <alignment horizontal="left" vertical="center" wrapText="1"/>
    </xf>
    <xf numFmtId="0" fontId="11" fillId="0" borderId="0" xfId="0" applyFont="1" applyAlignment="1">
      <alignment horizontal="right" vertical="center" wrapText="1"/>
    </xf>
    <xf numFmtId="166" fontId="33" fillId="3" borderId="0" xfId="1" applyNumberFormat="1" applyFont="1" applyFill="1" applyBorder="1" applyAlignment="1">
      <alignment vertical="center"/>
    </xf>
    <xf numFmtId="166" fontId="6" fillId="0" borderId="0" xfId="0" applyNumberFormat="1" applyFont="1" applyAlignment="1">
      <alignment vertical="center"/>
    </xf>
    <xf numFmtId="166" fontId="13" fillId="0" borderId="0" xfId="1" applyNumberFormat="1" applyFont="1" applyFill="1" applyAlignment="1">
      <alignment vertical="center" wrapText="1"/>
    </xf>
    <xf numFmtId="166" fontId="14" fillId="0" borderId="0" xfId="1" applyNumberFormat="1" applyFont="1" applyFill="1" applyAlignment="1">
      <alignment horizontal="left" vertical="center"/>
    </xf>
    <xf numFmtId="0" fontId="12" fillId="0" borderId="2" xfId="0" applyFont="1" applyBorder="1" applyAlignment="1">
      <alignment horizontal="right" vertical="center" wrapText="1"/>
    </xf>
    <xf numFmtId="0" fontId="27" fillId="0" borderId="1" xfId="0" applyFont="1" applyBorder="1" applyAlignment="1">
      <alignment horizontal="center" vertical="center" wrapText="1"/>
    </xf>
    <xf numFmtId="14" fontId="28" fillId="0" borderId="2" xfId="0" applyNumberFormat="1" applyFont="1" applyBorder="1" applyAlignment="1">
      <alignment horizontal="left" vertical="center" wrapText="1"/>
    </xf>
    <xf numFmtId="0" fontId="28" fillId="0" borderId="2" xfId="0" applyFont="1" applyBorder="1" applyAlignment="1">
      <alignment horizontal="left" vertical="center" wrapText="1"/>
    </xf>
    <xf numFmtId="0" fontId="27" fillId="0" borderId="0" xfId="0" applyFont="1" applyAlignment="1">
      <alignment horizontal="left" vertical="center"/>
    </xf>
    <xf numFmtId="0" fontId="29" fillId="0" borderId="0" xfId="0" applyFont="1" applyAlignment="1">
      <alignment horizontal="left" vertical="center"/>
    </xf>
    <xf numFmtId="43" fontId="27" fillId="0" borderId="0" xfId="0" applyNumberFormat="1" applyFont="1" applyAlignment="1">
      <alignment horizontal="left" vertical="center"/>
    </xf>
    <xf numFmtId="0" fontId="31" fillId="0" borderId="2" xfId="0" applyFont="1" applyBorder="1" applyAlignment="1">
      <alignment horizontal="center"/>
    </xf>
    <xf numFmtId="0" fontId="31" fillId="0" borderId="2" xfId="0" applyFont="1" applyBorder="1"/>
    <xf numFmtId="169" fontId="16" fillId="0" borderId="0" xfId="0" applyNumberFormat="1" applyFont="1" applyAlignment="1">
      <alignment horizontal="left" vertical="center"/>
    </xf>
    <xf numFmtId="0" fontId="16" fillId="0" borderId="2" xfId="0" applyFont="1" applyBorder="1" applyAlignment="1">
      <alignment horizontal="center" vertical="center"/>
    </xf>
    <xf numFmtId="166" fontId="14" fillId="4" borderId="2" xfId="1" applyNumberFormat="1" applyFont="1" applyFill="1" applyBorder="1" applyAlignment="1">
      <alignment vertical="center" wrapText="1"/>
    </xf>
    <xf numFmtId="0" fontId="13" fillId="4" borderId="2" xfId="0" applyFont="1" applyFill="1" applyBorder="1" applyAlignment="1">
      <alignment horizontal="center" vertical="center" wrapText="1"/>
    </xf>
    <xf numFmtId="0" fontId="19" fillId="0" borderId="0" xfId="0" applyFont="1" applyAlignment="1">
      <alignment horizontal="right"/>
    </xf>
    <xf numFmtId="166" fontId="8" fillId="0" borderId="2" xfId="1" applyNumberFormat="1" applyFont="1" applyBorder="1" applyAlignment="1">
      <alignment vertical="center" wrapText="1"/>
    </xf>
    <xf numFmtId="171" fontId="8" fillId="0" borderId="2" xfId="0" applyNumberFormat="1" applyFont="1" applyBorder="1" applyAlignment="1">
      <alignment vertical="center" wrapText="1"/>
    </xf>
    <xf numFmtId="169" fontId="8" fillId="0" borderId="2" xfId="0" applyNumberFormat="1" applyFont="1" applyBorder="1" applyAlignment="1">
      <alignment vertical="center" wrapText="1"/>
    </xf>
    <xf numFmtId="166" fontId="6" fillId="0" borderId="2" xfId="1" applyNumberFormat="1" applyFont="1" applyBorder="1" applyAlignment="1">
      <alignment vertical="center" wrapText="1"/>
    </xf>
    <xf numFmtId="43" fontId="8" fillId="0" borderId="0" xfId="0" applyNumberFormat="1" applyFont="1" applyAlignment="1" applyProtection="1">
      <alignment vertical="center"/>
      <protection locked="0"/>
    </xf>
    <xf numFmtId="165" fontId="8" fillId="0" borderId="0" xfId="1" applyNumberFormat="1" applyFont="1" applyAlignment="1">
      <alignment vertical="center"/>
    </xf>
    <xf numFmtId="165" fontId="8" fillId="0" borderId="0" xfId="1" applyNumberFormat="1" applyFont="1" applyFill="1" applyAlignment="1">
      <alignment vertical="center"/>
    </xf>
    <xf numFmtId="166" fontId="8" fillId="4" borderId="0" xfId="1" applyNumberFormat="1" applyFont="1" applyFill="1" applyAlignment="1">
      <alignment vertical="center"/>
    </xf>
    <xf numFmtId="165" fontId="13" fillId="0" borderId="3" xfId="1" applyNumberFormat="1" applyFont="1" applyFill="1" applyBorder="1" applyAlignment="1">
      <alignment horizontal="center" vertical="center" wrapText="1"/>
    </xf>
    <xf numFmtId="165" fontId="13" fillId="0" borderId="2" xfId="1" applyNumberFormat="1" applyFont="1" applyFill="1" applyBorder="1" applyAlignment="1">
      <alignment horizontal="justify" vertical="center" wrapText="1"/>
    </xf>
    <xf numFmtId="165" fontId="14" fillId="4" borderId="3" xfId="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27" fillId="0" borderId="14" xfId="0" applyFont="1" applyBorder="1" applyAlignment="1">
      <alignment horizontal="center" vertical="center" textRotation="90" wrapText="1"/>
    </xf>
    <xf numFmtId="166" fontId="13" fillId="0" borderId="2" xfId="0" applyNumberFormat="1" applyFont="1" applyBorder="1" applyAlignment="1">
      <alignment horizontal="center" vertical="center" wrapText="1"/>
    </xf>
    <xf numFmtId="165" fontId="6" fillId="0" borderId="2" xfId="1" applyNumberFormat="1" applyFont="1" applyBorder="1" applyAlignment="1">
      <alignment vertical="center" wrapText="1"/>
    </xf>
    <xf numFmtId="169" fontId="13" fillId="0" borderId="2" xfId="0" applyNumberFormat="1" applyFont="1" applyBorder="1" applyAlignment="1">
      <alignment vertical="center"/>
    </xf>
    <xf numFmtId="169" fontId="12" fillId="0" borderId="2" xfId="0" applyNumberFormat="1" applyFont="1" applyBorder="1" applyAlignment="1">
      <alignment horizontal="right" vertical="center" wrapText="1"/>
    </xf>
    <xf numFmtId="165" fontId="13" fillId="0" borderId="2" xfId="1" applyNumberFormat="1" applyFont="1" applyFill="1" applyBorder="1" applyAlignment="1">
      <alignment vertical="center" wrapText="1"/>
    </xf>
    <xf numFmtId="166" fontId="12" fillId="3" borderId="2" xfId="1" applyNumberFormat="1" applyFont="1" applyFill="1" applyBorder="1" applyAlignment="1">
      <alignment vertical="center"/>
    </xf>
    <xf numFmtId="176" fontId="13" fillId="0" borderId="0" xfId="0" applyNumberFormat="1" applyFont="1" applyAlignment="1">
      <alignment vertical="center"/>
    </xf>
    <xf numFmtId="166" fontId="13" fillId="0" borderId="0" xfId="1" applyNumberFormat="1" applyFont="1" applyFill="1" applyBorder="1" applyAlignment="1">
      <alignment horizontal="center" vertical="center" wrapText="1"/>
    </xf>
    <xf numFmtId="166" fontId="13" fillId="3" borderId="0" xfId="1" applyNumberFormat="1" applyFont="1" applyFill="1" applyBorder="1" applyAlignment="1">
      <alignment horizontal="center" vertical="center" wrapText="1"/>
    </xf>
    <xf numFmtId="166" fontId="14" fillId="2" borderId="0" xfId="0" applyNumberFormat="1" applyFont="1" applyFill="1" applyAlignment="1">
      <alignment horizontal="center" vertical="center" wrapText="1"/>
    </xf>
    <xf numFmtId="0" fontId="8" fillId="7" borderId="2" xfId="0" applyFont="1" applyFill="1" applyBorder="1" applyAlignment="1">
      <alignment horizontal="left" vertical="center" wrapText="1"/>
    </xf>
    <xf numFmtId="166" fontId="6" fillId="0" borderId="7" xfId="1" applyNumberFormat="1" applyFont="1" applyFill="1" applyBorder="1" applyAlignment="1">
      <alignment vertical="center"/>
    </xf>
    <xf numFmtId="166" fontId="8" fillId="0" borderId="0" xfId="0" applyNumberFormat="1" applyFont="1" applyAlignment="1">
      <alignment vertical="top"/>
    </xf>
    <xf numFmtId="178" fontId="8" fillId="0" borderId="0" xfId="0" applyNumberFormat="1" applyFont="1" applyAlignment="1">
      <alignment vertical="top"/>
    </xf>
    <xf numFmtId="165" fontId="8" fillId="0" borderId="0" xfId="1" applyNumberFormat="1" applyFont="1" applyAlignment="1">
      <alignment vertical="top"/>
    </xf>
    <xf numFmtId="170" fontId="8" fillId="0" borderId="0" xfId="0" applyNumberFormat="1" applyFont="1" applyAlignment="1">
      <alignment horizontal="center" vertical="center" wrapText="1"/>
    </xf>
    <xf numFmtId="165" fontId="6" fillId="0" borderId="0" xfId="0" applyNumberFormat="1" applyFont="1" applyAlignment="1">
      <alignment vertical="top"/>
    </xf>
    <xf numFmtId="166" fontId="37" fillId="0" borderId="2" xfId="1" applyNumberFormat="1" applyFont="1" applyBorder="1" applyAlignment="1">
      <alignment vertical="center" wrapText="1"/>
    </xf>
    <xf numFmtId="165" fontId="37" fillId="0" borderId="2" xfId="1" applyNumberFormat="1" applyFont="1" applyBorder="1" applyAlignment="1">
      <alignment vertical="center" wrapText="1"/>
    </xf>
    <xf numFmtId="166" fontId="37" fillId="0" borderId="2" xfId="1" applyNumberFormat="1" applyFont="1" applyBorder="1" applyAlignment="1">
      <alignment horizontal="center" vertical="center" wrapText="1"/>
    </xf>
    <xf numFmtId="165" fontId="8" fillId="0" borderId="0" xfId="0" applyNumberFormat="1" applyFont="1" applyAlignment="1">
      <alignment vertical="center"/>
    </xf>
    <xf numFmtId="166" fontId="2" fillId="0" borderId="3" xfId="1" applyNumberFormat="1" applyFont="1" applyFill="1" applyBorder="1" applyAlignment="1">
      <alignment horizontal="center" vertical="center" wrapText="1"/>
    </xf>
    <xf numFmtId="0" fontId="11" fillId="0" borderId="2" xfId="0" applyFont="1" applyBorder="1" applyAlignment="1">
      <alignment vertical="center" wrapText="1"/>
    </xf>
    <xf numFmtId="0" fontId="0" fillId="0" borderId="4" xfId="0" applyBorder="1" applyAlignment="1">
      <alignment horizontal="left" vertical="center"/>
    </xf>
    <xf numFmtId="165" fontId="14" fillId="0" borderId="2" xfId="1" applyNumberFormat="1" applyFont="1" applyBorder="1" applyAlignment="1">
      <alignment vertical="center" wrapText="1"/>
    </xf>
    <xf numFmtId="166" fontId="37" fillId="0" borderId="2" xfId="1" applyNumberFormat="1" applyFont="1" applyFill="1" applyBorder="1" applyAlignment="1">
      <alignment vertical="center" wrapText="1"/>
    </xf>
    <xf numFmtId="165" fontId="35" fillId="0" borderId="0" xfId="0" applyNumberFormat="1" applyFont="1" applyAlignment="1">
      <alignment vertical="center" wrapText="1"/>
    </xf>
    <xf numFmtId="0" fontId="35" fillId="0" borderId="0" xfId="0" applyFont="1" applyAlignment="1">
      <alignment vertical="center" wrapText="1"/>
    </xf>
    <xf numFmtId="0" fontId="8" fillId="4" borderId="0" xfId="0" applyFont="1" applyFill="1" applyAlignment="1">
      <alignment horizontal="center" vertical="center" wrapText="1"/>
    </xf>
    <xf numFmtId="179" fontId="8" fillId="0" borderId="0" xfId="1" applyNumberFormat="1" applyFont="1" applyAlignment="1">
      <alignment horizontal="center" vertical="center" wrapText="1"/>
    </xf>
    <xf numFmtId="0" fontId="14" fillId="4" borderId="2" xfId="0" applyFont="1" applyFill="1" applyBorder="1" applyAlignment="1">
      <alignment vertical="center" wrapText="1"/>
    </xf>
    <xf numFmtId="0" fontId="15" fillId="4" borderId="2" xfId="0" applyFont="1" applyFill="1" applyBorder="1" applyAlignment="1">
      <alignment vertical="center" wrapText="1"/>
    </xf>
    <xf numFmtId="166" fontId="13" fillId="0" borderId="2" xfId="4" applyNumberFormat="1" applyFont="1" applyBorder="1" applyAlignment="1">
      <alignment vertical="center" wrapText="1"/>
    </xf>
    <xf numFmtId="14" fontId="12" fillId="0" borderId="0" xfId="0" applyNumberFormat="1" applyFont="1" applyAlignment="1">
      <alignment vertical="top"/>
    </xf>
    <xf numFmtId="166" fontId="35" fillId="3" borderId="2" xfId="1" applyNumberFormat="1" applyFont="1" applyFill="1" applyBorder="1" applyAlignment="1">
      <alignment vertical="center"/>
    </xf>
    <xf numFmtId="166" fontId="12" fillId="0" borderId="2" xfId="4" applyNumberFormat="1" applyFont="1" applyBorder="1" applyAlignment="1">
      <alignment vertical="center"/>
    </xf>
    <xf numFmtId="165" fontId="35" fillId="0" borderId="0" xfId="1" applyNumberFormat="1" applyFont="1" applyAlignment="1">
      <alignment vertical="center"/>
    </xf>
    <xf numFmtId="165" fontId="12" fillId="0" borderId="0" xfId="1" applyNumberFormat="1" applyFont="1" applyAlignment="1">
      <alignment vertical="center"/>
    </xf>
    <xf numFmtId="0" fontId="12" fillId="0" borderId="2" xfId="0" applyFont="1" applyBorder="1" applyAlignment="1">
      <alignment vertical="center" wrapText="1"/>
    </xf>
    <xf numFmtId="0" fontId="2" fillId="3" borderId="2" xfId="0" applyFont="1" applyFill="1" applyBorder="1" applyAlignment="1">
      <alignment vertical="center" wrapText="1"/>
    </xf>
    <xf numFmtId="167" fontId="8" fillId="0" borderId="0" xfId="1" applyNumberFormat="1" applyFont="1" applyAlignment="1">
      <alignment vertical="center"/>
    </xf>
    <xf numFmtId="173" fontId="12" fillId="0" borderId="0" xfId="0" applyNumberFormat="1" applyFont="1" applyAlignment="1">
      <alignment vertical="top"/>
    </xf>
    <xf numFmtId="166" fontId="18" fillId="0" borderId="2" xfId="1" applyNumberFormat="1" applyFont="1" applyBorder="1" applyAlignment="1">
      <alignment horizontal="center" vertical="center"/>
    </xf>
    <xf numFmtId="169" fontId="18" fillId="0" borderId="2" xfId="0" applyNumberFormat="1" applyFont="1" applyBorder="1" applyAlignment="1">
      <alignment horizontal="center" vertical="center"/>
    </xf>
    <xf numFmtId="165" fontId="2" fillId="0" borderId="2" xfId="1" applyNumberFormat="1" applyFont="1" applyFill="1" applyBorder="1" applyAlignment="1">
      <alignment vertical="center" wrapText="1"/>
    </xf>
    <xf numFmtId="166" fontId="2" fillId="0" borderId="2" xfId="1" applyNumberFormat="1" applyFont="1" applyFill="1" applyBorder="1" applyAlignment="1">
      <alignment vertical="center" wrapText="1"/>
    </xf>
    <xf numFmtId="0" fontId="12" fillId="0" borderId="0" xfId="0" applyFont="1" applyAlignment="1">
      <alignment vertical="top"/>
    </xf>
    <xf numFmtId="0" fontId="38" fillId="0" borderId="0" xfId="0" applyFont="1" applyAlignment="1">
      <alignment horizontal="right" vertical="top"/>
    </xf>
    <xf numFmtId="165" fontId="13" fillId="0" borderId="2" xfId="4" applyNumberFormat="1" applyFont="1" applyBorder="1" applyAlignment="1">
      <alignment vertical="center" wrapText="1"/>
    </xf>
    <xf numFmtId="166" fontId="2" fillId="0" borderId="2" xfId="4" applyNumberFormat="1" applyFont="1" applyFill="1" applyBorder="1" applyAlignment="1">
      <alignment vertical="center" wrapText="1"/>
    </xf>
    <xf numFmtId="166" fontId="37" fillId="0" borderId="2" xfId="4" applyNumberFormat="1" applyFont="1" applyFill="1" applyBorder="1" applyAlignment="1">
      <alignment vertical="center" wrapText="1"/>
    </xf>
    <xf numFmtId="0" fontId="13" fillId="7" borderId="2" xfId="0" applyFont="1" applyFill="1" applyBorder="1" applyAlignment="1">
      <alignment horizontal="center" vertical="center" wrapText="1"/>
    </xf>
    <xf numFmtId="0" fontId="13" fillId="7" borderId="2" xfId="0" applyFont="1" applyFill="1" applyBorder="1" applyAlignment="1">
      <alignment vertical="center" wrapText="1"/>
    </xf>
    <xf numFmtId="0" fontId="12" fillId="7" borderId="2" xfId="0" applyFont="1" applyFill="1" applyBorder="1" applyAlignment="1">
      <alignment horizontal="right" vertical="center" wrapText="1"/>
    </xf>
    <xf numFmtId="0" fontId="14" fillId="4" borderId="0" xfId="0" applyFont="1" applyFill="1" applyAlignment="1">
      <alignment vertical="center" wrapText="1"/>
    </xf>
    <xf numFmtId="166" fontId="13" fillId="7" borderId="2" xfId="0" applyNumberFormat="1" applyFont="1" applyFill="1" applyBorder="1" applyAlignment="1">
      <alignment horizontal="center" vertical="center"/>
    </xf>
    <xf numFmtId="166" fontId="14" fillId="7" borderId="2" xfId="1" applyNumberFormat="1" applyFont="1" applyFill="1" applyBorder="1" applyAlignment="1">
      <alignment vertical="center" wrapText="1"/>
    </xf>
    <xf numFmtId="166" fontId="2" fillId="0" borderId="3" xfId="0" applyNumberFormat="1" applyFont="1" applyBorder="1" applyAlignment="1">
      <alignment horizontal="center" vertical="center" wrapText="1"/>
    </xf>
    <xf numFmtId="166" fontId="2" fillId="3" borderId="2" xfId="1" applyNumberFormat="1" applyFont="1" applyFill="1" applyBorder="1" applyAlignment="1">
      <alignment horizontal="center" vertical="center" wrapText="1"/>
    </xf>
    <xf numFmtId="166" fontId="12" fillId="0" borderId="0" xfId="1" applyNumberFormat="1" applyFont="1" applyAlignment="1">
      <alignment vertical="top"/>
    </xf>
    <xf numFmtId="167" fontId="2" fillId="0" borderId="2" xfId="1" applyNumberFormat="1" applyFont="1" applyFill="1" applyBorder="1" applyAlignment="1">
      <alignment horizontal="center" vertical="center" wrapText="1"/>
    </xf>
    <xf numFmtId="166" fontId="14" fillId="0" borderId="2" xfId="1" applyNumberFormat="1" applyFont="1" applyFill="1" applyBorder="1" applyAlignment="1">
      <alignment horizontal="left" vertical="center" wrapText="1"/>
    </xf>
    <xf numFmtId="166" fontId="12" fillId="0" borderId="2" xfId="1" applyNumberFormat="1" applyFont="1" applyFill="1" applyBorder="1" applyAlignment="1">
      <alignment vertical="center" wrapText="1"/>
    </xf>
    <xf numFmtId="171" fontId="12" fillId="0" borderId="2" xfId="0" applyNumberFormat="1" applyFont="1" applyBorder="1" applyAlignment="1">
      <alignment vertical="center" wrapText="1"/>
    </xf>
    <xf numFmtId="169" fontId="12" fillId="0" borderId="2" xfId="0" applyNumberFormat="1" applyFont="1" applyBorder="1" applyAlignment="1">
      <alignment horizontal="center" vertical="center" wrapText="1"/>
    </xf>
    <xf numFmtId="0" fontId="2" fillId="0" borderId="2" xfId="1" quotePrefix="1" applyNumberFormat="1" applyFont="1" applyFill="1" applyBorder="1" applyAlignment="1">
      <alignment horizontal="center" vertical="center" wrapText="1"/>
    </xf>
    <xf numFmtId="175" fontId="2" fillId="0" borderId="2" xfId="1" applyNumberFormat="1" applyFont="1" applyFill="1" applyBorder="1" applyAlignment="1">
      <alignment horizontal="center" vertical="center" wrapText="1"/>
    </xf>
    <xf numFmtId="43" fontId="2" fillId="0" borderId="2" xfId="1" applyFont="1" applyFill="1" applyBorder="1" applyAlignment="1">
      <alignment horizontal="center" vertical="center" wrapText="1"/>
    </xf>
    <xf numFmtId="0" fontId="21" fillId="0" borderId="0" xfId="0" applyFont="1" applyAlignment="1">
      <alignment horizontal="right" vertical="center" wrapText="1"/>
    </xf>
    <xf numFmtId="166" fontId="21" fillId="0" borderId="0" xfId="1" applyNumberFormat="1" applyFont="1" applyFill="1" applyBorder="1" applyAlignment="1">
      <alignment vertical="center" wrapText="1"/>
    </xf>
    <xf numFmtId="2" fontId="21" fillId="0" borderId="0" xfId="1" applyNumberFormat="1" applyFont="1" applyFill="1" applyBorder="1" applyAlignment="1">
      <alignment horizontal="center" vertical="center" wrapText="1"/>
    </xf>
    <xf numFmtId="0" fontId="14" fillId="7" borderId="18" xfId="0" applyFont="1" applyFill="1" applyBorder="1" applyAlignment="1">
      <alignment horizontal="center" vertical="center"/>
    </xf>
    <xf numFmtId="166" fontId="14" fillId="7" borderId="18" xfId="1" applyNumberFormat="1" applyFont="1" applyFill="1" applyBorder="1" applyAlignment="1">
      <alignment vertical="center" wrapText="1"/>
    </xf>
    <xf numFmtId="43" fontId="14" fillId="0" borderId="2" xfId="1" applyFont="1" applyFill="1" applyBorder="1" applyAlignment="1">
      <alignment horizontal="center" vertical="center" wrapText="1"/>
    </xf>
    <xf numFmtId="165" fontId="14" fillId="4" borderId="2" xfId="1" applyNumberFormat="1" applyFont="1" applyFill="1" applyBorder="1" applyAlignment="1">
      <alignment horizontal="center" vertical="center" wrapText="1"/>
    </xf>
    <xf numFmtId="43" fontId="14" fillId="4" borderId="2" xfId="1" applyFont="1" applyFill="1" applyBorder="1" applyAlignment="1">
      <alignment horizontal="center" vertical="center" wrapText="1"/>
    </xf>
    <xf numFmtId="0" fontId="13" fillId="4" borderId="2" xfId="0" applyFont="1" applyFill="1" applyBorder="1" applyAlignment="1">
      <alignment horizontal="center" vertical="center" textRotation="90" wrapText="1"/>
    </xf>
    <xf numFmtId="0" fontId="5" fillId="8" borderId="9" xfId="0" applyFont="1" applyFill="1" applyBorder="1" applyAlignment="1">
      <alignment horizontal="left" vertical="center"/>
    </xf>
    <xf numFmtId="43" fontId="14" fillId="5" borderId="2" xfId="1" applyFont="1" applyFill="1" applyBorder="1" applyAlignment="1">
      <alignment horizontal="center" vertical="center" wrapText="1"/>
    </xf>
    <xf numFmtId="0" fontId="15" fillId="5" borderId="2" xfId="0" applyFont="1" applyFill="1" applyBorder="1" applyAlignment="1">
      <alignment vertical="center" wrapText="1"/>
    </xf>
    <xf numFmtId="1" fontId="14" fillId="4" borderId="2" xfId="0" applyNumberFormat="1" applyFont="1" applyFill="1" applyBorder="1" applyAlignment="1">
      <alignment horizontal="center" vertical="center" wrapText="1"/>
    </xf>
    <xf numFmtId="0" fontId="14" fillId="4" borderId="18" xfId="0" applyFont="1" applyFill="1" applyBorder="1" applyAlignment="1">
      <alignment horizontal="center" vertical="center" textRotation="90" wrapText="1"/>
    </xf>
    <xf numFmtId="165" fontId="14" fillId="0" borderId="2" xfId="1" applyNumberFormat="1" applyFont="1" applyFill="1" applyBorder="1" applyAlignment="1">
      <alignment horizontal="center" vertical="center" wrapText="1"/>
    </xf>
    <xf numFmtId="43" fontId="8" fillId="4" borderId="2" xfId="0" applyNumberFormat="1" applyFont="1" applyFill="1" applyBorder="1" applyAlignment="1" applyProtection="1">
      <alignment vertical="center"/>
      <protection locked="0"/>
    </xf>
    <xf numFmtId="43" fontId="8" fillId="4" borderId="0" xfId="0" applyNumberFormat="1" applyFont="1" applyFill="1" applyAlignment="1" applyProtection="1">
      <alignment vertical="center"/>
      <protection locked="0"/>
    </xf>
    <xf numFmtId="166" fontId="2" fillId="0" borderId="2" xfId="4" applyNumberFormat="1" applyFont="1" applyBorder="1" applyAlignment="1">
      <alignment horizontal="center" vertical="center" wrapText="1"/>
    </xf>
    <xf numFmtId="166" fontId="14" fillId="2" borderId="0" xfId="1" applyNumberFormat="1" applyFont="1" applyFill="1" applyBorder="1" applyAlignment="1">
      <alignment horizontal="center" vertical="center" wrapText="1"/>
    </xf>
    <xf numFmtId="0" fontId="2" fillId="0" borderId="2" xfId="0" applyFont="1" applyBorder="1" applyAlignment="1">
      <alignment horizontal="left" vertical="center" wrapText="1"/>
    </xf>
    <xf numFmtId="0" fontId="36" fillId="0" borderId="4" xfId="0" applyFont="1" applyBorder="1" applyAlignment="1">
      <alignment horizontal="left" vertical="center"/>
    </xf>
    <xf numFmtId="166" fontId="38" fillId="0" borderId="2" xfId="0" applyNumberFormat="1" applyFont="1" applyBorder="1" applyAlignment="1">
      <alignment vertical="center" wrapText="1"/>
    </xf>
    <xf numFmtId="180" fontId="13" fillId="0" borderId="3" xfId="1" applyNumberFormat="1" applyFont="1" applyFill="1" applyBorder="1" applyAlignment="1">
      <alignment horizontal="center" vertical="center" wrapText="1"/>
    </xf>
    <xf numFmtId="180" fontId="13" fillId="0" borderId="2" xfId="1" applyNumberFormat="1" applyFont="1" applyFill="1" applyBorder="1" applyAlignment="1">
      <alignment horizontal="center" vertical="center" wrapText="1"/>
    </xf>
    <xf numFmtId="180" fontId="14" fillId="4" borderId="2" xfId="1" applyNumberFormat="1" applyFont="1" applyFill="1" applyBorder="1" applyAlignment="1">
      <alignment horizontal="center" vertical="center" wrapText="1"/>
    </xf>
    <xf numFmtId="0" fontId="13" fillId="0" borderId="3" xfId="0" applyFont="1" applyBorder="1" applyAlignment="1">
      <alignment horizontal="center" vertical="center" textRotation="90" wrapText="1"/>
    </xf>
    <xf numFmtId="43" fontId="13" fillId="0" borderId="3" xfId="1" applyFont="1" applyFill="1" applyBorder="1" applyAlignment="1">
      <alignment horizontal="center" vertical="center" textRotation="90" wrapText="1"/>
    </xf>
    <xf numFmtId="0" fontId="37" fillId="0" borderId="0" xfId="0" applyFont="1" applyAlignment="1">
      <alignment vertical="center" wrapText="1"/>
    </xf>
    <xf numFmtId="166" fontId="37" fillId="0" borderId="2" xfId="1" applyNumberFormat="1" applyFont="1" applyFill="1" applyBorder="1" applyAlignment="1">
      <alignment horizontal="center" vertical="center" wrapText="1"/>
    </xf>
    <xf numFmtId="165" fontId="37" fillId="0" borderId="2" xfId="1" applyNumberFormat="1" applyFont="1" applyFill="1" applyBorder="1" applyAlignment="1">
      <alignment horizontal="center" vertical="center" wrapText="1"/>
    </xf>
    <xf numFmtId="177" fontId="13" fillId="0" borderId="0" xfId="1" applyNumberFormat="1" applyFont="1" applyAlignment="1">
      <alignment vertical="center"/>
    </xf>
    <xf numFmtId="0" fontId="2" fillId="0" borderId="2" xfId="0" applyFont="1" applyBorder="1" applyAlignment="1">
      <alignment horizontal="center" vertical="center" wrapText="1"/>
    </xf>
    <xf numFmtId="0" fontId="36" fillId="0" borderId="2" xfId="0" applyFont="1" applyBorder="1" applyAlignment="1">
      <alignment horizontal="left" vertical="center"/>
    </xf>
    <xf numFmtId="0" fontId="12" fillId="0" borderId="0" xfId="0" applyFont="1" applyAlignment="1">
      <alignment vertical="center" wrapText="1"/>
    </xf>
    <xf numFmtId="166" fontId="21" fillId="0" borderId="2" xfId="1" applyNumberFormat="1" applyFont="1" applyFill="1" applyBorder="1" applyAlignment="1">
      <alignment vertical="center" wrapText="1"/>
    </xf>
    <xf numFmtId="166" fontId="12" fillId="0" borderId="0" xfId="1" applyNumberFormat="1" applyFont="1" applyFill="1" applyAlignment="1">
      <alignment vertical="center"/>
    </xf>
    <xf numFmtId="166" fontId="14" fillId="0" borderId="2" xfId="1" applyNumberFormat="1" applyFont="1" applyFill="1" applyBorder="1" applyAlignment="1">
      <alignment vertical="center" wrapText="1"/>
    </xf>
    <xf numFmtId="166" fontId="6" fillId="0" borderId="0" xfId="0" applyNumberFormat="1" applyFont="1" applyAlignment="1">
      <alignment horizontal="center" vertical="center" wrapText="1"/>
    </xf>
    <xf numFmtId="165" fontId="8" fillId="0" borderId="0" xfId="0" applyNumberFormat="1" applyFont="1" applyAlignment="1">
      <alignment horizontal="center" vertical="center" wrapText="1"/>
    </xf>
    <xf numFmtId="166" fontId="6" fillId="0" borderId="0" xfId="1" applyNumberFormat="1" applyFont="1" applyAlignment="1">
      <alignment horizontal="center" vertical="center" wrapText="1"/>
    </xf>
    <xf numFmtId="165" fontId="13" fillId="10" borderId="2" xfId="1" applyNumberFormat="1" applyFont="1" applyFill="1" applyBorder="1" applyAlignment="1">
      <alignment vertical="center" wrapText="1"/>
    </xf>
    <xf numFmtId="165" fontId="12" fillId="0" borderId="0" xfId="0" applyNumberFormat="1" applyFont="1" applyAlignment="1">
      <alignment vertical="center" wrapText="1"/>
    </xf>
    <xf numFmtId="165" fontId="12" fillId="9" borderId="0" xfId="0" applyNumberFormat="1" applyFont="1" applyFill="1" applyAlignment="1">
      <alignment vertical="center" wrapText="1"/>
    </xf>
    <xf numFmtId="174" fontId="12" fillId="0" borderId="0" xfId="0" applyNumberFormat="1" applyFont="1" applyAlignment="1">
      <alignment vertical="center"/>
    </xf>
    <xf numFmtId="166" fontId="21" fillId="2" borderId="20" xfId="1" applyNumberFormat="1" applyFont="1" applyFill="1" applyBorder="1" applyAlignment="1">
      <alignment horizontal="center" vertical="center" wrapText="1"/>
    </xf>
    <xf numFmtId="0" fontId="2" fillId="0" borderId="3" xfId="0" applyFont="1" applyBorder="1" applyAlignment="1">
      <alignment horizontal="center" vertical="center" wrapText="1"/>
    </xf>
    <xf numFmtId="169" fontId="18" fillId="4" borderId="2" xfId="0" applyNumberFormat="1" applyFont="1" applyFill="1" applyBorder="1" applyAlignment="1">
      <alignment horizontal="center" vertical="center"/>
    </xf>
    <xf numFmtId="0" fontId="2" fillId="0" borderId="4" xfId="0" applyFont="1" applyBorder="1" applyAlignment="1">
      <alignment horizontal="left" vertical="center" wrapText="1"/>
    </xf>
    <xf numFmtId="165" fontId="6" fillId="0" borderId="0" xfId="1" applyNumberFormat="1" applyFont="1" applyAlignment="1">
      <alignment vertical="center"/>
    </xf>
    <xf numFmtId="0" fontId="17" fillId="0" borderId="0" xfId="0" applyFont="1" applyAlignment="1">
      <alignment horizontal="center" vertical="center" wrapText="1"/>
    </xf>
    <xf numFmtId="0" fontId="14" fillId="0" borderId="0" xfId="0" applyFont="1" applyAlignment="1">
      <alignment horizontal="center" vertical="center" textRotation="90" wrapText="1"/>
    </xf>
    <xf numFmtId="0" fontId="13" fillId="4" borderId="0" xfId="0" applyFont="1" applyFill="1" applyAlignment="1">
      <alignment horizontal="center" vertical="center" textRotation="90" wrapText="1"/>
    </xf>
    <xf numFmtId="0" fontId="14" fillId="5" borderId="0" xfId="0" applyFont="1" applyFill="1" applyAlignment="1">
      <alignment horizontal="center" vertical="center" textRotation="90" wrapText="1"/>
    </xf>
    <xf numFmtId="0" fontId="20" fillId="0" borderId="0" xfId="0" applyFont="1" applyAlignment="1">
      <alignment vertical="center" wrapText="1"/>
    </xf>
    <xf numFmtId="165" fontId="2" fillId="0" borderId="2" xfId="1" applyNumberFormat="1" applyFont="1" applyFill="1" applyBorder="1" applyAlignment="1">
      <alignment horizontal="center" vertical="center" wrapText="1"/>
    </xf>
    <xf numFmtId="0" fontId="37" fillId="0" borderId="2" xfId="0" applyFont="1" applyBorder="1" applyAlignment="1">
      <alignment horizontal="center" vertical="center" wrapText="1"/>
    </xf>
    <xf numFmtId="166" fontId="2" fillId="10" borderId="2" xfId="1" applyNumberFormat="1" applyFont="1" applyFill="1" applyBorder="1" applyAlignment="1">
      <alignment horizontal="center" vertical="center" wrapText="1"/>
    </xf>
    <xf numFmtId="166" fontId="2" fillId="10" borderId="2" xfId="1" applyNumberFormat="1" applyFont="1" applyFill="1" applyBorder="1" applyAlignment="1">
      <alignment vertical="center" wrapText="1"/>
    </xf>
    <xf numFmtId="0" fontId="13" fillId="10" borderId="0" xfId="0" applyFont="1" applyFill="1" applyAlignment="1">
      <alignment vertical="center" wrapText="1"/>
    </xf>
    <xf numFmtId="166" fontId="13" fillId="10" borderId="0" xfId="0" applyNumberFormat="1" applyFont="1" applyFill="1" applyAlignment="1">
      <alignment vertical="center" wrapText="1"/>
    </xf>
    <xf numFmtId="0" fontId="13" fillId="4" borderId="0" xfId="0" applyFont="1" applyFill="1" applyAlignment="1">
      <alignment vertical="center" wrapText="1"/>
    </xf>
    <xf numFmtId="166" fontId="2" fillId="10" borderId="0" xfId="1" applyNumberFormat="1" applyFont="1" applyFill="1" applyAlignment="1">
      <alignment vertical="center" wrapText="1"/>
    </xf>
    <xf numFmtId="166" fontId="37" fillId="10" borderId="0" xfId="1" applyNumberFormat="1" applyFont="1" applyFill="1" applyAlignment="1">
      <alignment vertical="center" wrapText="1"/>
    </xf>
    <xf numFmtId="166" fontId="13" fillId="10" borderId="0" xfId="1" applyNumberFormat="1" applyFont="1" applyFill="1" applyAlignment="1">
      <alignment vertical="center" wrapText="1"/>
    </xf>
    <xf numFmtId="43" fontId="13" fillId="10" borderId="0" xfId="1" applyFont="1" applyFill="1" applyAlignment="1">
      <alignment vertical="center" wrapText="1"/>
    </xf>
    <xf numFmtId="165" fontId="2" fillId="10" borderId="2" xfId="1" applyNumberFormat="1" applyFont="1" applyFill="1" applyBorder="1" applyAlignment="1">
      <alignment vertical="center" wrapText="1"/>
    </xf>
    <xf numFmtId="166" fontId="2" fillId="10" borderId="2" xfId="4" applyNumberFormat="1" applyFont="1" applyFill="1" applyBorder="1" applyAlignment="1">
      <alignment vertical="center" wrapText="1"/>
    </xf>
    <xf numFmtId="166" fontId="21" fillId="10" borderId="2" xfId="1" applyNumberFormat="1" applyFont="1" applyFill="1" applyBorder="1" applyAlignment="1">
      <alignment vertical="center" wrapText="1"/>
    </xf>
    <xf numFmtId="165" fontId="21" fillId="10" borderId="2" xfId="1" applyNumberFormat="1" applyFont="1" applyFill="1" applyBorder="1" applyAlignment="1">
      <alignment vertical="center" wrapText="1"/>
    </xf>
    <xf numFmtId="43" fontId="6" fillId="0" borderId="0" xfId="1" applyFont="1" applyAlignment="1">
      <alignment horizontal="center" vertical="center" wrapText="1"/>
    </xf>
    <xf numFmtId="167" fontId="13" fillId="0" borderId="0" xfId="0" applyNumberFormat="1" applyFont="1" applyAlignment="1">
      <alignment vertical="center" wrapText="1"/>
    </xf>
    <xf numFmtId="0" fontId="2" fillId="0" borderId="0" xfId="0" applyFont="1" applyAlignment="1">
      <alignment vertical="center" wrapText="1"/>
    </xf>
    <xf numFmtId="165" fontId="37" fillId="0" borderId="2" xfId="1" applyNumberFormat="1" applyFont="1" applyFill="1" applyBorder="1" applyAlignment="1">
      <alignment vertical="center" wrapText="1"/>
    </xf>
    <xf numFmtId="166" fontId="35" fillId="0" borderId="0" xfId="1" applyNumberFormat="1" applyFont="1" applyAlignment="1">
      <alignment horizontal="center" vertical="center" wrapText="1"/>
    </xf>
    <xf numFmtId="0" fontId="13" fillId="4" borderId="4" xfId="0" applyFont="1" applyFill="1" applyBorder="1" applyAlignment="1">
      <alignment vertical="center"/>
    </xf>
    <xf numFmtId="2" fontId="16" fillId="0" borderId="0" xfId="0" applyNumberFormat="1" applyFont="1" applyAlignment="1">
      <alignment horizontal="center" vertical="center"/>
    </xf>
    <xf numFmtId="165" fontId="0" fillId="0" borderId="2" xfId="1" applyNumberFormat="1" applyFont="1" applyBorder="1"/>
    <xf numFmtId="0" fontId="31" fillId="4" borderId="2" xfId="0" applyFont="1" applyFill="1" applyBorder="1" applyAlignment="1">
      <alignment horizontal="center"/>
    </xf>
    <xf numFmtId="166" fontId="8" fillId="0" borderId="38" xfId="1" applyNumberFormat="1" applyFont="1" applyBorder="1" applyAlignment="1">
      <alignment vertical="center" wrapText="1"/>
    </xf>
    <xf numFmtId="166" fontId="35" fillId="3" borderId="0" xfId="1" applyNumberFormat="1" applyFont="1" applyFill="1" applyBorder="1" applyAlignment="1">
      <alignment vertical="center"/>
    </xf>
    <xf numFmtId="43" fontId="8" fillId="0" borderId="0" xfId="1" applyFont="1" applyBorder="1" applyAlignment="1">
      <alignment vertical="center"/>
    </xf>
    <xf numFmtId="166" fontId="12" fillId="0" borderId="0" xfId="1" applyNumberFormat="1" applyFont="1" applyFill="1" applyBorder="1" applyAlignment="1">
      <alignment vertical="center"/>
    </xf>
    <xf numFmtId="166" fontId="14" fillId="0" borderId="38" xfId="1" applyNumberFormat="1" applyFont="1" applyBorder="1" applyAlignment="1">
      <alignment horizontal="center" vertical="center" wrapText="1"/>
    </xf>
    <xf numFmtId="166" fontId="14" fillId="0" borderId="39" xfId="1" applyNumberFormat="1" applyFont="1" applyBorder="1" applyAlignment="1">
      <alignment horizontal="center" vertical="center" wrapText="1"/>
    </xf>
    <xf numFmtId="166" fontId="2" fillId="0" borderId="38" xfId="1" applyNumberFormat="1" applyFont="1" applyFill="1" applyBorder="1" applyAlignment="1">
      <alignment horizontal="center" vertical="center" wrapText="1"/>
    </xf>
    <xf numFmtId="166" fontId="2" fillId="0" borderId="39" xfId="1" applyNumberFormat="1" applyFont="1" applyFill="1" applyBorder="1" applyAlignment="1">
      <alignment horizontal="center" vertical="center" wrapText="1"/>
    </xf>
    <xf numFmtId="166" fontId="14" fillId="2" borderId="10" xfId="1" applyNumberFormat="1" applyFont="1" applyFill="1" applyBorder="1" applyAlignment="1">
      <alignment horizontal="center" vertical="center" wrapText="1"/>
    </xf>
    <xf numFmtId="166" fontId="14" fillId="2" borderId="11" xfId="1" applyNumberFormat="1" applyFont="1" applyFill="1" applyBorder="1" applyAlignment="1">
      <alignment horizontal="center" vertical="center" wrapText="1"/>
    </xf>
    <xf numFmtId="166" fontId="6" fillId="4" borderId="2" xfId="0" applyNumberFormat="1" applyFont="1" applyFill="1" applyBorder="1" applyAlignment="1">
      <alignment vertical="center" wrapText="1"/>
    </xf>
    <xf numFmtId="166" fontId="6" fillId="4" borderId="2" xfId="1" applyNumberFormat="1" applyFont="1" applyFill="1" applyBorder="1" applyAlignment="1">
      <alignment vertical="center" wrapText="1"/>
    </xf>
    <xf numFmtId="43" fontId="38" fillId="0" borderId="2" xfId="0" applyNumberFormat="1" applyFont="1" applyBorder="1" applyAlignment="1">
      <alignment vertical="center" wrapText="1"/>
    </xf>
    <xf numFmtId="166" fontId="40" fillId="4" borderId="2" xfId="0" applyNumberFormat="1" applyFont="1" applyFill="1" applyBorder="1" applyAlignment="1">
      <alignment vertical="center" wrapText="1"/>
    </xf>
    <xf numFmtId="165" fontId="40" fillId="0" borderId="2" xfId="1" applyNumberFormat="1" applyFont="1" applyBorder="1" applyAlignment="1">
      <alignment vertical="center" wrapText="1"/>
    </xf>
    <xf numFmtId="166" fontId="38" fillId="0" borderId="2" xfId="1" applyNumberFormat="1" applyFont="1" applyBorder="1" applyAlignment="1">
      <alignment vertical="center" wrapText="1"/>
    </xf>
    <xf numFmtId="167" fontId="6" fillId="0" borderId="0" xfId="1" applyNumberFormat="1" applyFont="1" applyAlignment="1">
      <alignment horizontal="center" vertical="center" wrapText="1"/>
    </xf>
    <xf numFmtId="165" fontId="2" fillId="4" borderId="2" xfId="1" applyNumberFormat="1" applyFont="1" applyFill="1" applyBorder="1" applyAlignment="1">
      <alignment vertical="center" wrapText="1"/>
    </xf>
    <xf numFmtId="166" fontId="2" fillId="4" borderId="2" xfId="4" applyNumberFormat="1" applyFont="1" applyFill="1" applyBorder="1" applyAlignment="1">
      <alignment vertical="center" wrapText="1"/>
    </xf>
    <xf numFmtId="166" fontId="2" fillId="4" borderId="2" xfId="1" applyNumberFormat="1" applyFont="1" applyFill="1" applyBorder="1" applyAlignment="1">
      <alignment vertical="center" wrapText="1"/>
    </xf>
    <xf numFmtId="0" fontId="22" fillId="0" borderId="2" xfId="0" applyFont="1" applyBorder="1" applyAlignment="1">
      <alignment vertical="center" wrapText="1"/>
    </xf>
    <xf numFmtId="0" fontId="2" fillId="0" borderId="4" xfId="0" applyFont="1" applyBorder="1" applyAlignment="1">
      <alignment vertical="center" wrapText="1"/>
    </xf>
    <xf numFmtId="167" fontId="2" fillId="4" borderId="2" xfId="1" applyNumberFormat="1" applyFont="1" applyFill="1" applyBorder="1" applyAlignment="1">
      <alignment vertical="center" wrapText="1"/>
    </xf>
    <xf numFmtId="166" fontId="21" fillId="4" borderId="2" xfId="1" applyNumberFormat="1" applyFont="1" applyFill="1" applyBorder="1" applyAlignment="1">
      <alignment vertical="center" wrapText="1"/>
    </xf>
    <xf numFmtId="169" fontId="14" fillId="4" borderId="0" xfId="0" applyNumberFormat="1" applyFont="1" applyFill="1" applyAlignment="1">
      <alignment vertical="center" wrapText="1"/>
    </xf>
    <xf numFmtId="165" fontId="14" fillId="0" borderId="0" xfId="1" applyNumberFormat="1" applyFont="1" applyAlignment="1">
      <alignment vertical="center" wrapText="1"/>
    </xf>
    <xf numFmtId="166" fontId="6" fillId="0" borderId="0" xfId="1" applyNumberFormat="1" applyFont="1" applyAlignment="1">
      <alignment vertical="center"/>
    </xf>
    <xf numFmtId="165" fontId="6" fillId="0" borderId="0" xfId="1" applyNumberFormat="1" applyFont="1" applyAlignment="1">
      <alignment horizontal="left" vertical="center"/>
    </xf>
    <xf numFmtId="166" fontId="6" fillId="0" borderId="0" xfId="1" applyNumberFormat="1" applyFont="1" applyAlignment="1">
      <alignment horizontal="left" vertical="center"/>
    </xf>
    <xf numFmtId="167" fontId="13" fillId="0" borderId="2" xfId="1" applyNumberFormat="1" applyFont="1" applyFill="1" applyBorder="1" applyAlignment="1">
      <alignment horizontal="justify" vertical="center" wrapText="1"/>
    </xf>
    <xf numFmtId="165" fontId="2" fillId="10" borderId="2" xfId="1" applyNumberFormat="1" applyFont="1" applyFill="1" applyBorder="1" applyAlignment="1">
      <alignment horizontal="center" vertical="center" wrapText="1"/>
    </xf>
    <xf numFmtId="0" fontId="14" fillId="0" borderId="2" xfId="0" applyFont="1" applyBorder="1" applyAlignment="1">
      <alignment vertical="center" wrapText="1"/>
    </xf>
    <xf numFmtId="43" fontId="13" fillId="4" borderId="0" xfId="1" applyFont="1" applyFill="1" applyAlignment="1">
      <alignment vertical="center" wrapText="1"/>
    </xf>
    <xf numFmtId="43" fontId="13" fillId="4" borderId="0" xfId="0" applyNumberFormat="1" applyFont="1" applyFill="1" applyAlignment="1">
      <alignment vertical="center" wrapText="1"/>
    </xf>
    <xf numFmtId="166" fontId="13" fillId="4" borderId="0" xfId="0" applyNumberFormat="1" applyFont="1" applyFill="1" applyAlignment="1">
      <alignment vertical="center" wrapText="1"/>
    </xf>
    <xf numFmtId="166" fontId="12" fillId="0" borderId="2" xfId="1" applyNumberFormat="1" applyFont="1" applyBorder="1" applyAlignment="1">
      <alignment vertical="center"/>
    </xf>
    <xf numFmtId="0" fontId="37" fillId="0" borderId="2" xfId="0" applyFont="1" applyBorder="1" applyAlignment="1">
      <alignment vertical="center" wrapText="1"/>
    </xf>
    <xf numFmtId="166" fontId="13" fillId="0" borderId="3" xfId="1" applyNumberFormat="1" applyFont="1" applyFill="1" applyBorder="1" applyAlignment="1">
      <alignment horizontal="justify" vertical="center" wrapText="1"/>
    </xf>
    <xf numFmtId="14" fontId="14" fillId="0" borderId="0" xfId="1" applyNumberFormat="1" applyFont="1" applyFill="1" applyBorder="1" applyAlignment="1">
      <alignment horizontal="center" vertical="center" wrapText="1"/>
    </xf>
    <xf numFmtId="43" fontId="14" fillId="0" borderId="0" xfId="1" applyFont="1" applyFill="1" applyBorder="1" applyAlignment="1">
      <alignment horizontal="left" vertical="center" wrapText="1"/>
    </xf>
    <xf numFmtId="9" fontId="13" fillId="0" borderId="0" xfId="11" applyFont="1" applyAlignment="1">
      <alignment vertical="center" wrapText="1"/>
    </xf>
    <xf numFmtId="181" fontId="13" fillId="0" borderId="0" xfId="0" applyNumberFormat="1" applyFont="1" applyAlignment="1">
      <alignment vertical="center" wrapText="1"/>
    </xf>
    <xf numFmtId="0" fontId="2" fillId="4" borderId="4" xfId="0" applyFont="1" applyFill="1" applyBorder="1" applyAlignment="1">
      <alignment vertical="center" wrapText="1"/>
    </xf>
    <xf numFmtId="43" fontId="37" fillId="0" borderId="2" xfId="1" applyFont="1" applyFill="1" applyBorder="1" applyAlignment="1">
      <alignment horizontal="center" vertical="center" wrapText="1"/>
    </xf>
    <xf numFmtId="166" fontId="14" fillId="0" borderId="0" xfId="0" applyNumberFormat="1" applyFont="1" applyAlignment="1">
      <alignment horizontal="center" vertical="center"/>
    </xf>
    <xf numFmtId="165" fontId="13" fillId="0" borderId="0" xfId="0" applyNumberFormat="1" applyFont="1" applyAlignment="1">
      <alignment vertical="center" wrapText="1"/>
    </xf>
    <xf numFmtId="166" fontId="2" fillId="0" borderId="0" xfId="1" applyNumberFormat="1" applyFont="1" applyFill="1" applyBorder="1" applyAlignment="1">
      <alignment horizontal="center" vertical="center" wrapText="1"/>
    </xf>
    <xf numFmtId="166" fontId="2" fillId="0" borderId="0" xfId="1" applyNumberFormat="1" applyFont="1" applyBorder="1" applyAlignment="1">
      <alignment horizontal="center" vertical="center" wrapText="1"/>
    </xf>
    <xf numFmtId="166" fontId="2" fillId="4" borderId="0" xfId="1" applyNumberFormat="1" applyFont="1" applyFill="1" applyBorder="1" applyAlignment="1">
      <alignment horizontal="center" vertical="center" wrapText="1"/>
    </xf>
    <xf numFmtId="43" fontId="13" fillId="0" borderId="0" xfId="1" applyFont="1" applyFill="1" applyBorder="1" applyAlignment="1">
      <alignment horizontal="center" vertical="center" wrapText="1"/>
    </xf>
    <xf numFmtId="166" fontId="20" fillId="0" borderId="2" xfId="1" applyNumberFormat="1" applyFont="1" applyBorder="1" applyAlignment="1">
      <alignment vertical="center" wrapText="1"/>
    </xf>
    <xf numFmtId="166" fontId="27" fillId="0" borderId="2" xfId="1" applyNumberFormat="1" applyFont="1" applyBorder="1" applyAlignment="1">
      <alignment vertical="center" wrapText="1"/>
    </xf>
    <xf numFmtId="182" fontId="13" fillId="0" borderId="3" xfId="1" applyNumberFormat="1" applyFont="1" applyFill="1" applyBorder="1" applyAlignment="1">
      <alignment horizontal="center" vertical="center" wrapText="1"/>
    </xf>
    <xf numFmtId="0" fontId="14" fillId="0" borderId="46" xfId="0" applyFont="1" applyBorder="1" applyAlignment="1">
      <alignment horizontal="center" vertical="center" textRotation="90" wrapText="1"/>
    </xf>
    <xf numFmtId="0" fontId="14" fillId="0" borderId="24" xfId="0" applyFont="1" applyBorder="1" applyAlignment="1">
      <alignment horizontal="center" vertical="center" textRotation="90" wrapText="1"/>
    </xf>
    <xf numFmtId="0" fontId="14" fillId="0" borderId="47" xfId="0" applyFont="1" applyBorder="1" applyAlignment="1">
      <alignment horizontal="center" vertical="center" textRotation="90" wrapText="1"/>
    </xf>
    <xf numFmtId="166" fontId="8" fillId="0" borderId="43" xfId="1" applyNumberFormat="1" applyFont="1" applyBorder="1" applyAlignment="1">
      <alignment vertical="center" wrapText="1"/>
    </xf>
    <xf numFmtId="166" fontId="8" fillId="0" borderId="44" xfId="1" applyNumberFormat="1" applyFont="1" applyBorder="1" applyAlignment="1">
      <alignment vertical="center" wrapText="1"/>
    </xf>
    <xf numFmtId="166" fontId="8" fillId="0" borderId="45" xfId="1" applyNumberFormat="1" applyFont="1" applyBorder="1" applyAlignment="1">
      <alignment vertical="center" wrapText="1"/>
    </xf>
    <xf numFmtId="166" fontId="8" fillId="0" borderId="48" xfId="1" applyNumberFormat="1" applyFont="1" applyBorder="1" applyAlignment="1">
      <alignment vertical="center" wrapText="1"/>
    </xf>
    <xf numFmtId="166" fontId="8" fillId="0" borderId="49" xfId="1" applyNumberFormat="1" applyFont="1" applyBorder="1" applyAlignment="1">
      <alignment vertical="center" wrapText="1"/>
    </xf>
    <xf numFmtId="0" fontId="13" fillId="0" borderId="43" xfId="0" applyFont="1" applyBorder="1" applyAlignment="1">
      <alignment horizontal="center" vertical="center" textRotation="90" wrapText="1"/>
    </xf>
    <xf numFmtId="0" fontId="13" fillId="0" borderId="44" xfId="0" applyFont="1" applyBorder="1" applyAlignment="1">
      <alignment vertical="center" wrapText="1"/>
    </xf>
    <xf numFmtId="169" fontId="8" fillId="0" borderId="44" xfId="0" applyNumberFormat="1" applyFont="1" applyBorder="1" applyAlignment="1">
      <alignment vertical="center" wrapText="1"/>
    </xf>
    <xf numFmtId="0" fontId="13" fillId="0" borderId="48" xfId="0" applyFont="1" applyBorder="1" applyAlignment="1">
      <alignment horizontal="center" vertical="center" textRotation="90" wrapText="1"/>
    </xf>
    <xf numFmtId="0" fontId="14" fillId="0" borderId="3" xfId="0" applyFont="1" applyBorder="1" applyAlignment="1">
      <alignment horizontal="center" vertical="center"/>
    </xf>
    <xf numFmtId="49" fontId="38" fillId="0" borderId="0" xfId="0" quotePrefix="1" applyNumberFormat="1" applyFont="1" applyAlignment="1">
      <alignment horizontal="right" vertical="center"/>
    </xf>
    <xf numFmtId="0" fontId="14" fillId="4" borderId="5" xfId="0" applyFont="1" applyFill="1" applyBorder="1" applyAlignment="1">
      <alignment horizontal="center" vertical="center" wrapText="1"/>
    </xf>
    <xf numFmtId="179" fontId="5" fillId="0" borderId="0" xfId="1" applyNumberFormat="1" applyFont="1" applyAlignment="1">
      <alignment horizontal="right" vertical="center" wrapText="1"/>
    </xf>
    <xf numFmtId="179" fontId="7" fillId="0" borderId="0" xfId="1" applyNumberFormat="1" applyFont="1" applyAlignment="1">
      <alignment horizontal="right" vertical="center"/>
    </xf>
    <xf numFmtId="179" fontId="7" fillId="0" borderId="0" xfId="1" applyNumberFormat="1" applyFont="1" applyAlignment="1">
      <alignment horizontal="center" vertical="center"/>
    </xf>
    <xf numFmtId="179" fontId="7" fillId="0" borderId="0" xfId="1" applyNumberFormat="1" applyFont="1" applyAlignment="1">
      <alignment horizontal="center" vertical="center" wrapText="1"/>
    </xf>
    <xf numFmtId="179" fontId="17" fillId="0" borderId="0" xfId="1" applyNumberFormat="1" applyFont="1" applyAlignment="1">
      <alignment horizontal="center" vertical="center" wrapText="1"/>
    </xf>
    <xf numFmtId="179" fontId="14" fillId="0" borderId="0" xfId="1" applyNumberFormat="1" applyFont="1" applyBorder="1" applyAlignment="1">
      <alignment horizontal="center" vertical="center" wrapText="1"/>
    </xf>
    <xf numFmtId="179" fontId="13" fillId="0" borderId="0" xfId="1" applyNumberFormat="1" applyFont="1" applyBorder="1" applyAlignment="1">
      <alignment horizontal="center" vertical="center" wrapText="1"/>
    </xf>
    <xf numFmtId="179" fontId="21" fillId="0" borderId="0" xfId="1" applyNumberFormat="1" applyFont="1" applyFill="1" applyBorder="1" applyAlignment="1">
      <alignment horizontal="center" vertical="center" wrapText="1"/>
    </xf>
    <xf numFmtId="179" fontId="37" fillId="0" borderId="0" xfId="1" applyNumberFormat="1" applyFont="1" applyFill="1" applyBorder="1" applyAlignment="1">
      <alignment horizontal="center" vertical="center" wrapText="1"/>
    </xf>
    <xf numFmtId="179" fontId="8" fillId="0" borderId="0" xfId="1" applyNumberFormat="1" applyFont="1" applyAlignment="1">
      <alignment vertical="center"/>
    </xf>
    <xf numFmtId="0" fontId="14" fillId="4" borderId="11" xfId="0" applyFont="1" applyFill="1" applyBorder="1" applyAlignment="1">
      <alignment horizontal="center" vertical="center" wrapText="1"/>
    </xf>
    <xf numFmtId="180" fontId="14" fillId="4" borderId="3" xfId="1" applyNumberFormat="1" applyFont="1" applyFill="1" applyBorder="1" applyAlignment="1">
      <alignment horizontal="center" vertical="center" wrapText="1"/>
    </xf>
    <xf numFmtId="43" fontId="14" fillId="4" borderId="3" xfId="1" applyFont="1" applyFill="1" applyBorder="1" applyAlignment="1">
      <alignment horizontal="left" vertical="center" wrapText="1"/>
    </xf>
    <xf numFmtId="166" fontId="13" fillId="0" borderId="3" xfId="16" applyNumberFormat="1" applyFont="1" applyFill="1" applyBorder="1" applyAlignment="1">
      <alignment horizontal="center" vertical="center" wrapText="1"/>
    </xf>
    <xf numFmtId="166" fontId="13" fillId="0" borderId="2" xfId="16" applyNumberFormat="1" applyFont="1" applyFill="1" applyBorder="1" applyAlignment="1">
      <alignment horizontal="justify" vertical="center" wrapText="1"/>
    </xf>
    <xf numFmtId="165" fontId="13" fillId="0" borderId="2" xfId="16" applyNumberFormat="1" applyFont="1" applyFill="1" applyBorder="1" applyAlignment="1">
      <alignment horizontal="justify" vertical="center" wrapText="1"/>
    </xf>
    <xf numFmtId="43" fontId="13" fillId="0" borderId="0" xfId="16" applyFont="1" applyFill="1" applyAlignment="1">
      <alignment vertical="center" wrapText="1"/>
    </xf>
    <xf numFmtId="170" fontId="13" fillId="0" borderId="0" xfId="1" applyNumberFormat="1" applyFont="1" applyAlignment="1">
      <alignment vertical="center"/>
    </xf>
    <xf numFmtId="167" fontId="14" fillId="0" borderId="0" xfId="0" applyNumberFormat="1" applyFont="1" applyAlignment="1">
      <alignment horizontal="center" vertical="center"/>
    </xf>
    <xf numFmtId="43" fontId="37" fillId="0" borderId="0" xfId="1" applyFont="1" applyFill="1" applyBorder="1" applyAlignment="1">
      <alignment horizontal="center" vertical="center" wrapText="1"/>
    </xf>
    <xf numFmtId="183" fontId="13" fillId="0" borderId="0" xfId="0" applyNumberFormat="1" applyFont="1" applyAlignment="1">
      <alignment vertical="center"/>
    </xf>
    <xf numFmtId="0" fontId="13" fillId="0" borderId="50" xfId="0" applyFont="1" applyBorder="1" applyAlignment="1">
      <alignment horizontal="center" vertical="center" wrapText="1"/>
    </xf>
    <xf numFmtId="0" fontId="13" fillId="0" borderId="23" xfId="0" applyFont="1" applyBorder="1" applyAlignment="1">
      <alignment horizontal="center" vertical="center" wrapText="1"/>
    </xf>
    <xf numFmtId="169" fontId="8" fillId="0" borderId="5" xfId="0" applyNumberFormat="1" applyFont="1" applyBorder="1" applyAlignment="1">
      <alignment vertical="center" wrapText="1"/>
    </xf>
    <xf numFmtId="166" fontId="8" fillId="0" borderId="41" xfId="4" applyNumberFormat="1" applyFont="1" applyFill="1" applyBorder="1" applyAlignment="1">
      <alignment vertical="center"/>
    </xf>
    <xf numFmtId="10" fontId="8" fillId="0" borderId="45" xfId="11" applyNumberFormat="1" applyFont="1" applyBorder="1" applyAlignment="1">
      <alignment vertical="center" wrapText="1"/>
    </xf>
    <xf numFmtId="10" fontId="8" fillId="0" borderId="49" xfId="11" applyNumberFormat="1" applyFont="1" applyBorder="1" applyAlignment="1">
      <alignment vertical="center" wrapText="1"/>
    </xf>
    <xf numFmtId="169" fontId="8" fillId="0" borderId="29" xfId="0" applyNumberFormat="1" applyFont="1" applyBorder="1" applyAlignment="1">
      <alignment vertical="center" wrapText="1"/>
    </xf>
    <xf numFmtId="0" fontId="36" fillId="4" borderId="4" xfId="0" applyFont="1" applyFill="1" applyBorder="1" applyAlignment="1">
      <alignment horizontal="left" vertical="center"/>
    </xf>
    <xf numFmtId="0" fontId="0" fillId="11" borderId="4" xfId="0" applyFill="1" applyBorder="1" applyAlignment="1">
      <alignment horizontal="left" vertical="center"/>
    </xf>
    <xf numFmtId="0" fontId="2" fillId="11" borderId="2" xfId="0" applyFont="1" applyFill="1" applyBorder="1" applyAlignment="1">
      <alignment horizontal="center" vertical="center" wrapText="1"/>
    </xf>
    <xf numFmtId="43" fontId="13" fillId="11" borderId="2" xfId="1" applyFont="1" applyFill="1" applyBorder="1" applyAlignment="1">
      <alignment horizontal="center" vertical="center" wrapText="1"/>
    </xf>
    <xf numFmtId="166" fontId="2" fillId="11" borderId="2" xfId="4" applyNumberFormat="1" applyFont="1" applyFill="1" applyBorder="1" applyAlignment="1">
      <alignment vertical="center" wrapText="1"/>
    </xf>
    <xf numFmtId="165" fontId="2" fillId="11" borderId="2" xfId="1" applyNumberFormat="1" applyFont="1" applyFill="1" applyBorder="1" applyAlignment="1">
      <alignment vertical="center" wrapText="1"/>
    </xf>
    <xf numFmtId="166" fontId="2" fillId="11" borderId="2" xfId="1" applyNumberFormat="1" applyFont="1" applyFill="1" applyBorder="1" applyAlignment="1">
      <alignment vertical="center" wrapText="1"/>
    </xf>
    <xf numFmtId="165" fontId="13" fillId="11" borderId="2" xfId="1" applyNumberFormat="1" applyFont="1" applyFill="1" applyBorder="1" applyAlignment="1">
      <alignment vertical="center" wrapText="1"/>
    </xf>
    <xf numFmtId="166" fontId="2" fillId="11" borderId="2" xfId="1" applyNumberFormat="1" applyFont="1" applyFill="1" applyBorder="1" applyAlignment="1">
      <alignment horizontal="center" vertical="center" wrapText="1"/>
    </xf>
    <xf numFmtId="0" fontId="13" fillId="11" borderId="2" xfId="0" applyFont="1" applyFill="1" applyBorder="1" applyAlignment="1">
      <alignment horizontal="center" vertical="center" wrapText="1"/>
    </xf>
    <xf numFmtId="166" fontId="13" fillId="11" borderId="2" xfId="1" applyNumberFormat="1" applyFont="1" applyFill="1" applyBorder="1" applyAlignment="1">
      <alignment vertical="center" wrapText="1"/>
    </xf>
    <xf numFmtId="0" fontId="8" fillId="11" borderId="0" xfId="0" applyFont="1" applyFill="1" applyAlignment="1">
      <alignment vertical="center" wrapText="1"/>
    </xf>
    <xf numFmtId="166" fontId="21" fillId="11" borderId="2" xfId="1" applyNumberFormat="1" applyFont="1" applyFill="1" applyBorder="1" applyAlignment="1">
      <alignment vertical="center" wrapText="1"/>
    </xf>
    <xf numFmtId="166" fontId="14" fillId="11" borderId="2" xfId="1" applyNumberFormat="1" applyFont="1" applyFill="1" applyBorder="1" applyAlignment="1">
      <alignment vertical="center" wrapText="1"/>
    </xf>
    <xf numFmtId="0" fontId="36" fillId="11" borderId="4" xfId="0" applyFont="1" applyFill="1" applyBorder="1" applyAlignment="1">
      <alignment horizontal="left" vertical="center"/>
    </xf>
    <xf numFmtId="43" fontId="2" fillId="11" borderId="2" xfId="1" applyFont="1" applyFill="1" applyBorder="1" applyAlignment="1">
      <alignment horizontal="center" vertical="center" wrapText="1"/>
    </xf>
    <xf numFmtId="0" fontId="12" fillId="11" borderId="0" xfId="0" applyFont="1" applyFill="1" applyAlignment="1">
      <alignment vertical="center" wrapText="1"/>
    </xf>
    <xf numFmtId="165" fontId="12" fillId="11" borderId="0" xfId="0" applyNumberFormat="1" applyFont="1" applyFill="1" applyAlignment="1">
      <alignment vertical="center" wrapText="1"/>
    </xf>
    <xf numFmtId="0" fontId="12" fillId="11" borderId="0" xfId="0" applyFont="1" applyFill="1" applyAlignment="1">
      <alignment vertical="center"/>
    </xf>
    <xf numFmtId="165" fontId="8" fillId="11" borderId="0" xfId="0" applyNumberFormat="1" applyFont="1" applyFill="1" applyAlignment="1">
      <alignment vertical="center" wrapText="1"/>
    </xf>
    <xf numFmtId="173" fontId="12" fillId="4" borderId="0" xfId="0" applyNumberFormat="1" applyFont="1" applyFill="1" applyAlignment="1">
      <alignment vertical="top"/>
    </xf>
    <xf numFmtId="169" fontId="5" fillId="4" borderId="2" xfId="0" applyNumberFormat="1" applyFont="1" applyFill="1" applyBorder="1" applyAlignment="1">
      <alignment horizontal="left" vertical="center"/>
    </xf>
    <xf numFmtId="43" fontId="8" fillId="4" borderId="2" xfId="0" applyNumberFormat="1" applyFont="1" applyFill="1" applyBorder="1" applyAlignment="1">
      <alignment horizontal="left" vertical="center"/>
    </xf>
    <xf numFmtId="0" fontId="13" fillId="4" borderId="2" xfId="0" applyFont="1" applyFill="1" applyBorder="1" applyAlignment="1">
      <alignment vertical="center"/>
    </xf>
    <xf numFmtId="43" fontId="8" fillId="4" borderId="2" xfId="1" applyFont="1" applyFill="1" applyBorder="1" applyAlignment="1">
      <alignment vertical="center"/>
    </xf>
    <xf numFmtId="43" fontId="34" fillId="0" borderId="2" xfId="1" applyFont="1" applyFill="1" applyBorder="1" applyAlignment="1">
      <alignment horizontal="center" vertical="center" wrapText="1"/>
    </xf>
    <xf numFmtId="0" fontId="43" fillId="0" borderId="0" xfId="20" applyFont="1" applyAlignment="1">
      <alignment horizontal="center"/>
    </xf>
    <xf numFmtId="0" fontId="41" fillId="0" borderId="0" xfId="20" applyAlignment="1">
      <alignment horizontal="center" vertical="center"/>
    </xf>
    <xf numFmtId="0" fontId="18" fillId="0" borderId="2" xfId="0" applyFont="1" applyBorder="1" applyAlignment="1">
      <alignment vertical="center"/>
    </xf>
    <xf numFmtId="0" fontId="45" fillId="0" borderId="2" xfId="0" applyFont="1" applyBorder="1" applyAlignment="1">
      <alignment vertical="center"/>
    </xf>
    <xf numFmtId="0" fontId="47" fillId="0" borderId="0" xfId="20" applyFont="1" applyAlignment="1">
      <alignment horizontal="center" vertical="center"/>
    </xf>
    <xf numFmtId="0" fontId="21" fillId="0" borderId="0" xfId="20" applyFont="1" applyAlignment="1">
      <alignment horizontal="center" vertical="center"/>
    </xf>
    <xf numFmtId="0" fontId="21" fillId="0" borderId="6" xfId="20" applyFont="1" applyBorder="1" applyAlignment="1">
      <alignment horizontal="center" vertical="center" wrapText="1"/>
    </xf>
    <xf numFmtId="0" fontId="0" fillId="0" borderId="19" xfId="0" applyBorder="1" applyAlignment="1">
      <alignment horizontal="center" vertical="center" wrapText="1"/>
    </xf>
    <xf numFmtId="0" fontId="2" fillId="0" borderId="3" xfId="20" applyFont="1" applyBorder="1" applyAlignment="1">
      <alignment horizontal="left" vertical="center" wrapText="1"/>
    </xf>
    <xf numFmtId="0" fontId="2" fillId="0" borderId="3" xfId="20" applyFont="1" applyBorder="1" applyAlignment="1">
      <alignment horizontal="center" wrapText="1"/>
    </xf>
    <xf numFmtId="43" fontId="2" fillId="0" borderId="3" xfId="20" applyNumberFormat="1" applyFont="1" applyBorder="1" applyAlignment="1">
      <alignment horizontal="center"/>
    </xf>
    <xf numFmtId="43" fontId="2" fillId="0" borderId="3" xfId="21" applyFont="1" applyFill="1" applyBorder="1" applyAlignment="1">
      <alignment horizontal="center"/>
    </xf>
    <xf numFmtId="166" fontId="2" fillId="0" borderId="3" xfId="21" applyNumberFormat="1" applyFont="1" applyFill="1" applyBorder="1" applyAlignment="1">
      <alignment horizontal="center"/>
    </xf>
    <xf numFmtId="165" fontId="2" fillId="0" borderId="3" xfId="20" applyNumberFormat="1" applyFont="1" applyBorder="1" applyAlignment="1">
      <alignment horizontal="center"/>
    </xf>
    <xf numFmtId="10" fontId="2" fillId="0" borderId="17" xfId="22" applyNumberFormat="1" applyFont="1" applyFill="1" applyBorder="1" applyAlignment="1">
      <alignment horizontal="center"/>
    </xf>
    <xf numFmtId="43" fontId="2" fillId="0" borderId="0" xfId="20" applyNumberFormat="1" applyFont="1" applyAlignment="1">
      <alignment horizontal="center" vertical="center"/>
    </xf>
    <xf numFmtId="0" fontId="2" fillId="0" borderId="0" xfId="20" applyFont="1" applyAlignment="1">
      <alignment horizontal="center" vertical="center"/>
    </xf>
    <xf numFmtId="0" fontId="0" fillId="0" borderId="51" xfId="0" applyBorder="1" applyAlignment="1">
      <alignment horizontal="center" vertical="center" wrapText="1"/>
    </xf>
    <xf numFmtId="0" fontId="2" fillId="0" borderId="2" xfId="20" applyFont="1" applyBorder="1" applyAlignment="1">
      <alignment horizontal="left" vertical="center" wrapText="1"/>
    </xf>
    <xf numFmtId="0" fontId="2" fillId="0" borderId="2" xfId="20" applyFont="1" applyBorder="1" applyAlignment="1">
      <alignment horizontal="center" wrapText="1"/>
    </xf>
    <xf numFmtId="43" fontId="2" fillId="0" borderId="2" xfId="20" applyNumberFormat="1" applyFont="1" applyBorder="1" applyAlignment="1">
      <alignment horizontal="center"/>
    </xf>
    <xf numFmtId="43" fontId="2" fillId="0" borderId="2" xfId="21" applyFont="1" applyFill="1" applyBorder="1" applyAlignment="1">
      <alignment horizontal="center"/>
    </xf>
    <xf numFmtId="166" fontId="2" fillId="0" borderId="2" xfId="21" applyNumberFormat="1" applyFont="1" applyFill="1" applyBorder="1" applyAlignment="1">
      <alignment horizontal="center"/>
    </xf>
    <xf numFmtId="165" fontId="2" fillId="0" borderId="2" xfId="20" applyNumberFormat="1" applyFont="1" applyBorder="1" applyAlignment="1">
      <alignment horizontal="center"/>
    </xf>
    <xf numFmtId="10" fontId="2" fillId="0" borderId="52" xfId="22" applyNumberFormat="1" applyFont="1" applyFill="1" applyBorder="1" applyAlignment="1">
      <alignment horizontal="center"/>
    </xf>
    <xf numFmtId="43" fontId="2" fillId="3" borderId="2" xfId="20" applyNumberFormat="1" applyFont="1" applyFill="1" applyBorder="1" applyAlignment="1">
      <alignment horizontal="center"/>
    </xf>
    <xf numFmtId="9" fontId="2" fillId="0" borderId="0" xfId="22" applyFont="1" applyAlignment="1">
      <alignment horizontal="center" vertical="center"/>
    </xf>
    <xf numFmtId="0" fontId="0" fillId="0" borderId="53" xfId="0" applyBorder="1" applyAlignment="1">
      <alignment horizontal="center" vertical="center" wrapText="1"/>
    </xf>
    <xf numFmtId="0" fontId="2" fillId="0" borderId="4" xfId="20" applyFont="1" applyBorder="1" applyAlignment="1">
      <alignment horizontal="left" vertical="center" wrapText="1"/>
    </xf>
    <xf numFmtId="0" fontId="2" fillId="0" borderId="4" xfId="20" applyFont="1" applyBorder="1" applyAlignment="1">
      <alignment horizontal="center" wrapText="1"/>
    </xf>
    <xf numFmtId="43" fontId="2" fillId="0" borderId="4" xfId="20" applyNumberFormat="1" applyFont="1" applyBorder="1" applyAlignment="1">
      <alignment horizontal="center"/>
    </xf>
    <xf numFmtId="43" fontId="2" fillId="0" borderId="4" xfId="21" applyFont="1" applyFill="1" applyBorder="1" applyAlignment="1">
      <alignment horizontal="center"/>
    </xf>
    <xf numFmtId="166" fontId="2" fillId="0" borderId="4" xfId="21" applyNumberFormat="1" applyFont="1" applyFill="1" applyBorder="1" applyAlignment="1">
      <alignment horizontal="center"/>
    </xf>
    <xf numFmtId="165" fontId="2" fillId="0" borderId="4" xfId="20" applyNumberFormat="1" applyFont="1" applyBorder="1" applyAlignment="1">
      <alignment horizontal="center"/>
    </xf>
    <xf numFmtId="10" fontId="2" fillId="0" borderId="54" xfId="22" applyNumberFormat="1" applyFont="1" applyFill="1" applyBorder="1" applyAlignment="1">
      <alignment horizontal="center"/>
    </xf>
    <xf numFmtId="0" fontId="21" fillId="0" borderId="6" xfId="20" applyFont="1" applyBorder="1" applyAlignment="1">
      <alignment horizontal="center" vertical="center"/>
    </xf>
    <xf numFmtId="0" fontId="21" fillId="0" borderId="6" xfId="20" applyFont="1" applyBorder="1" applyAlignment="1">
      <alignment horizontal="left" vertical="center"/>
    </xf>
    <xf numFmtId="43" fontId="21" fillId="0" borderId="6" xfId="21" applyFont="1" applyFill="1" applyBorder="1" applyAlignment="1">
      <alignment horizontal="center" vertical="center"/>
    </xf>
    <xf numFmtId="181" fontId="21" fillId="0" borderId="6" xfId="22" applyNumberFormat="1" applyFont="1" applyFill="1" applyBorder="1" applyAlignment="1">
      <alignment horizontal="center" vertical="center"/>
    </xf>
    <xf numFmtId="43" fontId="47" fillId="0" borderId="0" xfId="21" applyFont="1" applyAlignment="1">
      <alignment horizontal="center" vertical="center"/>
    </xf>
    <xf numFmtId="0" fontId="47" fillId="0" borderId="0" xfId="20" applyFont="1" applyAlignment="1">
      <alignment horizontal="left" vertical="center"/>
    </xf>
    <xf numFmtId="10" fontId="47" fillId="0" borderId="0" xfId="22" applyNumberFormat="1" applyFont="1" applyAlignment="1">
      <alignment horizontal="center" vertical="center"/>
    </xf>
    <xf numFmtId="165" fontId="47" fillId="0" borderId="0" xfId="21" applyNumberFormat="1" applyFont="1" applyFill="1" applyAlignment="1">
      <alignment horizontal="center" vertical="center"/>
    </xf>
    <xf numFmtId="165" fontId="47" fillId="0" borderId="0" xfId="20" applyNumberFormat="1" applyFont="1" applyAlignment="1">
      <alignment horizontal="center" vertical="center"/>
    </xf>
    <xf numFmtId="43" fontId="47" fillId="0" borderId="0" xfId="1" applyFont="1" applyAlignment="1">
      <alignment horizontal="center" vertical="center"/>
    </xf>
    <xf numFmtId="0" fontId="14" fillId="0" borderId="2" xfId="0" applyFont="1" applyBorder="1" applyAlignment="1">
      <alignment horizontal="center" vertical="center" wrapText="1"/>
    </xf>
    <xf numFmtId="0" fontId="8" fillId="4" borderId="0" xfId="0" applyFont="1" applyFill="1" applyAlignment="1">
      <alignment horizontal="right" vertical="center"/>
    </xf>
    <xf numFmtId="2" fontId="31" fillId="0" borderId="0" xfId="0" applyNumberFormat="1" applyFont="1"/>
    <xf numFmtId="17" fontId="32" fillId="0" borderId="0" xfId="0" applyNumberFormat="1" applyFont="1" applyAlignment="1">
      <alignment vertical="center"/>
    </xf>
    <xf numFmtId="166" fontId="18" fillId="0" borderId="0" xfId="1" applyNumberFormat="1" applyFont="1" applyBorder="1" applyAlignment="1">
      <alignment horizontal="center" vertical="center"/>
    </xf>
    <xf numFmtId="9" fontId="16" fillId="0" borderId="0" xfId="11" applyFont="1" applyBorder="1" applyAlignment="1">
      <alignment horizontal="center" vertical="center"/>
    </xf>
    <xf numFmtId="10" fontId="16" fillId="0" borderId="0" xfId="11" applyNumberFormat="1" applyFont="1" applyBorder="1" applyAlignment="1">
      <alignment horizontal="center" vertical="center"/>
    </xf>
    <xf numFmtId="17" fontId="32" fillId="0" borderId="2" xfId="0" applyNumberFormat="1" applyFont="1" applyBorder="1" applyAlignment="1">
      <alignment vertical="center"/>
    </xf>
    <xf numFmtId="166" fontId="37" fillId="0" borderId="0" xfId="1" applyNumberFormat="1" applyFont="1" applyFill="1" applyBorder="1" applyAlignment="1">
      <alignment horizontal="center" vertical="center" wrapText="1"/>
    </xf>
    <xf numFmtId="0" fontId="13" fillId="0" borderId="3" xfId="0" applyFont="1" applyBorder="1" applyAlignment="1">
      <alignment horizontal="left" vertical="center" wrapText="1"/>
    </xf>
    <xf numFmtId="43" fontId="6" fillId="0" borderId="14" xfId="1" applyFont="1" applyFill="1" applyBorder="1" applyAlignment="1">
      <alignment horizontal="center" vertical="center" wrapText="1"/>
    </xf>
    <xf numFmtId="0" fontId="8" fillId="3" borderId="2" xfId="0" applyFont="1" applyFill="1" applyBorder="1" applyAlignment="1">
      <alignment horizontal="left" vertical="center" wrapText="1"/>
    </xf>
    <xf numFmtId="165" fontId="8" fillId="3" borderId="2" xfId="1" applyNumberFormat="1" applyFont="1" applyFill="1" applyBorder="1" applyAlignment="1">
      <alignment horizontal="center" vertical="center"/>
    </xf>
    <xf numFmtId="43" fontId="8" fillId="3" borderId="2" xfId="1" applyFont="1" applyFill="1" applyBorder="1" applyAlignment="1">
      <alignment horizontal="center" vertical="center"/>
    </xf>
    <xf numFmtId="0" fontId="8" fillId="3" borderId="2" xfId="0" applyFont="1" applyFill="1" applyBorder="1" applyAlignment="1">
      <alignment horizontal="left" vertical="center"/>
    </xf>
    <xf numFmtId="43" fontId="35" fillId="3" borderId="2" xfId="1" applyFont="1" applyFill="1" applyBorder="1" applyAlignment="1">
      <alignment horizontal="center" vertical="center"/>
    </xf>
    <xf numFmtId="43" fontId="12" fillId="3" borderId="2" xfId="1" applyFont="1" applyFill="1" applyBorder="1" applyAlignment="1">
      <alignment horizontal="center" vertical="center"/>
    </xf>
    <xf numFmtId="43" fontId="6" fillId="7" borderId="2" xfId="1" applyFont="1" applyFill="1" applyBorder="1" applyAlignment="1">
      <alignment horizontal="center" vertical="center"/>
    </xf>
    <xf numFmtId="10" fontId="14" fillId="2" borderId="1" xfId="11" applyNumberFormat="1" applyFont="1" applyFill="1" applyBorder="1" applyAlignment="1">
      <alignment horizontal="center" vertical="center" wrapText="1"/>
    </xf>
    <xf numFmtId="10" fontId="14" fillId="2" borderId="1" xfId="0" applyNumberFormat="1" applyFont="1" applyFill="1" applyBorder="1" applyAlignment="1">
      <alignment horizontal="center" vertical="center" wrapText="1"/>
    </xf>
    <xf numFmtId="166" fontId="2" fillId="0" borderId="2" xfId="4" applyNumberFormat="1" applyFont="1" applyFill="1" applyBorder="1" applyAlignment="1">
      <alignment horizontal="center" vertical="center" wrapText="1"/>
    </xf>
    <xf numFmtId="166" fontId="2" fillId="0" borderId="2" xfId="0" applyNumberFormat="1" applyFont="1" applyBorder="1" applyAlignment="1">
      <alignment horizontal="center" vertical="center" wrapText="1"/>
    </xf>
    <xf numFmtId="9" fontId="16" fillId="0" borderId="17" xfId="11" applyFont="1" applyBorder="1" applyAlignment="1">
      <alignment horizontal="center" vertical="center"/>
    </xf>
    <xf numFmtId="10" fontId="16" fillId="0" borderId="3" xfId="11" applyNumberFormat="1" applyFont="1" applyBorder="1" applyAlignment="1">
      <alignment horizontal="center" vertical="center"/>
    </xf>
    <xf numFmtId="10" fontId="16" fillId="0" borderId="17" xfId="11" applyNumberFormat="1" applyFont="1" applyBorder="1" applyAlignment="1">
      <alignment horizontal="center" vertical="center"/>
    </xf>
    <xf numFmtId="173" fontId="8" fillId="4" borderId="0" xfId="0" applyNumberFormat="1" applyFont="1" applyFill="1" applyAlignment="1">
      <alignment vertical="top"/>
    </xf>
    <xf numFmtId="10" fontId="16" fillId="0" borderId="17" xfId="0" applyNumberFormat="1" applyFont="1" applyBorder="1" applyAlignment="1">
      <alignment horizontal="center" vertical="center"/>
    </xf>
    <xf numFmtId="10" fontId="8" fillId="4" borderId="0" xfId="11" applyNumberFormat="1" applyFont="1" applyFill="1" applyAlignment="1">
      <alignment vertical="center"/>
    </xf>
    <xf numFmtId="171" fontId="13" fillId="0" borderId="2" xfId="0" applyNumberFormat="1" applyFont="1" applyBorder="1" applyAlignment="1">
      <alignment horizontal="center" vertical="center" wrapText="1"/>
    </xf>
    <xf numFmtId="10" fontId="8" fillId="0" borderId="5" xfId="11" applyNumberFormat="1" applyFont="1" applyBorder="1" applyAlignment="1">
      <alignment vertical="center" wrapText="1"/>
    </xf>
    <xf numFmtId="10" fontId="35" fillId="0" borderId="56" xfId="11" applyNumberFormat="1" applyFont="1" applyBorder="1" applyAlignment="1">
      <alignment vertical="center" wrapText="1"/>
    </xf>
    <xf numFmtId="171" fontId="13" fillId="0" borderId="3" xfId="0" applyNumberFormat="1" applyFont="1" applyBorder="1" applyAlignment="1">
      <alignment horizontal="center" vertical="center" wrapText="1"/>
    </xf>
    <xf numFmtId="164" fontId="8" fillId="0" borderId="0" xfId="0" applyNumberFormat="1" applyFont="1" applyAlignment="1">
      <alignment vertical="center"/>
    </xf>
    <xf numFmtId="0" fontId="13" fillId="0" borderId="4" xfId="0" applyFont="1" applyBorder="1" applyAlignment="1">
      <alignment vertical="center" wrapText="1"/>
    </xf>
    <xf numFmtId="166" fontId="8" fillId="0" borderId="55" xfId="1" applyNumberFormat="1" applyFont="1" applyBorder="1" applyAlignment="1">
      <alignment vertical="center" wrapText="1"/>
    </xf>
    <xf numFmtId="166" fontId="8" fillId="0" borderId="4" xfId="1" applyNumberFormat="1" applyFont="1" applyBorder="1" applyAlignment="1">
      <alignment vertical="center" wrapText="1"/>
    </xf>
    <xf numFmtId="166" fontId="35" fillId="0" borderId="2" xfId="1" applyNumberFormat="1" applyFont="1" applyFill="1" applyBorder="1" applyAlignment="1">
      <alignment vertical="center"/>
    </xf>
    <xf numFmtId="171" fontId="13" fillId="0" borderId="12" xfId="0" applyNumberFormat="1" applyFont="1" applyBorder="1" applyAlignment="1">
      <alignment horizontal="center" vertical="center" wrapText="1"/>
    </xf>
    <xf numFmtId="10" fontId="14" fillId="0" borderId="1" xfId="11" applyNumberFormat="1" applyFont="1" applyBorder="1" applyAlignment="1">
      <alignment horizontal="center" vertical="center" wrapText="1"/>
    </xf>
    <xf numFmtId="0" fontId="13" fillId="0" borderId="10" xfId="0" applyFont="1" applyBorder="1" applyAlignment="1">
      <alignment horizontal="center" vertical="center" wrapText="1"/>
    </xf>
    <xf numFmtId="171" fontId="13" fillId="0" borderId="31" xfId="0" applyNumberFormat="1" applyFont="1" applyBorder="1" applyAlignment="1">
      <alignment horizontal="center" vertical="center" wrapText="1"/>
    </xf>
    <xf numFmtId="171" fontId="13" fillId="0" borderId="11" xfId="0" applyNumberFormat="1" applyFont="1" applyBorder="1" applyAlignment="1">
      <alignment horizontal="center" vertical="center" wrapText="1"/>
    </xf>
    <xf numFmtId="169" fontId="16" fillId="0" borderId="3" xfId="0" applyNumberFormat="1" applyFont="1" applyBorder="1" applyAlignment="1">
      <alignment horizontal="center" vertical="center"/>
    </xf>
    <xf numFmtId="166" fontId="8" fillId="0" borderId="11" xfId="1" applyNumberFormat="1" applyFont="1" applyBorder="1" applyAlignment="1">
      <alignment vertical="center" wrapText="1"/>
    </xf>
    <xf numFmtId="184" fontId="8" fillId="0" borderId="0" xfId="0" applyNumberFormat="1" applyFont="1" applyAlignment="1">
      <alignment horizontal="center" vertical="center" wrapText="1"/>
    </xf>
    <xf numFmtId="184" fontId="8" fillId="0" borderId="0" xfId="0" applyNumberFormat="1" applyFont="1" applyAlignment="1">
      <alignment vertical="center" wrapText="1"/>
    </xf>
    <xf numFmtId="166" fontId="33" fillId="0" borderId="2" xfId="1" applyNumberFormat="1" applyFont="1" applyFill="1" applyBorder="1" applyAlignment="1">
      <alignment vertical="center"/>
    </xf>
    <xf numFmtId="166" fontId="12" fillId="0" borderId="2" xfId="1" applyNumberFormat="1" applyFont="1" applyFill="1" applyBorder="1" applyAlignment="1">
      <alignment vertical="center"/>
    </xf>
    <xf numFmtId="10" fontId="16" fillId="0" borderId="2" xfId="11" applyNumberFormat="1" applyFont="1" applyBorder="1" applyAlignment="1">
      <alignment horizontal="center" vertical="center"/>
    </xf>
    <xf numFmtId="0" fontId="13" fillId="0" borderId="12" xfId="0" applyFont="1" applyBorder="1" applyAlignment="1">
      <alignment horizontal="center" vertical="center" wrapText="1"/>
    </xf>
    <xf numFmtId="0" fontId="6" fillId="4" borderId="2" xfId="0" applyFont="1" applyFill="1" applyBorder="1" applyAlignment="1">
      <alignment horizontal="center" vertical="center" wrapText="1"/>
    </xf>
    <xf numFmtId="0" fontId="0" fillId="10" borderId="2" xfId="0" applyFill="1" applyBorder="1" applyAlignment="1">
      <alignment horizontal="center"/>
    </xf>
    <xf numFmtId="0" fontId="0" fillId="10" borderId="2" xfId="0" applyFill="1" applyBorder="1"/>
    <xf numFmtId="169" fontId="0" fillId="13" borderId="2" xfId="0" applyNumberFormat="1" applyFill="1" applyBorder="1"/>
    <xf numFmtId="166" fontId="8" fillId="0" borderId="2" xfId="1" applyNumberFormat="1" applyFont="1" applyFill="1" applyBorder="1" applyAlignment="1">
      <alignment vertical="center"/>
    </xf>
    <xf numFmtId="0" fontId="14" fillId="4" borderId="1" xfId="0" applyFont="1" applyFill="1" applyBorder="1" applyAlignment="1">
      <alignment horizontal="center" vertical="center" wrapText="1"/>
    </xf>
    <xf numFmtId="169" fontId="16" fillId="0" borderId="2" xfId="0" applyNumberFormat="1" applyFont="1" applyBorder="1" applyAlignment="1">
      <alignment horizontal="center" vertical="center"/>
    </xf>
    <xf numFmtId="0" fontId="13" fillId="4" borderId="1" xfId="0" applyFont="1" applyFill="1" applyBorder="1" applyAlignment="1">
      <alignment horizontal="center" vertical="center" wrapText="1"/>
    </xf>
    <xf numFmtId="14" fontId="2" fillId="0" borderId="2" xfId="1" quotePrefix="1" applyNumberFormat="1"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60" xfId="0" applyFont="1" applyBorder="1" applyAlignment="1">
      <alignment horizontal="center" vertical="center" wrapText="1"/>
    </xf>
    <xf numFmtId="43" fontId="8" fillId="0" borderId="2" xfId="16" applyFont="1" applyBorder="1" applyAlignment="1">
      <alignment vertical="center" wrapText="1"/>
    </xf>
    <xf numFmtId="165" fontId="8" fillId="0" borderId="0" xfId="16" applyNumberFormat="1" applyFont="1" applyAlignment="1">
      <alignment vertical="center" wrapText="1"/>
    </xf>
    <xf numFmtId="0" fontId="6" fillId="0" borderId="60" xfId="0" applyFont="1" applyBorder="1" applyAlignment="1">
      <alignment horizontal="center" vertical="center" wrapText="1"/>
    </xf>
    <xf numFmtId="166" fontId="8" fillId="0" borderId="2" xfId="16" applyNumberFormat="1" applyFont="1" applyBorder="1" applyAlignment="1">
      <alignment vertical="center" wrapText="1"/>
    </xf>
    <xf numFmtId="166" fontId="6" fillId="0" borderId="1" xfId="0" applyNumberFormat="1" applyFont="1" applyBorder="1" applyAlignment="1">
      <alignment vertical="center" wrapText="1"/>
    </xf>
    <xf numFmtId="166" fontId="8" fillId="0" borderId="43" xfId="1" applyNumberFormat="1" applyFont="1" applyFill="1" applyBorder="1" applyAlignment="1">
      <alignment vertical="center" wrapText="1"/>
    </xf>
    <xf numFmtId="164" fontId="8" fillId="0" borderId="0" xfId="0" applyNumberFormat="1" applyFont="1" applyAlignment="1">
      <alignment horizontal="center" vertical="center" wrapText="1"/>
    </xf>
    <xf numFmtId="166" fontId="12" fillId="0" borderId="2" xfId="4" applyNumberFormat="1" applyFont="1" applyFill="1" applyBorder="1" applyAlignment="1">
      <alignment vertical="center"/>
    </xf>
    <xf numFmtId="166" fontId="6" fillId="0" borderId="0" xfId="0" applyNumberFormat="1" applyFont="1" applyAlignment="1">
      <alignment vertical="center" wrapText="1"/>
    </xf>
    <xf numFmtId="0" fontId="13" fillId="0" borderId="38" xfId="0" applyFont="1" applyBorder="1" applyAlignment="1">
      <alignment horizontal="center" vertical="center" wrapText="1"/>
    </xf>
    <xf numFmtId="171" fontId="13" fillId="0" borderId="0" xfId="0" applyNumberFormat="1" applyFont="1" applyAlignment="1">
      <alignment horizontal="center" vertical="center" wrapText="1"/>
    </xf>
    <xf numFmtId="171" fontId="13" fillId="0" borderId="39" xfId="0" applyNumberFormat="1" applyFont="1" applyBorder="1" applyAlignment="1">
      <alignment horizontal="center" vertical="center" wrapText="1"/>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2" xfId="0" applyFont="1" applyBorder="1" applyAlignment="1">
      <alignment horizontal="center" vertical="center" wrapText="1"/>
    </xf>
    <xf numFmtId="14" fontId="2" fillId="0" borderId="2" xfId="2" quotePrefix="1"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8" fillId="0" borderId="2" xfId="0" applyFont="1" applyBorder="1" applyAlignment="1">
      <alignment horizontal="center" vertical="center" wrapText="1"/>
    </xf>
    <xf numFmtId="0" fontId="7" fillId="0" borderId="0" xfId="0" applyFont="1" applyAlignment="1">
      <alignment horizontal="center" vertical="center" wrapText="1"/>
    </xf>
    <xf numFmtId="0" fontId="8" fillId="0" borderId="2" xfId="0" applyFont="1" applyBorder="1" applyAlignment="1">
      <alignment horizontal="center" vertical="center"/>
    </xf>
    <xf numFmtId="0" fontId="5" fillId="0" borderId="0" xfId="0" applyFont="1" applyAlignment="1">
      <alignment horizontal="right" vertical="center" wrapText="1"/>
    </xf>
    <xf numFmtId="0" fontId="13"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0" fontId="8" fillId="0" borderId="2" xfId="0" applyFont="1" applyBorder="1" applyAlignment="1">
      <alignment horizontal="center" vertical="center"/>
    </xf>
    <xf numFmtId="169" fontId="13" fillId="0" borderId="4" xfId="0" applyNumberFormat="1" applyFont="1" applyBorder="1" applyAlignment="1">
      <alignment vertical="center" wrapText="1"/>
    </xf>
    <xf numFmtId="3" fontId="2" fillId="0" borderId="2" xfId="1" quotePrefix="1" applyNumberFormat="1" applyFont="1" applyFill="1" applyBorder="1" applyAlignment="1">
      <alignment horizontal="center" vertical="center" wrapText="1"/>
    </xf>
    <xf numFmtId="166" fontId="8" fillId="0" borderId="29" xfId="1" applyNumberFormat="1" applyFont="1" applyBorder="1" applyAlignment="1">
      <alignment vertical="center" wrapText="1"/>
    </xf>
    <xf numFmtId="166" fontId="8" fillId="0" borderId="10" xfId="1" applyNumberFormat="1" applyFont="1" applyBorder="1" applyAlignment="1">
      <alignment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169" fontId="8" fillId="0" borderId="0" xfId="0" applyNumberFormat="1" applyFont="1" applyAlignment="1">
      <alignment vertical="center" wrapText="1"/>
    </xf>
    <xf numFmtId="0" fontId="14" fillId="0" borderId="4" xfId="0" applyFont="1" applyBorder="1" applyAlignment="1">
      <alignment horizontal="left" vertical="center" wrapText="1"/>
    </xf>
    <xf numFmtId="43" fontId="14" fillId="0" borderId="0" xfId="0" applyNumberFormat="1" applyFont="1" applyAlignment="1">
      <alignment horizontal="center" vertical="center"/>
    </xf>
    <xf numFmtId="0" fontId="0" fillId="14" borderId="2" xfId="0" applyFill="1" applyBorder="1" applyAlignment="1">
      <alignment horizontal="center"/>
    </xf>
    <xf numFmtId="0" fontId="0" fillId="14" borderId="2" xfId="0" applyFill="1" applyBorder="1"/>
    <xf numFmtId="169" fontId="0" fillId="14" borderId="2" xfId="0" applyNumberFormat="1" applyFill="1" applyBorder="1"/>
    <xf numFmtId="0" fontId="0" fillId="12" borderId="2" xfId="0" applyFill="1" applyBorder="1" applyAlignment="1">
      <alignment horizontal="center"/>
    </xf>
    <xf numFmtId="0" fontId="0" fillId="12" borderId="2" xfId="0" applyFill="1" applyBorder="1"/>
    <xf numFmtId="169" fontId="0" fillId="12" borderId="2" xfId="0" applyNumberFormat="1" applyFill="1" applyBorder="1"/>
    <xf numFmtId="0" fontId="0" fillId="14" borderId="3" xfId="0" applyFill="1" applyBorder="1" applyAlignment="1">
      <alignment horizontal="center"/>
    </xf>
    <xf numFmtId="0" fontId="0" fillId="14" borderId="3" xfId="0" applyFill="1" applyBorder="1"/>
    <xf numFmtId="169" fontId="0" fillId="14" borderId="3" xfId="0" applyNumberFormat="1" applyFill="1" applyBorder="1"/>
    <xf numFmtId="0" fontId="49" fillId="4" borderId="35" xfId="0" applyFont="1" applyFill="1" applyBorder="1"/>
    <xf numFmtId="0" fontId="49" fillId="4" borderId="7" xfId="0" applyFont="1" applyFill="1" applyBorder="1"/>
    <xf numFmtId="0" fontId="49" fillId="4" borderId="16" xfId="0" applyFont="1" applyFill="1" applyBorder="1"/>
    <xf numFmtId="0" fontId="13" fillId="0" borderId="2" xfId="0" applyFont="1" applyBorder="1" applyAlignment="1">
      <alignment horizontal="center" vertical="center" wrapText="1"/>
    </xf>
    <xf numFmtId="166" fontId="13" fillId="4" borderId="0" xfId="1" applyNumberFormat="1" applyFont="1" applyFill="1" applyAlignment="1">
      <alignment vertical="center" wrapText="1"/>
    </xf>
    <xf numFmtId="0" fontId="37" fillId="4" borderId="0" xfId="0" applyFont="1" applyFill="1" applyAlignment="1">
      <alignment vertical="center" wrapText="1"/>
    </xf>
    <xf numFmtId="166" fontId="2" fillId="4" borderId="0" xfId="1" applyNumberFormat="1" applyFont="1" applyFill="1" applyAlignment="1">
      <alignment vertical="center" wrapText="1"/>
    </xf>
    <xf numFmtId="0" fontId="2" fillId="4" borderId="0" xfId="0" applyFont="1" applyFill="1" applyAlignment="1">
      <alignment vertical="center" wrapText="1"/>
    </xf>
    <xf numFmtId="0" fontId="8" fillId="0" borderId="2" xfId="0" applyFont="1" applyBorder="1" applyAlignment="1">
      <alignment horizontal="center" vertical="center"/>
    </xf>
    <xf numFmtId="166" fontId="8" fillId="0" borderId="38" xfId="4" applyNumberFormat="1" applyFont="1" applyFill="1" applyBorder="1" applyAlignment="1">
      <alignment vertical="center"/>
    </xf>
    <xf numFmtId="166" fontId="8" fillId="0" borderId="61" xfId="1" applyNumberFormat="1" applyFont="1" applyBorder="1" applyAlignment="1">
      <alignment vertical="center" wrapText="1"/>
    </xf>
    <xf numFmtId="166" fontId="8" fillId="0" borderId="62" xfId="1" applyNumberFormat="1" applyFont="1" applyBorder="1" applyAlignment="1">
      <alignment vertical="center" wrapText="1"/>
    </xf>
    <xf numFmtId="166" fontId="8" fillId="0" borderId="56" xfId="1" applyNumberFormat="1" applyFont="1" applyBorder="1" applyAlignment="1">
      <alignment vertical="center" wrapText="1"/>
    </xf>
    <xf numFmtId="0" fontId="8" fillId="0" borderId="2" xfId="0" applyFont="1" applyBorder="1" applyAlignment="1">
      <alignment horizontal="center" vertical="center" wrapText="1"/>
    </xf>
    <xf numFmtId="0" fontId="2" fillId="4" borderId="2" xfId="0" applyFont="1" applyFill="1" applyBorder="1" applyAlignment="1">
      <alignment horizontal="center" vertical="center"/>
    </xf>
    <xf numFmtId="3" fontId="2" fillId="0" borderId="2" xfId="0" applyNumberFormat="1" applyFont="1" applyFill="1" applyBorder="1" applyAlignment="1">
      <alignment horizontal="center" vertical="center"/>
    </xf>
    <xf numFmtId="0" fontId="13" fillId="0" borderId="3" xfId="0" applyFont="1" applyBorder="1" applyAlignment="1">
      <alignment horizontal="center" vertical="center" wrapText="1"/>
    </xf>
    <xf numFmtId="166" fontId="8" fillId="4" borderId="2" xfId="4" applyNumberFormat="1"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8" fillId="0" borderId="2" xfId="0" applyFont="1" applyBorder="1" applyAlignment="1">
      <alignment horizontal="center" vertical="center" wrapText="1"/>
    </xf>
    <xf numFmtId="0" fontId="5" fillId="0" borderId="0" xfId="0" applyFont="1" applyAlignment="1">
      <alignment horizontal="right" vertical="center" wrapText="1"/>
    </xf>
    <xf numFmtId="0" fontId="14" fillId="0" borderId="1" xfId="0" applyFont="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right" vertical="center" wrapText="1"/>
    </xf>
    <xf numFmtId="164" fontId="13" fillId="0" borderId="0" xfId="0" applyNumberFormat="1" applyFont="1" applyAlignment="1">
      <alignment vertical="center"/>
    </xf>
    <xf numFmtId="0" fontId="14" fillId="0" borderId="50" xfId="0" applyFont="1" applyBorder="1" applyAlignment="1">
      <alignment horizontal="center" vertical="center" wrapText="1"/>
    </xf>
    <xf numFmtId="0" fontId="14" fillId="0" borderId="23" xfId="0" applyFont="1" applyBorder="1" applyAlignment="1">
      <alignment horizontal="center" vertical="center" textRotation="90" wrapText="1"/>
    </xf>
    <xf numFmtId="166" fontId="8" fillId="0" borderId="50" xfId="1" applyNumberFormat="1" applyFont="1" applyBorder="1" applyAlignment="1">
      <alignment vertical="center" wrapText="1"/>
    </xf>
    <xf numFmtId="166" fontId="8" fillId="0" borderId="31" xfId="1" applyNumberFormat="1" applyFont="1" applyBorder="1" applyAlignment="1">
      <alignment vertical="center" wrapText="1"/>
    </xf>
    <xf numFmtId="166" fontId="8" fillId="0" borderId="0" xfId="1" applyNumberFormat="1" applyFont="1" applyBorder="1" applyAlignment="1">
      <alignment vertical="center" wrapText="1"/>
    </xf>
    <xf numFmtId="0" fontId="8" fillId="0" borderId="2" xfId="0" applyFont="1" applyBorder="1" applyAlignment="1">
      <alignment horizontal="center" vertical="center"/>
    </xf>
    <xf numFmtId="166" fontId="8" fillId="0" borderId="4" xfId="4" applyNumberFormat="1" applyFont="1" applyFill="1" applyBorder="1" applyAlignment="1">
      <alignment vertical="center"/>
    </xf>
    <xf numFmtId="166" fontId="6" fillId="0" borderId="4" xfId="1" applyNumberFormat="1" applyFont="1" applyBorder="1" applyAlignment="1">
      <alignment vertical="center" wrapText="1"/>
    </xf>
    <xf numFmtId="0" fontId="13" fillId="0" borderId="0" xfId="0" applyFont="1" applyBorder="1" applyAlignment="1">
      <alignment horizontal="center" vertical="center" textRotation="90" wrapText="1"/>
    </xf>
    <xf numFmtId="43" fontId="14" fillId="0" borderId="2" xfId="1" applyFont="1" applyBorder="1" applyAlignment="1">
      <alignment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8" fillId="0" borderId="0" xfId="0" applyFont="1" applyBorder="1" applyAlignment="1">
      <alignment horizontal="center" vertical="center" wrapText="1"/>
    </xf>
    <xf numFmtId="166" fontId="8" fillId="0" borderId="0" xfId="1" applyNumberFormat="1" applyFont="1" applyBorder="1" applyAlignment="1">
      <alignment horizontal="center" vertical="center" wrapText="1"/>
    </xf>
    <xf numFmtId="166" fontId="13" fillId="3" borderId="5" xfId="1" applyNumberFormat="1" applyFont="1" applyFill="1" applyBorder="1" applyAlignment="1">
      <alignment horizontal="center" vertical="center" wrapText="1"/>
    </xf>
    <xf numFmtId="166" fontId="2" fillId="0" borderId="5" xfId="1" applyNumberFormat="1" applyFont="1" applyFill="1" applyBorder="1" applyAlignment="1">
      <alignment horizontal="center" vertical="center" wrapText="1"/>
    </xf>
    <xf numFmtId="166" fontId="13" fillId="0" borderId="5" xfId="1" applyNumberFormat="1" applyFont="1" applyFill="1" applyBorder="1" applyAlignment="1">
      <alignment horizontal="center" vertical="center" wrapText="1"/>
    </xf>
    <xf numFmtId="0" fontId="14" fillId="0" borderId="0" xfId="0" applyFont="1" applyBorder="1" applyAlignment="1">
      <alignment horizontal="center" vertical="center" wrapText="1"/>
    </xf>
    <xf numFmtId="43" fontId="13" fillId="13" borderId="2" xfId="0" applyNumberFormat="1" applyFont="1" applyFill="1" applyBorder="1" applyAlignment="1">
      <alignment horizontal="center" vertical="center" textRotation="90" wrapText="1"/>
    </xf>
    <xf numFmtId="43" fontId="13" fillId="13" borderId="0" xfId="1" applyFont="1" applyFill="1" applyBorder="1" applyAlignment="1">
      <alignment horizontal="center" vertical="center" wrapText="1"/>
    </xf>
    <xf numFmtId="166" fontId="13" fillId="13" borderId="0" xfId="1" applyNumberFormat="1" applyFont="1" applyFill="1" applyAlignment="1">
      <alignment vertical="center" wrapText="1"/>
    </xf>
    <xf numFmtId="0" fontId="13" fillId="13" borderId="0" xfId="0" applyFont="1" applyFill="1" applyAlignment="1">
      <alignment vertical="center" wrapText="1"/>
    </xf>
    <xf numFmtId="43" fontId="13" fillId="13" borderId="0" xfId="1" applyFont="1" applyFill="1" applyAlignment="1">
      <alignment vertical="center" wrapText="1"/>
    </xf>
    <xf numFmtId="43" fontId="13" fillId="13" borderId="0" xfId="0" applyNumberFormat="1" applyFont="1" applyFill="1" applyAlignment="1">
      <alignment vertical="center" wrapText="1"/>
    </xf>
    <xf numFmtId="166" fontId="13" fillId="13" borderId="0" xfId="0" applyNumberFormat="1" applyFont="1" applyFill="1" applyAlignment="1">
      <alignment vertical="center" wrapText="1"/>
    </xf>
    <xf numFmtId="0" fontId="37" fillId="13" borderId="0" xfId="0" applyFont="1" applyFill="1" applyAlignment="1">
      <alignment vertical="center" wrapText="1"/>
    </xf>
    <xf numFmtId="166" fontId="2" fillId="13" borderId="0" xfId="1" applyNumberFormat="1" applyFont="1" applyFill="1" applyAlignment="1">
      <alignment vertical="center" wrapText="1"/>
    </xf>
    <xf numFmtId="0" fontId="2" fillId="13" borderId="0" xfId="0" applyFont="1" applyFill="1" applyAlignment="1">
      <alignment vertical="center" wrapText="1"/>
    </xf>
    <xf numFmtId="0" fontId="13" fillId="13" borderId="2" xfId="0" applyFont="1" applyFill="1" applyBorder="1" applyAlignment="1">
      <alignment horizontal="center" vertical="center" textRotation="90" wrapText="1"/>
    </xf>
    <xf numFmtId="166" fontId="37" fillId="13" borderId="0" xfId="1" applyNumberFormat="1" applyFont="1" applyFill="1" applyAlignment="1">
      <alignment vertical="center" wrapText="1"/>
    </xf>
    <xf numFmtId="166" fontId="13" fillId="0" borderId="0" xfId="0" applyNumberFormat="1" applyFont="1" applyBorder="1" applyAlignment="1">
      <alignment horizontal="center" vertical="center"/>
    </xf>
    <xf numFmtId="166" fontId="13" fillId="0" borderId="0" xfId="0" applyNumberFormat="1" applyFont="1" applyBorder="1" applyAlignment="1">
      <alignment vertical="center"/>
    </xf>
    <xf numFmtId="0" fontId="16" fillId="3" borderId="2" xfId="0" applyFont="1" applyFill="1" applyBorder="1" applyAlignment="1">
      <alignment vertical="center" wrapText="1"/>
    </xf>
    <xf numFmtId="0" fontId="13" fillId="3" borderId="2" xfId="0" applyFont="1" applyFill="1" applyBorder="1" applyAlignment="1">
      <alignment horizontal="center" vertical="center" wrapText="1"/>
    </xf>
    <xf numFmtId="43" fontId="13" fillId="3" borderId="2" xfId="0" applyNumberFormat="1" applyFont="1" applyFill="1" applyBorder="1" applyAlignment="1">
      <alignment horizontal="center" vertical="center" wrapText="1"/>
    </xf>
    <xf numFmtId="166" fontId="13" fillId="3" borderId="2" xfId="1" applyNumberFormat="1" applyFont="1" applyFill="1" applyBorder="1" applyAlignment="1">
      <alignment vertical="center" wrapText="1"/>
    </xf>
    <xf numFmtId="165" fontId="13" fillId="3" borderId="2" xfId="1" applyNumberFormat="1" applyFont="1" applyFill="1" applyBorder="1" applyAlignment="1">
      <alignment horizontal="center" vertical="center" wrapText="1"/>
    </xf>
    <xf numFmtId="43" fontId="13" fillId="3" borderId="2" xfId="0" applyNumberFormat="1" applyFont="1" applyFill="1" applyBorder="1" applyAlignment="1">
      <alignment horizontal="center" vertical="center" textRotation="90" wrapText="1"/>
    </xf>
    <xf numFmtId="43" fontId="13" fillId="3" borderId="0" xfId="0" applyNumberFormat="1" applyFont="1" applyFill="1" applyAlignment="1">
      <alignment horizontal="center" vertical="center" textRotation="90" wrapText="1"/>
    </xf>
    <xf numFmtId="0" fontId="13" fillId="3" borderId="0" xfId="0" applyFont="1" applyFill="1" applyAlignment="1">
      <alignment vertical="center" wrapText="1"/>
    </xf>
    <xf numFmtId="43" fontId="13" fillId="3" borderId="0" xfId="1" applyFont="1" applyFill="1" applyAlignment="1">
      <alignment vertical="center" wrapText="1"/>
    </xf>
    <xf numFmtId="43" fontId="13" fillId="3" borderId="0" xfId="0" applyNumberFormat="1" applyFont="1" applyFill="1" applyAlignment="1">
      <alignment vertical="center" wrapText="1"/>
    </xf>
    <xf numFmtId="43" fontId="13" fillId="3" borderId="2" xfId="1" applyFont="1" applyFill="1" applyBorder="1" applyAlignment="1">
      <alignment horizontal="center" vertical="center" wrapText="1"/>
    </xf>
    <xf numFmtId="43" fontId="13" fillId="3" borderId="0" xfId="1" applyFont="1" applyFill="1" applyBorder="1" applyAlignment="1">
      <alignment horizontal="center" vertical="center" wrapText="1"/>
    </xf>
    <xf numFmtId="166" fontId="13" fillId="3" borderId="2" xfId="16" applyNumberFormat="1" applyFont="1" applyFill="1" applyBorder="1" applyAlignment="1">
      <alignment horizontal="center" vertical="center" wrapText="1"/>
    </xf>
    <xf numFmtId="166" fontId="5" fillId="0" borderId="0" xfId="1" applyNumberFormat="1" applyFont="1" applyAlignment="1">
      <alignment horizontal="right" vertical="center" wrapText="1"/>
    </xf>
    <xf numFmtId="166" fontId="7" fillId="0" borderId="0" xfId="1" applyNumberFormat="1" applyFont="1" applyAlignment="1">
      <alignment horizontal="right" vertical="center"/>
    </xf>
    <xf numFmtId="166" fontId="7" fillId="0" borderId="0" xfId="1" applyNumberFormat="1" applyFont="1" applyAlignment="1">
      <alignment horizontal="center" vertical="center"/>
    </xf>
    <xf numFmtId="166" fontId="7" fillId="0" borderId="0" xfId="1" applyNumberFormat="1" applyFont="1" applyAlignment="1">
      <alignment horizontal="center" vertical="center" wrapText="1"/>
    </xf>
    <xf numFmtId="166" fontId="17" fillId="0" borderId="0" xfId="1" applyNumberFormat="1" applyFont="1" applyAlignment="1">
      <alignment horizontal="center" vertical="center" wrapText="1"/>
    </xf>
    <xf numFmtId="166" fontId="14" fillId="0" borderId="0" xfId="1" applyNumberFormat="1" applyFont="1" applyAlignment="1">
      <alignment horizontal="center" vertical="center" wrapText="1"/>
    </xf>
    <xf numFmtId="166" fontId="13" fillId="0" borderId="0" xfId="1" applyNumberFormat="1" applyFont="1" applyAlignment="1">
      <alignment horizontal="center" vertical="center" wrapText="1"/>
    </xf>
    <xf numFmtId="166" fontId="21" fillId="0" borderId="0" xfId="1" applyNumberFormat="1" applyFont="1" applyFill="1" applyBorder="1" applyAlignment="1">
      <alignment horizontal="center" vertical="center" wrapText="1"/>
    </xf>
    <xf numFmtId="166" fontId="21" fillId="0" borderId="0" xfId="1" applyNumberFormat="1" applyFont="1" applyAlignment="1">
      <alignment horizontal="center" vertical="center" wrapText="1"/>
    </xf>
    <xf numFmtId="166" fontId="14" fillId="2" borderId="0" xfId="1" applyNumberFormat="1" applyFont="1" applyFill="1" applyAlignment="1">
      <alignment horizontal="center" vertical="center" wrapText="1"/>
    </xf>
    <xf numFmtId="0" fontId="13" fillId="3" borderId="2" xfId="0" applyFont="1" applyFill="1" applyBorder="1" applyAlignment="1">
      <alignment horizontal="left" vertical="center" wrapText="1"/>
    </xf>
    <xf numFmtId="166" fontId="2" fillId="3" borderId="2" xfId="4" applyNumberFormat="1" applyFont="1" applyFill="1" applyBorder="1" applyAlignment="1">
      <alignment horizontal="center" vertical="center" wrapText="1"/>
    </xf>
    <xf numFmtId="43" fontId="9" fillId="0" borderId="0" xfId="0" applyNumberFormat="1" applyFont="1" applyAlignment="1">
      <alignment horizontal="left" vertical="center" wrapText="1"/>
    </xf>
    <xf numFmtId="43" fontId="6" fillId="0" borderId="0" xfId="1" applyFont="1" applyFill="1" applyAlignment="1">
      <alignment horizontal="right" vertical="center" wrapText="1"/>
    </xf>
    <xf numFmtId="166" fontId="13" fillId="0" borderId="0" xfId="0" applyNumberFormat="1" applyFont="1" applyAlignment="1">
      <alignment horizontal="center" vertical="center"/>
    </xf>
    <xf numFmtId="43" fontId="13" fillId="4" borderId="2" xfId="0" applyNumberFormat="1" applyFont="1" applyFill="1" applyBorder="1" applyAlignment="1">
      <alignment horizontal="center" vertical="center" textRotation="90" wrapText="1"/>
    </xf>
    <xf numFmtId="43" fontId="8" fillId="0" borderId="2" xfId="1" applyNumberFormat="1" applyFont="1" applyFill="1" applyBorder="1" applyAlignment="1">
      <alignment vertical="center"/>
    </xf>
    <xf numFmtId="167" fontId="13" fillId="3" borderId="2" xfId="1" applyNumberFormat="1" applyFont="1" applyFill="1" applyBorder="1" applyAlignment="1">
      <alignment horizontal="center" vertical="center" wrapText="1"/>
    </xf>
    <xf numFmtId="165" fontId="2" fillId="0" borderId="0" xfId="1" applyNumberFormat="1" applyFont="1" applyFill="1" applyBorder="1" applyAlignment="1">
      <alignment horizontal="center" vertical="center" wrapText="1"/>
    </xf>
    <xf numFmtId="166" fontId="2" fillId="3" borderId="2" xfId="16" applyNumberFormat="1" applyFont="1" applyFill="1" applyBorder="1" applyAlignment="1">
      <alignment horizontal="center" vertical="center" wrapText="1"/>
    </xf>
    <xf numFmtId="166" fontId="50" fillId="3" borderId="2" xfId="1" applyNumberFormat="1" applyFont="1" applyFill="1" applyBorder="1" applyAlignment="1">
      <alignment horizontal="center" vertical="center" wrapText="1"/>
    </xf>
    <xf numFmtId="0" fontId="6" fillId="0" borderId="0" xfId="0" applyFont="1" applyAlignment="1">
      <alignment horizontal="center" vertical="center"/>
    </xf>
    <xf numFmtId="0" fontId="33" fillId="0" borderId="0" xfId="0" applyFont="1"/>
    <xf numFmtId="0" fontId="52" fillId="0" borderId="0" xfId="0" applyFont="1" applyAlignment="1">
      <alignment horizontal="center" vertical="center"/>
    </xf>
    <xf numFmtId="0" fontId="52" fillId="0" borderId="0" xfId="0" applyFont="1" applyAlignment="1">
      <alignment horizontal="center" vertical="center" wrapText="1"/>
    </xf>
    <xf numFmtId="0" fontId="48" fillId="0" borderId="0" xfId="0" applyFont="1" applyAlignment="1">
      <alignment horizontal="center" vertical="center"/>
    </xf>
    <xf numFmtId="0" fontId="48" fillId="0" borderId="0" xfId="0" applyFont="1" applyAlignment="1">
      <alignment horizontal="center" vertical="center" wrapText="1"/>
    </xf>
    <xf numFmtId="0" fontId="48" fillId="4" borderId="0" xfId="0" applyFont="1" applyFill="1" applyAlignment="1">
      <alignment horizontal="center" vertical="center" wrapText="1"/>
    </xf>
    <xf numFmtId="165" fontId="48" fillId="0" borderId="0" xfId="21" applyNumberFormat="1" applyFont="1" applyAlignment="1">
      <alignment horizontal="center" vertical="center" wrapText="1"/>
    </xf>
    <xf numFmtId="165" fontId="48" fillId="4" borderId="0" xfId="21" applyNumberFormat="1" applyFont="1" applyFill="1" applyAlignment="1">
      <alignment horizontal="center" vertical="center" wrapText="1"/>
    </xf>
    <xf numFmtId="0" fontId="48" fillId="0" borderId="0" xfId="0" applyFont="1" applyAlignment="1">
      <alignment vertical="center"/>
    </xf>
    <xf numFmtId="0" fontId="33" fillId="0" borderId="0" xfId="0" applyFont="1" applyAlignment="1">
      <alignment horizontal="center"/>
    </xf>
    <xf numFmtId="0" fontId="33" fillId="0" borderId="0" xfId="0" applyFont="1" applyAlignment="1">
      <alignment horizontal="center" wrapText="1"/>
    </xf>
    <xf numFmtId="177" fontId="48" fillId="0" borderId="0" xfId="21" applyNumberFormat="1" applyFont="1" applyAlignment="1">
      <alignment horizontal="center" vertical="center" wrapText="1"/>
    </xf>
    <xf numFmtId="43" fontId="33" fillId="0" borderId="0" xfId="0" applyNumberFormat="1" applyFont="1" applyAlignment="1">
      <alignment horizontal="center" wrapText="1"/>
    </xf>
    <xf numFmtId="166" fontId="6" fillId="4" borderId="2" xfId="1" applyNumberFormat="1" applyFont="1" applyFill="1" applyBorder="1" applyAlignment="1">
      <alignment vertical="center"/>
    </xf>
    <xf numFmtId="0" fontId="13" fillId="0" borderId="3" xfId="0" applyFont="1" applyBorder="1" applyAlignment="1">
      <alignment horizontal="center" vertical="center" wrapText="1"/>
    </xf>
    <xf numFmtId="43" fontId="6" fillId="0" borderId="0" xfId="1" applyFont="1" applyFill="1" applyAlignment="1">
      <alignment horizontal="right" vertical="center" wrapText="1"/>
    </xf>
    <xf numFmtId="43" fontId="7" fillId="0" borderId="0" xfId="0" applyNumberFormat="1" applyFont="1" applyAlignment="1">
      <alignment horizontal="center" vertical="center"/>
    </xf>
    <xf numFmtId="166" fontId="13" fillId="4" borderId="2" xfId="1" applyNumberFormat="1" applyFont="1" applyFill="1" applyBorder="1" applyAlignment="1">
      <alignment vertical="center" wrapText="1"/>
    </xf>
    <xf numFmtId="166" fontId="7" fillId="0" borderId="0" xfId="0" applyNumberFormat="1" applyFont="1" applyAlignment="1">
      <alignment horizontal="center" vertical="center" wrapText="1"/>
    </xf>
    <xf numFmtId="43" fontId="14" fillId="0" borderId="0" xfId="0" applyNumberFormat="1" applyFont="1" applyBorder="1" applyAlignment="1">
      <alignment horizontal="center" vertical="center" wrapText="1"/>
    </xf>
    <xf numFmtId="43" fontId="14" fillId="0" borderId="0" xfId="1" applyNumberFormat="1" applyFont="1" applyBorder="1" applyAlignment="1">
      <alignment horizontal="center" vertical="center" wrapText="1"/>
    </xf>
    <xf numFmtId="0" fontId="8" fillId="0" borderId="2" xfId="0" applyFont="1" applyBorder="1" applyAlignment="1">
      <alignment horizontal="center" vertical="center"/>
    </xf>
    <xf numFmtId="0" fontId="6" fillId="0" borderId="2"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16" fillId="0" borderId="4" xfId="0" applyFont="1" applyBorder="1" applyAlignment="1">
      <alignment vertical="center" wrapText="1"/>
    </xf>
    <xf numFmtId="166" fontId="8" fillId="0" borderId="4" xfId="4" applyNumberFormat="1" applyFont="1" applyBorder="1" applyAlignment="1">
      <alignment vertical="center"/>
    </xf>
    <xf numFmtId="166" fontId="33" fillId="3" borderId="4" xfId="1" applyNumberFormat="1" applyFont="1" applyFill="1" applyBorder="1" applyAlignment="1">
      <alignment vertical="center"/>
    </xf>
    <xf numFmtId="166" fontId="35" fillId="3" borderId="4" xfId="1" applyNumberFormat="1" applyFont="1" applyFill="1" applyBorder="1" applyAlignment="1">
      <alignment vertical="center"/>
    </xf>
    <xf numFmtId="43" fontId="8" fillId="0" borderId="3" xfId="0" applyNumberFormat="1" applyFont="1" applyBorder="1" applyAlignment="1">
      <alignment vertical="center"/>
    </xf>
    <xf numFmtId="43" fontId="8" fillId="0" borderId="3" xfId="1" applyFont="1" applyBorder="1" applyAlignment="1">
      <alignment vertical="center"/>
    </xf>
    <xf numFmtId="166" fontId="8" fillId="0" borderId="3" xfId="1" applyNumberFormat="1" applyFont="1" applyBorder="1" applyAlignment="1">
      <alignment vertical="center"/>
    </xf>
    <xf numFmtId="0" fontId="8" fillId="0" borderId="3" xfId="0" applyFont="1" applyBorder="1" applyAlignment="1">
      <alignment vertical="center"/>
    </xf>
    <xf numFmtId="43" fontId="6" fillId="0" borderId="2" xfId="1" applyFont="1" applyBorder="1" applyAlignment="1">
      <alignment vertical="center"/>
    </xf>
    <xf numFmtId="0" fontId="13" fillId="4" borderId="2" xfId="0" applyFont="1" applyFill="1" applyBorder="1" applyAlignment="1">
      <alignment vertical="center" wrapText="1"/>
    </xf>
    <xf numFmtId="0" fontId="13" fillId="3" borderId="3" xfId="0" applyFont="1" applyFill="1" applyBorder="1" applyAlignment="1">
      <alignment horizontal="left"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3" fillId="3" borderId="2" xfId="0" applyFont="1" applyFill="1" applyBorder="1" applyAlignment="1">
      <alignment vertical="center" wrapText="1"/>
    </xf>
    <xf numFmtId="0" fontId="13" fillId="3" borderId="4" xfId="0" applyFont="1" applyFill="1" applyBorder="1" applyAlignment="1">
      <alignment vertical="center" wrapText="1"/>
    </xf>
    <xf numFmtId="166" fontId="8" fillId="4" borderId="2" xfId="4" applyNumberFormat="1" applyFont="1" applyFill="1" applyBorder="1" applyAlignment="1">
      <alignment vertical="center"/>
    </xf>
    <xf numFmtId="169" fontId="13" fillId="4" borderId="4" xfId="0" applyNumberFormat="1" applyFont="1" applyFill="1" applyBorder="1" applyAlignment="1">
      <alignment vertical="center" wrapText="1"/>
    </xf>
    <xf numFmtId="14" fontId="8" fillId="0" borderId="0" xfId="1" applyNumberFormat="1" applyFont="1" applyAlignment="1">
      <alignment vertical="center"/>
    </xf>
    <xf numFmtId="43" fontId="13" fillId="0" borderId="2" xfId="1" applyFont="1" applyFill="1" applyBorder="1" applyAlignment="1">
      <alignment horizontal="justify" vertical="center" wrapText="1"/>
    </xf>
    <xf numFmtId="166" fontId="8" fillId="0" borderId="0" xfId="16" applyNumberFormat="1" applyFont="1" applyAlignment="1">
      <alignment vertical="center"/>
    </xf>
    <xf numFmtId="43" fontId="8" fillId="0" borderId="0" xfId="16" applyFont="1" applyAlignment="1">
      <alignment vertical="center"/>
    </xf>
    <xf numFmtId="43" fontId="8" fillId="4" borderId="2" xfId="16" applyFont="1" applyFill="1" applyBorder="1" applyAlignment="1">
      <alignment vertical="center"/>
    </xf>
    <xf numFmtId="0" fontId="13" fillId="0" borderId="2" xfId="0" applyFont="1" applyBorder="1" applyAlignment="1">
      <alignment horizontal="center" vertical="center" wrapText="1"/>
    </xf>
    <xf numFmtId="0" fontId="16" fillId="15" borderId="2" xfId="0" applyFont="1" applyFill="1" applyBorder="1" applyAlignment="1">
      <alignment vertical="center" wrapText="1"/>
    </xf>
    <xf numFmtId="0" fontId="13"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171" fontId="13" fillId="3" borderId="12" xfId="0" applyNumberFormat="1" applyFont="1" applyFill="1" applyBorder="1" applyAlignment="1">
      <alignment horizontal="center" vertical="center" wrapText="1"/>
    </xf>
    <xf numFmtId="0" fontId="13" fillId="4" borderId="44" xfId="0" applyFont="1" applyFill="1" applyBorder="1" applyAlignment="1">
      <alignment vertical="center" wrapText="1"/>
    </xf>
    <xf numFmtId="0" fontId="13" fillId="4" borderId="4" xfId="0" applyFont="1" applyFill="1" applyBorder="1" applyAlignment="1">
      <alignment vertical="center" wrapText="1"/>
    </xf>
    <xf numFmtId="166" fontId="8" fillId="4" borderId="43" xfId="1" applyNumberFormat="1" applyFont="1" applyFill="1" applyBorder="1" applyAlignment="1">
      <alignment vertical="center" wrapText="1"/>
    </xf>
    <xf numFmtId="167" fontId="13" fillId="0" borderId="0" xfId="1" applyNumberFormat="1" applyFont="1" applyAlignment="1">
      <alignment vertical="center" wrapText="1"/>
    </xf>
    <xf numFmtId="167" fontId="13" fillId="0" borderId="0" xfId="11" applyNumberFormat="1" applyFont="1" applyAlignment="1">
      <alignment vertical="center" wrapText="1"/>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2" fillId="0" borderId="2" xfId="1" quotePrefix="1" applyNumberFormat="1" applyFont="1" applyFill="1" applyBorder="1" applyAlignment="1">
      <alignment horizontal="center" vertical="center"/>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37" fillId="3" borderId="2" xfId="0" applyFont="1" applyFill="1" applyBorder="1" applyAlignment="1">
      <alignment vertical="center" wrapText="1"/>
    </xf>
    <xf numFmtId="166" fontId="8" fillId="4" borderId="2" xfId="1" applyNumberFormat="1" applyFont="1" applyFill="1" applyBorder="1" applyAlignment="1">
      <alignment vertical="center" wrapText="1"/>
    </xf>
    <xf numFmtId="166" fontId="8" fillId="4" borderId="4" xfId="1" applyNumberFormat="1" applyFont="1" applyFill="1" applyBorder="1" applyAlignment="1">
      <alignment vertical="center" wrapText="1"/>
    </xf>
    <xf numFmtId="167" fontId="2" fillId="0" borderId="0" xfId="1" applyNumberFormat="1" applyFont="1" applyFill="1" applyBorder="1" applyAlignment="1">
      <alignment horizontal="center" vertical="center" wrapText="1"/>
    </xf>
    <xf numFmtId="177" fontId="2" fillId="0" borderId="0" xfId="1" applyNumberFormat="1" applyFont="1" applyFill="1" applyBorder="1" applyAlignment="1">
      <alignment horizontal="center" vertical="center" wrapText="1"/>
    </xf>
    <xf numFmtId="166" fontId="8" fillId="0" borderId="40" xfId="1" applyNumberFormat="1" applyFont="1" applyBorder="1" applyAlignment="1">
      <alignment vertical="center" wrapText="1"/>
    </xf>
    <xf numFmtId="166" fontId="8" fillId="3" borderId="2" xfId="1" applyNumberFormat="1" applyFont="1" applyFill="1" applyBorder="1" applyAlignment="1">
      <alignment vertical="center" wrapText="1"/>
    </xf>
    <xf numFmtId="166" fontId="8" fillId="3" borderId="4" xfId="1" applyNumberFormat="1" applyFont="1" applyFill="1" applyBorder="1" applyAlignment="1">
      <alignment vertical="center" wrapText="1"/>
    </xf>
    <xf numFmtId="166" fontId="13" fillId="3" borderId="0" xfId="0" applyNumberFormat="1" applyFont="1" applyFill="1" applyBorder="1" applyAlignment="1">
      <alignment vertical="center" wrapText="1"/>
    </xf>
    <xf numFmtId="0" fontId="2" fillId="3" borderId="0" xfId="0" applyFont="1" applyFill="1" applyBorder="1" applyAlignment="1">
      <alignment horizontal="center" vertical="center"/>
    </xf>
    <xf numFmtId="166" fontId="33" fillId="12" borderId="2" xfId="1" applyNumberFormat="1" applyFont="1" applyFill="1" applyBorder="1" applyAlignment="1">
      <alignment vertical="center"/>
    </xf>
    <xf numFmtId="0" fontId="13" fillId="12" borderId="4"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5" fillId="0" borderId="0" xfId="0" applyFont="1" applyAlignment="1">
      <alignment horizontal="right" vertical="center" wrapText="1"/>
    </xf>
    <xf numFmtId="0" fontId="17" fillId="0" borderId="0" xfId="0" applyFont="1" applyAlignment="1">
      <alignment horizontal="center" vertical="center" wrapText="1"/>
    </xf>
    <xf numFmtId="17" fontId="32" fillId="0" borderId="0" xfId="0" applyNumberFormat="1" applyFont="1" applyBorder="1" applyAlignment="1">
      <alignment vertical="center"/>
    </xf>
    <xf numFmtId="0" fontId="16" fillId="0" borderId="0" xfId="0" applyFont="1" applyBorder="1" applyAlignment="1">
      <alignment horizontal="center" vertical="center"/>
    </xf>
    <xf numFmtId="166" fontId="2" fillId="3" borderId="5" xfId="1" applyNumberFormat="1" applyFont="1" applyFill="1" applyBorder="1" applyAlignment="1">
      <alignment horizontal="center" vertical="center" wrapText="1"/>
    </xf>
    <xf numFmtId="166" fontId="13" fillId="3" borderId="2" xfId="16" applyNumberFormat="1" applyFont="1" applyFill="1" applyBorder="1" applyAlignment="1">
      <alignment vertical="center" wrapText="1"/>
    </xf>
    <xf numFmtId="166" fontId="13" fillId="0" borderId="2" xfId="16" applyNumberFormat="1" applyFont="1" applyFill="1" applyBorder="1" applyAlignment="1">
      <alignment vertical="center" wrapText="1"/>
    </xf>
    <xf numFmtId="166" fontId="2" fillId="3" borderId="2" xfId="16" applyNumberFormat="1" applyFont="1" applyFill="1" applyBorder="1" applyAlignment="1">
      <alignment vertical="center" wrapText="1"/>
    </xf>
    <xf numFmtId="166" fontId="2" fillId="0" borderId="2" xfId="16" applyNumberFormat="1" applyFont="1" applyFill="1" applyBorder="1" applyAlignment="1">
      <alignment horizontal="center" vertical="center" wrapText="1"/>
    </xf>
    <xf numFmtId="43" fontId="5" fillId="0" borderId="0" xfId="1" applyFont="1" applyAlignment="1">
      <alignment horizontal="right" vertical="center" wrapText="1"/>
    </xf>
    <xf numFmtId="43" fontId="7" fillId="0" borderId="0" xfId="1" applyFont="1" applyAlignment="1">
      <alignment horizontal="center" vertical="center"/>
    </xf>
    <xf numFmtId="43" fontId="14" fillId="0" borderId="0" xfId="1" applyFont="1" applyAlignment="1">
      <alignment horizontal="right" vertical="center"/>
    </xf>
    <xf numFmtId="43" fontId="14" fillId="0" borderId="0" xfId="1" applyFont="1" applyAlignment="1">
      <alignment horizontal="center" vertical="center" textRotation="90" wrapText="1"/>
    </xf>
    <xf numFmtId="43" fontId="13" fillId="0" borderId="0" xfId="1" applyFont="1" applyAlignment="1">
      <alignment horizontal="center" vertical="center" textRotation="90" wrapText="1"/>
    </xf>
    <xf numFmtId="43" fontId="13" fillId="3" borderId="0" xfId="1" applyFont="1" applyFill="1" applyAlignment="1">
      <alignment horizontal="center" vertical="center" textRotation="90" wrapText="1"/>
    </xf>
    <xf numFmtId="43" fontId="13" fillId="13" borderId="0" xfId="1" applyFont="1" applyFill="1" applyAlignment="1">
      <alignment horizontal="center" vertical="center" textRotation="90" wrapText="1"/>
    </xf>
    <xf numFmtId="43" fontId="13" fillId="4" borderId="0" xfId="1" applyFont="1" applyFill="1" applyAlignment="1">
      <alignment horizontal="center" vertical="center" textRotation="90" wrapText="1"/>
    </xf>
    <xf numFmtId="43" fontId="13" fillId="0" borderId="0" xfId="1" applyFont="1" applyAlignment="1">
      <alignment horizontal="center" vertical="center" wrapText="1" readingOrder="1"/>
    </xf>
    <xf numFmtId="43" fontId="14" fillId="4" borderId="18" xfId="1" applyFont="1" applyFill="1" applyBorder="1" applyAlignment="1">
      <alignment horizontal="center" vertical="center" textRotation="90" wrapText="1"/>
    </xf>
    <xf numFmtId="43" fontId="14" fillId="5" borderId="0" xfId="1" applyFont="1" applyFill="1" applyAlignment="1">
      <alignment horizontal="center" vertical="center" textRotation="90" wrapText="1"/>
    </xf>
    <xf numFmtId="43" fontId="20" fillId="0" borderId="0" xfId="1" applyFont="1" applyAlignment="1">
      <alignment vertical="center" wrapText="1"/>
    </xf>
    <xf numFmtId="0" fontId="7" fillId="0" borderId="0" xfId="0"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right" vertical="center" wrapText="1"/>
    </xf>
    <xf numFmtId="0" fontId="7" fillId="0" borderId="0" xfId="0" applyFont="1" applyAlignment="1">
      <alignment horizontal="center" vertical="center" wrapText="1"/>
    </xf>
    <xf numFmtId="0" fontId="6" fillId="0" borderId="14" xfId="0" applyFont="1" applyBorder="1" applyAlignment="1">
      <alignment horizontal="center" vertical="center" wrapText="1"/>
    </xf>
    <xf numFmtId="0" fontId="15" fillId="0" borderId="0" xfId="0" applyFont="1" applyAlignment="1">
      <alignment horizontal="right" vertical="center"/>
    </xf>
    <xf numFmtId="0" fontId="5" fillId="0" borderId="0" xfId="0" applyFont="1" applyAlignment="1">
      <alignment horizontal="right" vertical="center" wrapText="1"/>
    </xf>
    <xf numFmtId="0" fontId="17"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4"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14" fillId="4" borderId="18" xfId="0" applyFont="1" applyFill="1" applyBorder="1" applyAlignment="1">
      <alignment horizontal="center"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0" fontId="14"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 xfId="0" applyFont="1" applyBorder="1" applyAlignment="1">
      <alignment horizontal="center" vertical="center" textRotation="90" wrapText="1"/>
    </xf>
    <xf numFmtId="43" fontId="13" fillId="0" borderId="1" xfId="1" applyFont="1" applyFill="1" applyBorder="1" applyAlignment="1">
      <alignment horizontal="center" vertical="center" textRotation="90" wrapText="1"/>
    </xf>
    <xf numFmtId="0" fontId="6" fillId="0" borderId="0" xfId="0" applyFont="1" applyBorder="1" applyAlignment="1">
      <alignment horizontal="center" vertical="center" wrapText="1"/>
    </xf>
    <xf numFmtId="166" fontId="8" fillId="0" borderId="0" xfId="4" applyNumberFormat="1" applyFont="1" applyBorder="1" applyAlignment="1">
      <alignment horizontal="center" vertical="center" wrapText="1"/>
    </xf>
    <xf numFmtId="166" fontId="6" fillId="0" borderId="0" xfId="1" applyNumberFormat="1" applyFont="1" applyBorder="1" applyAlignment="1">
      <alignment vertical="center" wrapText="1"/>
    </xf>
    <xf numFmtId="166" fontId="6" fillId="0" borderId="0" xfId="1" applyNumberFormat="1" applyFont="1" applyBorder="1" applyAlignment="1">
      <alignment horizontal="center" vertical="center"/>
    </xf>
    <xf numFmtId="166" fontId="8" fillId="0" borderId="0" xfId="4" applyNumberFormat="1" applyFont="1" applyFill="1" applyBorder="1" applyAlignment="1">
      <alignment horizontal="center" vertical="center" wrapText="1"/>
    </xf>
    <xf numFmtId="166" fontId="8" fillId="0" borderId="5" xfId="4" applyNumberFormat="1" applyFont="1" applyBorder="1" applyAlignment="1">
      <alignment horizontal="center" vertical="center" wrapText="1"/>
    </xf>
    <xf numFmtId="166" fontId="8" fillId="0" borderId="2" xfId="4" applyNumberFormat="1" applyFont="1" applyFill="1" applyBorder="1" applyAlignment="1">
      <alignment horizontal="center" vertical="center" wrapText="1"/>
    </xf>
    <xf numFmtId="0" fontId="6" fillId="0" borderId="58" xfId="0" applyFont="1" applyBorder="1" applyAlignment="1">
      <alignment horizontal="center" vertical="center" wrapText="1"/>
    </xf>
    <xf numFmtId="166" fontId="6" fillId="0" borderId="5" xfId="1" applyNumberFormat="1" applyFont="1" applyBorder="1" applyAlignment="1">
      <alignment vertical="center" wrapText="1"/>
    </xf>
    <xf numFmtId="166" fontId="8" fillId="0" borderId="5" xfId="1" applyNumberFormat="1" applyFont="1" applyBorder="1" applyAlignment="1">
      <alignment horizontal="center" vertical="center" wrapText="1"/>
    </xf>
    <xf numFmtId="166" fontId="6" fillId="0" borderId="5" xfId="1" applyNumberFormat="1" applyFont="1" applyBorder="1" applyAlignment="1">
      <alignment horizontal="center" vertical="center"/>
    </xf>
    <xf numFmtId="0" fontId="6" fillId="0" borderId="66" xfId="0" applyFont="1" applyBorder="1" applyAlignment="1">
      <alignment horizontal="center" vertical="center" wrapText="1"/>
    </xf>
    <xf numFmtId="0" fontId="6" fillId="0" borderId="67" xfId="0" applyFont="1" applyBorder="1" applyAlignment="1">
      <alignment horizontal="center" vertical="center" wrapText="1"/>
    </xf>
    <xf numFmtId="166" fontId="8" fillId="0" borderId="51" xfId="4" applyNumberFormat="1" applyFont="1" applyBorder="1" applyAlignment="1">
      <alignment horizontal="center" vertical="center" wrapText="1"/>
    </xf>
    <xf numFmtId="166" fontId="8" fillId="0" borderId="52" xfId="4" applyNumberFormat="1" applyFont="1" applyBorder="1" applyAlignment="1">
      <alignment horizontal="center" vertical="center" wrapText="1"/>
    </xf>
    <xf numFmtId="166" fontId="8" fillId="0" borderId="51" xfId="4" applyNumberFormat="1" applyFont="1" applyFill="1" applyBorder="1" applyAlignment="1">
      <alignment horizontal="center" vertical="center" wrapText="1"/>
    </xf>
    <xf numFmtId="166" fontId="8" fillId="0" borderId="52" xfId="4" applyNumberFormat="1" applyFont="1" applyFill="1" applyBorder="1" applyAlignment="1">
      <alignment horizontal="center" vertical="center" wrapText="1"/>
    </xf>
    <xf numFmtId="166" fontId="6" fillId="0" borderId="51" xfId="1" applyNumberFormat="1" applyFont="1" applyBorder="1" applyAlignment="1">
      <alignment vertical="center" wrapText="1"/>
    </xf>
    <xf numFmtId="166" fontId="6" fillId="0" borderId="52" xfId="1" applyNumberFormat="1" applyFont="1" applyBorder="1" applyAlignment="1">
      <alignment vertical="center" wrapText="1"/>
    </xf>
    <xf numFmtId="166" fontId="8" fillId="0" borderId="51" xfId="1" applyNumberFormat="1" applyFont="1" applyBorder="1" applyAlignment="1">
      <alignment horizontal="center" vertical="center" wrapText="1"/>
    </xf>
    <xf numFmtId="166" fontId="8" fillId="0" borderId="52" xfId="1" applyNumberFormat="1" applyFont="1" applyBorder="1" applyAlignment="1">
      <alignment horizontal="center" vertical="center" wrapText="1"/>
    </xf>
    <xf numFmtId="166" fontId="6" fillId="0" borderId="35" xfId="1" applyNumberFormat="1" applyFont="1" applyBorder="1" applyAlignment="1">
      <alignment horizontal="center" vertical="center"/>
    </xf>
    <xf numFmtId="166" fontId="6" fillId="0" borderId="7" xfId="1" applyNumberFormat="1" applyFont="1" applyBorder="1" applyAlignment="1">
      <alignment horizontal="center" vertical="center"/>
    </xf>
    <xf numFmtId="166" fontId="6" fillId="0" borderId="16" xfId="1" applyNumberFormat="1" applyFont="1" applyBorder="1" applyAlignment="1">
      <alignment horizontal="center" vertical="center"/>
    </xf>
    <xf numFmtId="0" fontId="11" fillId="0" borderId="0" xfId="0" applyFont="1" applyBorder="1" applyAlignment="1">
      <alignment horizontal="right" vertical="center" wrapText="1"/>
    </xf>
    <xf numFmtId="166" fontId="33" fillId="3" borderId="18" xfId="1" applyNumberFormat="1" applyFont="1" applyFill="1" applyBorder="1" applyAlignment="1">
      <alignment vertical="center"/>
    </xf>
    <xf numFmtId="0" fontId="13" fillId="0" borderId="0" xfId="0" applyFont="1" applyBorder="1" applyAlignment="1">
      <alignment horizontal="center" vertical="center" wrapText="1"/>
    </xf>
    <xf numFmtId="166" fontId="2" fillId="0" borderId="0" xfId="4" applyNumberFormat="1" applyFont="1" applyBorder="1" applyAlignment="1">
      <alignment horizontal="center" vertical="center" wrapText="1"/>
    </xf>
    <xf numFmtId="166" fontId="2" fillId="0" borderId="0" xfId="4" applyNumberFormat="1" applyFont="1" applyFill="1" applyBorder="1" applyAlignment="1">
      <alignment horizontal="center" vertical="center" wrapText="1"/>
    </xf>
    <xf numFmtId="166" fontId="21" fillId="2" borderId="0" xfId="1" applyNumberFormat="1" applyFont="1" applyFill="1" applyBorder="1" applyAlignment="1">
      <alignment horizontal="center" vertical="center" wrapText="1"/>
    </xf>
    <xf numFmtId="166" fontId="14" fillId="2" borderId="0" xfId="0" applyNumberFormat="1" applyFont="1" applyFill="1" applyBorder="1" applyAlignment="1">
      <alignment horizontal="center" vertical="center" wrapText="1"/>
    </xf>
    <xf numFmtId="166" fontId="2" fillId="0" borderId="5" xfId="4" applyNumberFormat="1" applyFont="1" applyBorder="1" applyAlignment="1">
      <alignment horizontal="center" vertical="center" wrapText="1"/>
    </xf>
    <xf numFmtId="166" fontId="21" fillId="2" borderId="32" xfId="1" applyNumberFormat="1" applyFont="1" applyFill="1" applyBorder="1" applyAlignment="1">
      <alignment horizontal="center" vertical="center" wrapText="1"/>
    </xf>
    <xf numFmtId="43" fontId="13" fillId="0" borderId="5" xfId="1" applyFont="1" applyBorder="1" applyAlignment="1">
      <alignment horizontal="center" vertical="center" wrapText="1"/>
    </xf>
    <xf numFmtId="166" fontId="14" fillId="0" borderId="25" xfId="1" applyNumberFormat="1" applyFont="1" applyBorder="1" applyAlignment="1">
      <alignment horizontal="center" vertical="center" wrapText="1"/>
    </xf>
    <xf numFmtId="166" fontId="14" fillId="2" borderId="25" xfId="0" applyNumberFormat="1" applyFont="1" applyFill="1" applyBorder="1" applyAlignment="1">
      <alignment horizontal="center" vertical="center" wrapText="1"/>
    </xf>
    <xf numFmtId="166" fontId="13" fillId="3" borderId="18" xfId="1" applyNumberFormat="1" applyFont="1" applyFill="1" applyBorder="1" applyAlignment="1">
      <alignment horizontal="center" vertical="center" wrapText="1"/>
    </xf>
    <xf numFmtId="167" fontId="13" fillId="3" borderId="18" xfId="1" applyNumberFormat="1" applyFont="1" applyFill="1" applyBorder="1" applyAlignment="1">
      <alignment horizontal="center" vertical="center" wrapText="1"/>
    </xf>
    <xf numFmtId="166" fontId="2" fillId="0" borderId="18" xfId="1" applyNumberFormat="1" applyFont="1" applyFill="1" applyBorder="1" applyAlignment="1">
      <alignment horizontal="center" vertical="center" wrapText="1"/>
    </xf>
    <xf numFmtId="166" fontId="14" fillId="0" borderId="26" xfId="1" applyNumberFormat="1" applyFont="1" applyBorder="1" applyAlignment="1">
      <alignment horizontal="center" vertical="center" wrapText="1"/>
    </xf>
    <xf numFmtId="0" fontId="20" fillId="0" borderId="0" xfId="0" applyFont="1" applyBorder="1" applyAlignment="1">
      <alignment vertical="center" wrapText="1"/>
    </xf>
    <xf numFmtId="43" fontId="13" fillId="4" borderId="2" xfId="0" applyNumberFormat="1" applyFont="1" applyFill="1" applyBorder="1" applyAlignment="1">
      <alignment horizontal="center" vertical="center" wrapText="1"/>
    </xf>
    <xf numFmtId="43" fontId="13" fillId="0" borderId="2" xfId="0" applyNumberFormat="1" applyFont="1" applyBorder="1" applyAlignment="1">
      <alignment horizontal="center" vertical="center" wrapText="1"/>
    </xf>
    <xf numFmtId="43" fontId="13" fillId="13" borderId="2" xfId="0" applyNumberFormat="1" applyFont="1" applyFill="1" applyBorder="1" applyAlignment="1">
      <alignment horizontal="center" vertical="center" wrapText="1"/>
    </xf>
    <xf numFmtId="0" fontId="13" fillId="13" borderId="2"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4" fillId="5" borderId="0" xfId="0" applyFont="1" applyFill="1" applyBorder="1" applyAlignment="1">
      <alignment horizontal="center" vertical="center" wrapText="1"/>
    </xf>
    <xf numFmtId="166" fontId="13" fillId="4" borderId="3" xfId="1" applyNumberFormat="1" applyFont="1" applyFill="1" applyBorder="1" applyAlignment="1">
      <alignment horizontal="center" vertical="center" wrapText="1"/>
    </xf>
    <xf numFmtId="166" fontId="13" fillId="4" borderId="2" xfId="1" applyNumberFormat="1" applyFont="1" applyFill="1" applyBorder="1" applyAlignment="1">
      <alignment horizontal="left" vertical="center" wrapText="1"/>
    </xf>
    <xf numFmtId="166" fontId="8" fillId="4" borderId="4" xfId="1" applyNumberFormat="1" applyFont="1" applyFill="1" applyBorder="1" applyAlignment="1">
      <alignment horizontal="center" vertical="center"/>
    </xf>
    <xf numFmtId="0" fontId="27" fillId="0" borderId="5" xfId="0" applyFont="1" applyBorder="1" applyAlignment="1">
      <alignment horizontal="center" vertical="center" wrapText="1"/>
    </xf>
    <xf numFmtId="0" fontId="27" fillId="0" borderId="5" xfId="0" applyFont="1" applyBorder="1" applyAlignment="1">
      <alignment vertical="center" wrapText="1"/>
    </xf>
    <xf numFmtId="43" fontId="27" fillId="0" borderId="19" xfId="0" applyNumberFormat="1" applyFont="1" applyBorder="1" applyAlignment="1">
      <alignment horizontal="left" vertical="center"/>
    </xf>
    <xf numFmtId="43" fontId="27" fillId="0" borderId="3" xfId="0" applyNumberFormat="1" applyFont="1" applyBorder="1" applyAlignment="1">
      <alignment horizontal="left" vertical="center"/>
    </xf>
    <xf numFmtId="0" fontId="8" fillId="0" borderId="3" xfId="0" applyFont="1" applyBorder="1" applyAlignment="1">
      <alignment vertical="center" wrapText="1"/>
    </xf>
    <xf numFmtId="0" fontId="8" fillId="0" borderId="17" xfId="0" applyFont="1" applyBorder="1" applyAlignment="1">
      <alignment vertical="center" wrapText="1"/>
    </xf>
    <xf numFmtId="0" fontId="27" fillId="0" borderId="35" xfId="0" applyFont="1" applyBorder="1" applyAlignment="1">
      <alignment horizontal="center" vertical="center" wrapText="1"/>
    </xf>
    <xf numFmtId="0" fontId="27" fillId="0" borderId="7" xfId="0" applyFont="1" applyBorder="1" applyAlignment="1">
      <alignment horizontal="center" vertical="center" wrapText="1"/>
    </xf>
    <xf numFmtId="166" fontId="27" fillId="0" borderId="51" xfId="1" applyNumberFormat="1" applyFont="1" applyBorder="1" applyAlignment="1">
      <alignment horizontal="center" vertical="center" wrapText="1"/>
    </xf>
    <xf numFmtId="166" fontId="27" fillId="0" borderId="2" xfId="1" applyNumberFormat="1" applyFont="1" applyBorder="1" applyAlignment="1">
      <alignment horizontal="center" vertical="center" wrapText="1"/>
    </xf>
    <xf numFmtId="166" fontId="8" fillId="0" borderId="52" xfId="1" applyNumberFormat="1" applyFont="1" applyBorder="1" applyAlignment="1">
      <alignment vertical="center" wrapText="1"/>
    </xf>
    <xf numFmtId="0" fontId="8" fillId="0" borderId="0" xfId="0" applyFont="1" applyBorder="1" applyAlignment="1">
      <alignment vertical="center" wrapText="1"/>
    </xf>
    <xf numFmtId="166" fontId="20" fillId="0" borderId="0" xfId="1" applyNumberFormat="1" applyFont="1" applyBorder="1" applyAlignment="1">
      <alignment vertical="center" wrapText="1"/>
    </xf>
    <xf numFmtId="166" fontId="27" fillId="0" borderId="0" xfId="1" applyNumberFormat="1" applyFont="1" applyBorder="1" applyAlignment="1">
      <alignment vertical="center" wrapText="1"/>
    </xf>
    <xf numFmtId="166" fontId="20" fillId="0" borderId="51" xfId="1" applyNumberFormat="1" applyFont="1" applyBorder="1" applyAlignment="1">
      <alignment vertical="center" wrapText="1"/>
    </xf>
    <xf numFmtId="166" fontId="20" fillId="0" borderId="52" xfId="1" applyNumberFormat="1" applyFont="1" applyBorder="1" applyAlignment="1">
      <alignment vertical="center" wrapText="1"/>
    </xf>
    <xf numFmtId="166" fontId="27" fillId="0" borderId="35" xfId="1" applyNumberFormat="1" applyFont="1" applyBorder="1" applyAlignment="1">
      <alignment vertical="center" wrapText="1"/>
    </xf>
    <xf numFmtId="166" fontId="27" fillId="0" borderId="7" xfId="1" applyNumberFormat="1" applyFont="1" applyBorder="1" applyAlignment="1">
      <alignment vertical="center" wrapText="1"/>
    </xf>
    <xf numFmtId="166" fontId="27" fillId="0" borderId="16" xfId="1" applyNumberFormat="1" applyFont="1" applyBorder="1" applyAlignment="1">
      <alignment vertical="center" wrapText="1"/>
    </xf>
    <xf numFmtId="164" fontId="13" fillId="3" borderId="2" xfId="0" applyNumberFormat="1" applyFont="1" applyFill="1" applyBorder="1" applyAlignment="1">
      <alignment horizontal="center" vertical="center" wrapText="1"/>
    </xf>
    <xf numFmtId="164" fontId="13" fillId="0" borderId="0" xfId="0" applyNumberFormat="1" applyFont="1" applyAlignment="1">
      <alignment vertical="center" wrapText="1"/>
    </xf>
    <xf numFmtId="166" fontId="8" fillId="0" borderId="2" xfId="1" applyNumberFormat="1" applyFont="1" applyFill="1" applyBorder="1" applyAlignment="1">
      <alignment horizontal="center" vertical="center" wrapText="1"/>
    </xf>
    <xf numFmtId="166" fontId="8" fillId="16" borderId="5" xfId="4" applyNumberFormat="1" applyFont="1" applyFill="1" applyBorder="1" applyAlignment="1">
      <alignment horizontal="center" vertical="center" wrapText="1"/>
    </xf>
    <xf numFmtId="166" fontId="33" fillId="14" borderId="2" xfId="1" applyNumberFormat="1" applyFont="1" applyFill="1" applyBorder="1" applyAlignment="1">
      <alignment vertical="center"/>
    </xf>
    <xf numFmtId="0" fontId="6" fillId="17" borderId="14" xfId="0" applyFont="1" applyFill="1" applyBorder="1" applyAlignment="1">
      <alignment horizontal="center" vertical="center" wrapText="1"/>
    </xf>
    <xf numFmtId="166" fontId="8" fillId="0" borderId="30" xfId="1" applyNumberFormat="1" applyFont="1" applyBorder="1" applyAlignment="1">
      <alignment vertical="center" wrapText="1"/>
    </xf>
    <xf numFmtId="0" fontId="14" fillId="0" borderId="55" xfId="0" applyFont="1" applyBorder="1" applyAlignment="1">
      <alignment horizontal="center" vertical="center" textRotation="90" wrapText="1"/>
    </xf>
    <xf numFmtId="0" fontId="14" fillId="0" borderId="4" xfId="0" applyFont="1" applyBorder="1" applyAlignment="1">
      <alignment horizontal="center" vertical="center" textRotation="90" wrapText="1"/>
    </xf>
    <xf numFmtId="0" fontId="14" fillId="0" borderId="56" xfId="0" applyFont="1" applyBorder="1" applyAlignment="1">
      <alignment horizontal="center" vertical="center" textRotation="90" wrapText="1"/>
    </xf>
    <xf numFmtId="173" fontId="12" fillId="0" borderId="0" xfId="0" applyNumberFormat="1" applyFont="1" applyAlignment="1">
      <alignment horizontal="right" vertical="top"/>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171" fontId="13" fillId="0" borderId="11" xfId="0" applyNumberFormat="1" applyFont="1" applyBorder="1" applyAlignment="1">
      <alignment horizontal="center" vertical="center" wrapText="1"/>
    </xf>
    <xf numFmtId="0" fontId="13" fillId="0" borderId="2" xfId="0" applyFont="1" applyBorder="1" applyAlignment="1">
      <alignment horizontal="center" vertical="center" wrapText="1"/>
    </xf>
    <xf numFmtId="182" fontId="13" fillId="0" borderId="2" xfId="1" applyNumberFormat="1" applyFont="1" applyFill="1" applyBorder="1" applyAlignment="1">
      <alignment horizontal="center" vertical="center" wrapText="1"/>
    </xf>
    <xf numFmtId="0" fontId="13" fillId="3" borderId="4" xfId="0" applyFont="1" applyFill="1" applyBorder="1" applyAlignment="1">
      <alignment horizontal="left" vertical="center" wrapText="1"/>
    </xf>
    <xf numFmtId="0" fontId="13" fillId="0" borderId="4" xfId="0" applyFont="1" applyBorder="1" applyAlignment="1">
      <alignment horizontal="right" vertical="center" wrapText="1"/>
    </xf>
    <xf numFmtId="164" fontId="8" fillId="0" borderId="0" xfId="0" applyNumberFormat="1" applyFont="1" applyAlignment="1">
      <alignment vertical="center" wrapText="1"/>
    </xf>
    <xf numFmtId="166" fontId="8" fillId="0" borderId="12" xfId="1" applyNumberFormat="1" applyFont="1" applyBorder="1" applyAlignment="1">
      <alignment vertical="center" wrapText="1"/>
    </xf>
    <xf numFmtId="166" fontId="8" fillId="0" borderId="13" xfId="1" applyNumberFormat="1" applyFont="1" applyBorder="1" applyAlignment="1">
      <alignment vertical="center" wrapText="1"/>
    </xf>
    <xf numFmtId="0" fontId="16" fillId="18" borderId="2" xfId="0" applyFont="1" applyFill="1" applyBorder="1" applyAlignment="1">
      <alignment vertical="center" wrapText="1"/>
    </xf>
    <xf numFmtId="166" fontId="2" fillId="18" borderId="2" xfId="1" applyNumberFormat="1" applyFont="1" applyFill="1" applyBorder="1" applyAlignment="1">
      <alignment horizontal="center" vertical="center" wrapText="1"/>
    </xf>
    <xf numFmtId="171" fontId="13" fillId="4" borderId="22" xfId="0" applyNumberFormat="1" applyFont="1" applyFill="1" applyBorder="1" applyAlignment="1">
      <alignment horizontal="center" vertical="center" wrapText="1"/>
    </xf>
    <xf numFmtId="167" fontId="13" fillId="0" borderId="0" xfId="1" applyNumberFormat="1" applyFont="1" applyBorder="1" applyAlignment="1">
      <alignment horizontal="center" vertical="center" wrapText="1"/>
    </xf>
    <xf numFmtId="43" fontId="13" fillId="0" borderId="0" xfId="1" applyNumberFormat="1" applyFont="1" applyAlignment="1">
      <alignment vertical="center" wrapText="1"/>
    </xf>
    <xf numFmtId="166" fontId="35" fillId="8" borderId="2" xfId="1" applyNumberFormat="1" applyFont="1" applyFill="1" applyBorder="1" applyAlignment="1">
      <alignment vertical="center"/>
    </xf>
    <xf numFmtId="166" fontId="12" fillId="8" borderId="2" xfId="1" applyNumberFormat="1" applyFont="1" applyFill="1" applyBorder="1" applyAlignment="1">
      <alignment vertical="center"/>
    </xf>
    <xf numFmtId="166" fontId="35" fillId="19" borderId="2" xfId="1" applyNumberFormat="1" applyFont="1" applyFill="1" applyBorder="1" applyAlignment="1">
      <alignment vertical="center"/>
    </xf>
    <xf numFmtId="166" fontId="35" fillId="19" borderId="4" xfId="1" applyNumberFormat="1" applyFont="1" applyFill="1" applyBorder="1" applyAlignment="1">
      <alignment vertical="center"/>
    </xf>
    <xf numFmtId="166" fontId="35" fillId="11" borderId="2" xfId="1" applyNumberFormat="1" applyFont="1" applyFill="1" applyBorder="1" applyAlignment="1">
      <alignment vertical="center"/>
    </xf>
    <xf numFmtId="166" fontId="35" fillId="20" borderId="2" xfId="1" applyNumberFormat="1" applyFont="1" applyFill="1" applyBorder="1" applyAlignment="1">
      <alignment vertical="center"/>
    </xf>
    <xf numFmtId="166" fontId="35" fillId="21" borderId="2" xfId="1" applyNumberFormat="1" applyFont="1" applyFill="1" applyBorder="1" applyAlignment="1">
      <alignment vertical="center"/>
    </xf>
    <xf numFmtId="166" fontId="35" fillId="4" borderId="2" xfId="1" applyNumberFormat="1" applyFont="1" applyFill="1" applyBorder="1" applyAlignment="1">
      <alignment vertical="center"/>
    </xf>
    <xf numFmtId="166" fontId="35" fillId="5" borderId="2" xfId="1" applyNumberFormat="1" applyFont="1" applyFill="1" applyBorder="1" applyAlignment="1">
      <alignment vertical="center"/>
    </xf>
    <xf numFmtId="166" fontId="35" fillId="22" borderId="2" xfId="1" applyNumberFormat="1" applyFont="1" applyFill="1" applyBorder="1" applyAlignment="1">
      <alignment vertical="center"/>
    </xf>
    <xf numFmtId="166" fontId="12" fillId="22" borderId="2" xfId="1" applyNumberFormat="1" applyFont="1" applyFill="1" applyBorder="1" applyAlignment="1">
      <alignment vertical="center"/>
    </xf>
    <xf numFmtId="166" fontId="35" fillId="23" borderId="2" xfId="1" applyNumberFormat="1" applyFont="1" applyFill="1" applyBorder="1" applyAlignment="1">
      <alignment vertical="center"/>
    </xf>
    <xf numFmtId="166" fontId="8" fillId="24" borderId="0" xfId="4" applyNumberFormat="1" applyFont="1" applyFill="1" applyBorder="1" applyAlignment="1">
      <alignment horizontal="center" vertical="center" wrapText="1"/>
    </xf>
    <xf numFmtId="164" fontId="8" fillId="0" borderId="0" xfId="0" applyNumberFormat="1" applyFont="1" applyAlignment="1">
      <alignment horizontal="left" vertical="center" wrapText="1"/>
    </xf>
    <xf numFmtId="164" fontId="8" fillId="0" borderId="0" xfId="0" applyNumberFormat="1" applyFont="1" applyAlignment="1">
      <alignment horizontal="left" vertical="center"/>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171" fontId="13" fillId="0" borderId="39" xfId="0" applyNumberFormat="1" applyFont="1" applyBorder="1" applyAlignment="1">
      <alignment horizontal="center" vertical="center" wrapText="1"/>
    </xf>
    <xf numFmtId="171" fontId="13" fillId="0" borderId="11" xfId="0" applyNumberFormat="1" applyFont="1" applyBorder="1" applyAlignment="1">
      <alignment horizontal="center" vertical="center" wrapText="1"/>
    </xf>
    <xf numFmtId="0" fontId="7" fillId="0" borderId="0" xfId="0" applyFont="1" applyAlignment="1">
      <alignment horizontal="right" vertical="center"/>
    </xf>
    <xf numFmtId="0" fontId="7" fillId="0" borderId="0" xfId="0" applyFont="1" applyAlignment="1">
      <alignment horizontal="right" vertical="center" wrapText="1"/>
    </xf>
    <xf numFmtId="0" fontId="7" fillId="0" borderId="0" xfId="0" applyFont="1" applyAlignment="1">
      <alignment horizontal="center" vertical="center" wrapText="1"/>
    </xf>
    <xf numFmtId="0" fontId="13" fillId="0" borderId="2" xfId="0" applyFont="1" applyBorder="1" applyAlignment="1">
      <alignment horizontal="center" vertical="center" wrapText="1"/>
    </xf>
    <xf numFmtId="171" fontId="13" fillId="0" borderId="2" xfId="0" applyNumberFormat="1" applyFont="1" applyFill="1" applyBorder="1" applyAlignment="1">
      <alignment horizontal="center" vertical="center" wrapText="1"/>
    </xf>
    <xf numFmtId="0" fontId="16" fillId="7" borderId="2" xfId="0" applyFont="1" applyFill="1" applyBorder="1" applyAlignment="1">
      <alignment vertical="center" wrapText="1"/>
    </xf>
    <xf numFmtId="0" fontId="16" fillId="9" borderId="2" xfId="0" applyFont="1" applyFill="1" applyBorder="1" applyAlignment="1">
      <alignment vertical="center" wrapText="1"/>
    </xf>
    <xf numFmtId="0" fontId="16" fillId="19" borderId="2" xfId="0" applyFont="1" applyFill="1" applyBorder="1" applyAlignment="1">
      <alignment vertical="center" wrapText="1"/>
    </xf>
    <xf numFmtId="0" fontId="16" fillId="11" borderId="2" xfId="0" applyFont="1" applyFill="1" applyBorder="1" applyAlignment="1">
      <alignment vertical="center" wrapText="1"/>
    </xf>
    <xf numFmtId="0" fontId="16" fillId="4" borderId="2" xfId="0" applyFont="1" applyFill="1" applyBorder="1" applyAlignment="1">
      <alignment vertical="center" wrapText="1"/>
    </xf>
    <xf numFmtId="165" fontId="13" fillId="4" borderId="2" xfId="1" applyNumberFormat="1" applyFont="1" applyFill="1" applyBorder="1" applyAlignment="1">
      <alignment horizontal="center" vertical="center" wrapText="1"/>
    </xf>
    <xf numFmtId="14" fontId="12" fillId="0" borderId="0" xfId="0" applyNumberFormat="1" applyFont="1" applyAlignment="1">
      <alignment horizontal="right" vertical="top"/>
    </xf>
    <xf numFmtId="166" fontId="8" fillId="3" borderId="2" xfId="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0" fontId="16" fillId="25" borderId="2" xfId="0" applyFont="1" applyFill="1" applyBorder="1" applyAlignment="1">
      <alignment vertical="center" wrapText="1"/>
    </xf>
    <xf numFmtId="0" fontId="8" fillId="0" borderId="2" xfId="0" applyFont="1" applyBorder="1" applyAlignment="1">
      <alignment horizontal="center" vertical="center" wrapText="1"/>
    </xf>
    <xf numFmtId="0" fontId="14" fillId="0" borderId="5" xfId="0" applyFont="1" applyBorder="1" applyAlignment="1">
      <alignment horizontal="center" vertical="center" wrapText="1"/>
    </xf>
    <xf numFmtId="171" fontId="13" fillId="0" borderId="39" xfId="0" applyNumberFormat="1" applyFont="1" applyBorder="1" applyAlignment="1">
      <alignment horizontal="center" vertical="center" wrapText="1"/>
    </xf>
    <xf numFmtId="171" fontId="13" fillId="0" borderId="11" xfId="0" applyNumberFormat="1" applyFont="1" applyBorder="1" applyAlignment="1">
      <alignment horizontal="center" vertical="center" wrapText="1"/>
    </xf>
    <xf numFmtId="0" fontId="13" fillId="0" borderId="38" xfId="0" applyFont="1" applyBorder="1" applyAlignment="1">
      <alignment horizontal="center" vertical="center" wrapText="1"/>
    </xf>
    <xf numFmtId="0" fontId="8" fillId="4" borderId="2" xfId="0" applyFont="1" applyFill="1" applyBorder="1" applyAlignment="1">
      <alignment horizontal="center" vertical="center" wrapText="1"/>
    </xf>
    <xf numFmtId="0" fontId="2" fillId="4" borderId="2" xfId="1" quotePrefix="1" applyNumberFormat="1" applyFont="1" applyFill="1" applyBorder="1" applyAlignment="1">
      <alignment horizontal="center" vertical="center" wrapText="1"/>
    </xf>
    <xf numFmtId="175" fontId="2" fillId="4" borderId="2" xfId="1" applyNumberFormat="1" applyFont="1" applyFill="1" applyBorder="1" applyAlignment="1">
      <alignment horizontal="center" vertical="center" wrapText="1"/>
    </xf>
    <xf numFmtId="166" fontId="6" fillId="3" borderId="2" xfId="1" applyNumberFormat="1" applyFont="1" applyFill="1" applyBorder="1" applyAlignment="1">
      <alignment vertical="center" wrapText="1"/>
    </xf>
    <xf numFmtId="0" fontId="8" fillId="3" borderId="2" xfId="0" applyFont="1" applyFill="1" applyBorder="1" applyAlignment="1">
      <alignment horizontal="center" vertical="center" wrapText="1"/>
    </xf>
    <xf numFmtId="171" fontId="8" fillId="4" borderId="2" xfId="0" applyNumberFormat="1" applyFont="1" applyFill="1" applyBorder="1" applyAlignment="1">
      <alignment vertical="center" wrapText="1"/>
    </xf>
    <xf numFmtId="166" fontId="12" fillId="4" borderId="2" xfId="1" applyNumberFormat="1" applyFont="1" applyFill="1" applyBorder="1" applyAlignment="1">
      <alignment vertical="center" wrapText="1"/>
    </xf>
    <xf numFmtId="171" fontId="12" fillId="4" borderId="2" xfId="0" applyNumberFormat="1" applyFont="1" applyFill="1" applyBorder="1" applyAlignment="1">
      <alignment vertical="center" wrapText="1"/>
    </xf>
    <xf numFmtId="169" fontId="12" fillId="4" borderId="2" xfId="0" applyNumberFormat="1" applyFont="1" applyFill="1" applyBorder="1" applyAlignment="1">
      <alignment horizontal="center" vertical="center" wrapText="1"/>
    </xf>
    <xf numFmtId="0" fontId="8" fillId="4" borderId="2" xfId="1" applyNumberFormat="1" applyFont="1" applyFill="1" applyBorder="1" applyAlignment="1">
      <alignment vertical="center" wrapText="1"/>
    </xf>
    <xf numFmtId="171" fontId="13" fillId="4" borderId="0" xfId="0" applyNumberFormat="1" applyFont="1" applyFill="1" applyBorder="1" applyAlignment="1">
      <alignment horizontal="center" vertical="center" wrapText="1"/>
    </xf>
    <xf numFmtId="43" fontId="21" fillId="4" borderId="2" xfId="2" applyFont="1" applyFill="1" applyBorder="1" applyAlignment="1">
      <alignment vertical="center"/>
    </xf>
    <xf numFmtId="43" fontId="21" fillId="0" borderId="0" xfId="0" applyNumberFormat="1" applyFont="1" applyAlignment="1">
      <alignment horizontal="right" vertical="center" wrapText="1"/>
    </xf>
    <xf numFmtId="166" fontId="6" fillId="15" borderId="2" xfId="1" applyNumberFormat="1" applyFont="1" applyFill="1" applyBorder="1" applyAlignment="1">
      <alignment vertical="center" wrapText="1"/>
    </xf>
    <xf numFmtId="0" fontId="6" fillId="0" borderId="84" xfId="0" applyFont="1" applyBorder="1" applyAlignment="1">
      <alignment horizontal="center" vertical="center" wrapText="1"/>
    </xf>
    <xf numFmtId="0" fontId="6" fillId="0" borderId="85" xfId="0" applyFont="1" applyBorder="1" applyAlignment="1">
      <alignment horizontal="center" vertical="center" wrapText="1"/>
    </xf>
    <xf numFmtId="0" fontId="8" fillId="4" borderId="2" xfId="0" applyFont="1" applyFill="1" applyBorder="1" applyAlignment="1">
      <alignment vertical="center" wrapText="1"/>
    </xf>
    <xf numFmtId="165" fontId="26" fillId="4" borderId="2" xfId="10" applyNumberFormat="1" applyFont="1" applyFill="1" applyBorder="1" applyAlignment="1">
      <alignment vertical="center" wrapText="1"/>
    </xf>
    <xf numFmtId="0" fontId="12" fillId="0" borderId="2" xfId="0" applyFont="1" applyFill="1" applyBorder="1" applyAlignment="1">
      <alignment vertical="center" wrapText="1"/>
    </xf>
    <xf numFmtId="0" fontId="14" fillId="6" borderId="0" xfId="0" applyFont="1" applyFill="1" applyBorder="1" applyAlignment="1">
      <alignment horizontal="center" vertical="center" wrapText="1"/>
    </xf>
    <xf numFmtId="166" fontId="14" fillId="6" borderId="0" xfId="1" applyNumberFormat="1" applyFont="1" applyFill="1" applyBorder="1" applyAlignment="1">
      <alignment vertical="center" wrapText="1"/>
    </xf>
    <xf numFmtId="43" fontId="14" fillId="6" borderId="0" xfId="1" applyFont="1" applyFill="1" applyBorder="1" applyAlignment="1">
      <alignment vertical="center" wrapText="1"/>
    </xf>
    <xf numFmtId="0" fontId="8" fillId="4" borderId="0" xfId="0" applyFont="1" applyFill="1" applyAlignment="1">
      <alignment vertical="top"/>
    </xf>
    <xf numFmtId="0" fontId="54" fillId="0" borderId="0" xfId="23" applyAlignment="1">
      <alignment horizontal="left" vertical="center"/>
    </xf>
    <xf numFmtId="0" fontId="33" fillId="0" borderId="51" xfId="0" applyFont="1" applyBorder="1" applyAlignment="1">
      <alignment horizontal="center"/>
    </xf>
    <xf numFmtId="0" fontId="33" fillId="0" borderId="2" xfId="0" applyFont="1" applyBorder="1"/>
    <xf numFmtId="43" fontId="33" fillId="0" borderId="2" xfId="1" applyFont="1" applyBorder="1"/>
    <xf numFmtId="10" fontId="33" fillId="0" borderId="2" xfId="11" applyNumberFormat="1" applyFont="1" applyBorder="1"/>
    <xf numFmtId="0" fontId="57" fillId="0" borderId="2" xfId="23" applyFont="1" applyBorder="1" applyAlignment="1">
      <alignment horizontal="left" vertical="center"/>
    </xf>
    <xf numFmtId="0" fontId="57" fillId="0" borderId="2" xfId="23" applyFont="1" applyBorder="1" applyAlignment="1">
      <alignment horizontal="left" vertical="center" wrapText="1"/>
    </xf>
    <xf numFmtId="0" fontId="33" fillId="0" borderId="35" xfId="0" applyFont="1" applyBorder="1" applyAlignment="1">
      <alignment horizontal="center"/>
    </xf>
    <xf numFmtId="0" fontId="33" fillId="0" borderId="7" xfId="0" applyFont="1" applyBorder="1"/>
    <xf numFmtId="0" fontId="56" fillId="26" borderId="53" xfId="0" applyFont="1" applyFill="1" applyBorder="1" applyAlignment="1">
      <alignment horizontal="center"/>
    </xf>
    <xf numFmtId="0" fontId="56" fillId="26" borderId="4" xfId="0" applyFont="1" applyFill="1" applyBorder="1" applyAlignment="1">
      <alignment horizontal="center"/>
    </xf>
    <xf numFmtId="0" fontId="33" fillId="0" borderId="34" xfId="0" applyFont="1" applyBorder="1" applyAlignment="1">
      <alignment horizontal="center"/>
    </xf>
    <xf numFmtId="0" fontId="33" fillId="0" borderId="36" xfId="0" applyFont="1" applyBorder="1"/>
    <xf numFmtId="43" fontId="33" fillId="0" borderId="36" xfId="1" applyFont="1" applyBorder="1"/>
    <xf numFmtId="10" fontId="33" fillId="0" borderId="36" xfId="11" applyNumberFormat="1" applyFont="1" applyBorder="1"/>
    <xf numFmtId="43" fontId="56" fillId="26" borderId="4" xfId="1" applyFont="1" applyFill="1" applyBorder="1" applyAlignment="1">
      <alignment horizontal="center"/>
    </xf>
    <xf numFmtId="43" fontId="33" fillId="0" borderId="7" xfId="1" applyFont="1" applyBorder="1"/>
    <xf numFmtId="43" fontId="33" fillId="0" borderId="0" xfId="1" applyFont="1"/>
    <xf numFmtId="0" fontId="54" fillId="0" borderId="2" xfId="23" applyBorder="1" applyAlignment="1">
      <alignment horizontal="left" vertical="center"/>
    </xf>
    <xf numFmtId="0" fontId="55" fillId="0" borderId="2" xfId="23" applyFont="1" applyBorder="1" applyAlignment="1">
      <alignment horizontal="left" vertical="center"/>
    </xf>
    <xf numFmtId="0" fontId="55" fillId="0" borderId="0" xfId="23" applyFont="1" applyAlignment="1">
      <alignment horizontal="left" vertical="center"/>
    </xf>
    <xf numFmtId="43" fontId="56" fillId="26" borderId="54" xfId="1" applyFont="1" applyFill="1" applyBorder="1" applyAlignment="1">
      <alignment horizontal="center"/>
    </xf>
    <xf numFmtId="43" fontId="33" fillId="0" borderId="37" xfId="1" applyFont="1" applyBorder="1"/>
    <xf numFmtId="43" fontId="33" fillId="0" borderId="52" xfId="1" applyFont="1" applyBorder="1"/>
    <xf numFmtId="43" fontId="33" fillId="0" borderId="16" xfId="1" applyFont="1" applyBorder="1"/>
    <xf numFmtId="0" fontId="56" fillId="26" borderId="34" xfId="0" applyFont="1" applyFill="1" applyBorder="1" applyAlignment="1">
      <alignment horizontal="center" vertical="center"/>
    </xf>
    <xf numFmtId="0" fontId="56" fillId="26" borderId="36" xfId="0" applyFont="1" applyFill="1" applyBorder="1" applyAlignment="1">
      <alignment vertical="center"/>
    </xf>
    <xf numFmtId="43" fontId="56" fillId="26" borderId="36" xfId="1" applyFont="1" applyFill="1" applyBorder="1" applyAlignment="1">
      <alignment horizontal="center" vertical="center" wrapText="1"/>
    </xf>
    <xf numFmtId="43" fontId="56" fillId="26" borderId="36" xfId="1" applyFont="1" applyFill="1" applyBorder="1" applyAlignment="1">
      <alignment horizontal="center" vertical="center"/>
    </xf>
    <xf numFmtId="0" fontId="56" fillId="26" borderId="36" xfId="0" applyFont="1" applyFill="1" applyBorder="1" applyAlignment="1">
      <alignment horizontal="center" vertical="center"/>
    </xf>
    <xf numFmtId="43" fontId="56" fillId="26" borderId="37" xfId="1" applyFont="1" applyFill="1" applyBorder="1" applyAlignment="1">
      <alignment horizontal="center" vertical="center"/>
    </xf>
    <xf numFmtId="0" fontId="56" fillId="0" borderId="86" xfId="0" applyFont="1" applyBorder="1" applyAlignment="1">
      <alignment horizontal="center"/>
    </xf>
    <xf numFmtId="43" fontId="8" fillId="4" borderId="0" xfId="1" applyFont="1" applyFill="1" applyAlignment="1">
      <alignment horizontal="center" vertical="center" wrapText="1"/>
    </xf>
    <xf numFmtId="0" fontId="31" fillId="4" borderId="34" xfId="0" applyFont="1" applyFill="1" applyBorder="1" applyAlignment="1">
      <alignment horizontal="center"/>
    </xf>
    <xf numFmtId="0" fontId="31" fillId="4" borderId="36" xfId="0" applyFont="1" applyFill="1" applyBorder="1" applyAlignment="1">
      <alignment horizontal="center"/>
    </xf>
    <xf numFmtId="0" fontId="31" fillId="4" borderId="37" xfId="0" applyFont="1" applyFill="1" applyBorder="1" applyAlignment="1">
      <alignment horizontal="center"/>
    </xf>
    <xf numFmtId="0" fontId="11" fillId="0" borderId="0" xfId="0" applyFont="1" applyAlignment="1">
      <alignment horizontal="center" vertical="top"/>
    </xf>
    <xf numFmtId="0" fontId="8" fillId="0" borderId="0" xfId="0" applyFont="1" applyAlignment="1">
      <alignment horizontal="left" vertical="top" wrapText="1"/>
    </xf>
    <xf numFmtId="0" fontId="10" fillId="0" borderId="0" xfId="0" applyFont="1" applyAlignment="1">
      <alignment horizontal="center" vertical="top"/>
    </xf>
    <xf numFmtId="0" fontId="6" fillId="0" borderId="0" xfId="0" applyFont="1" applyAlignment="1">
      <alignment horizontal="left" vertical="top" wrapText="1"/>
    </xf>
    <xf numFmtId="0" fontId="6" fillId="0" borderId="0" xfId="0" applyFont="1" applyAlignment="1">
      <alignment horizontal="left" vertical="top"/>
    </xf>
    <xf numFmtId="43" fontId="11" fillId="0" borderId="0" xfId="1" applyFont="1" applyFill="1" applyAlignment="1">
      <alignment horizontal="left"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5"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right" vertical="center" wrapText="1"/>
    </xf>
    <xf numFmtId="0" fontId="7" fillId="0" borderId="0" xfId="0" applyFont="1" applyAlignment="1">
      <alignment horizontal="center" vertical="center" wrapText="1"/>
    </xf>
    <xf numFmtId="0" fontId="8"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83"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6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2" xfId="0" applyFont="1" applyBorder="1" applyAlignment="1">
      <alignment horizontal="center" vertical="center"/>
    </xf>
    <xf numFmtId="0" fontId="6" fillId="0" borderId="8" xfId="0" applyFont="1" applyBorder="1" applyAlignment="1">
      <alignment horizontal="center" vertical="center"/>
    </xf>
    <xf numFmtId="0" fontId="8" fillId="0" borderId="3" xfId="0" applyFont="1" applyBorder="1" applyAlignment="1">
      <alignment horizontal="center" vertical="center"/>
    </xf>
    <xf numFmtId="0" fontId="6" fillId="0" borderId="2" xfId="0" applyFont="1" applyBorder="1" applyAlignment="1">
      <alignment horizontal="center" vertical="center"/>
    </xf>
    <xf numFmtId="0" fontId="11" fillId="0" borderId="8" xfId="0" applyFont="1" applyBorder="1" applyAlignment="1">
      <alignment horizontal="right" vertical="center" wrapText="1"/>
    </xf>
    <xf numFmtId="0" fontId="15" fillId="0" borderId="0" xfId="0" applyFont="1" applyAlignment="1">
      <alignment horizontal="right" vertical="center"/>
    </xf>
    <xf numFmtId="0" fontId="6" fillId="0" borderId="1" xfId="0" applyFont="1" applyBorder="1" applyAlignment="1">
      <alignment horizontal="center" vertical="center"/>
    </xf>
    <xf numFmtId="0" fontId="6" fillId="0" borderId="14" xfId="0" applyFont="1" applyBorder="1" applyAlignment="1">
      <alignment horizontal="center" vertical="center"/>
    </xf>
    <xf numFmtId="0" fontId="6" fillId="0" borderId="57" xfId="0" applyFont="1" applyBorder="1" applyAlignment="1">
      <alignment horizontal="center" vertical="center"/>
    </xf>
    <xf numFmtId="0" fontId="58" fillId="0" borderId="2" xfId="23" applyFont="1" applyBorder="1" applyAlignment="1">
      <alignment horizontal="left" vertical="center"/>
    </xf>
    <xf numFmtId="0" fontId="58" fillId="0" borderId="52" xfId="23" applyFont="1" applyBorder="1" applyAlignment="1">
      <alignment horizontal="left" vertical="center"/>
    </xf>
    <xf numFmtId="0" fontId="56" fillId="0" borderId="0" xfId="0" applyFont="1" applyAlignment="1">
      <alignment horizontal="center"/>
    </xf>
    <xf numFmtId="0" fontId="56" fillId="0" borderId="0" xfId="0" applyFont="1" applyBorder="1" applyAlignment="1">
      <alignment horizontal="center"/>
    </xf>
    <xf numFmtId="166" fontId="8" fillId="4" borderId="38" xfId="0" applyNumberFormat="1" applyFont="1" applyFill="1" applyBorder="1" applyAlignment="1">
      <alignment horizontal="center" vertical="center" wrapText="1"/>
    </xf>
    <xf numFmtId="166" fontId="8" fillId="4" borderId="0" xfId="0" applyNumberFormat="1" applyFont="1" applyFill="1" applyBorder="1" applyAlignment="1">
      <alignment horizontal="center" vertical="center" wrapText="1"/>
    </xf>
    <xf numFmtId="166" fontId="8" fillId="4" borderId="39" xfId="0" applyNumberFormat="1" applyFont="1" applyFill="1" applyBorder="1" applyAlignment="1">
      <alignment horizontal="center"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5" fillId="0" borderId="0" xfId="0" applyFont="1" applyAlignment="1">
      <alignment horizontal="right" vertical="center" wrapText="1"/>
    </xf>
    <xf numFmtId="0" fontId="17"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31" xfId="0" applyFont="1" applyBorder="1" applyAlignment="1">
      <alignment horizontal="center" vertical="center" wrapText="1"/>
    </xf>
    <xf numFmtId="0" fontId="53" fillId="0" borderId="8"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45"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44"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43" xfId="0" applyFont="1" applyBorder="1" applyAlignment="1">
      <alignment horizontal="center" vertical="center" textRotation="90" wrapText="1"/>
    </xf>
    <xf numFmtId="0" fontId="13" fillId="0" borderId="46" xfId="0" applyFont="1" applyBorder="1" applyAlignment="1">
      <alignment horizontal="center" vertical="center" textRotation="90" wrapText="1"/>
    </xf>
    <xf numFmtId="0" fontId="14" fillId="0" borderId="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18" xfId="0" applyFont="1" applyBorder="1" applyAlignment="1">
      <alignment horizontal="center" vertical="center" wrapText="1"/>
    </xf>
    <xf numFmtId="171" fontId="13" fillId="4" borderId="2" xfId="0" applyNumberFormat="1" applyFont="1" applyFill="1" applyBorder="1" applyAlignment="1">
      <alignment horizontal="center" vertical="center" wrapText="1"/>
    </xf>
    <xf numFmtId="171" fontId="13" fillId="0" borderId="40" xfId="0" applyNumberFormat="1" applyFont="1" applyBorder="1" applyAlignment="1">
      <alignment horizontal="center" vertical="center" wrapText="1"/>
    </xf>
    <xf numFmtId="171" fontId="13" fillId="0" borderId="39" xfId="0" applyNumberFormat="1" applyFont="1" applyBorder="1" applyAlignment="1">
      <alignment horizontal="center" vertical="center" wrapText="1"/>
    </xf>
    <xf numFmtId="171" fontId="13" fillId="0" borderId="11" xfId="0" applyNumberFormat="1" applyFont="1" applyBorder="1" applyAlignment="1">
      <alignment horizontal="center" vertical="center" wrapText="1"/>
    </xf>
    <xf numFmtId="0" fontId="13" fillId="0" borderId="4"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3" xfId="0" applyFont="1" applyBorder="1" applyAlignment="1">
      <alignment horizontal="center" vertical="center" wrapText="1"/>
    </xf>
    <xf numFmtId="171" fontId="13" fillId="0" borderId="4" xfId="0" applyNumberFormat="1" applyFont="1" applyBorder="1" applyAlignment="1">
      <alignment horizontal="center" vertical="center" wrapText="1"/>
    </xf>
    <xf numFmtId="171" fontId="13" fillId="0" borderId="12" xfId="0" applyNumberFormat="1" applyFont="1" applyBorder="1" applyAlignment="1">
      <alignment horizontal="center" vertical="center" wrapText="1"/>
    </xf>
    <xf numFmtId="171" fontId="13" fillId="0" borderId="3" xfId="0" applyNumberFormat="1" applyFont="1" applyBorder="1" applyAlignment="1">
      <alignment horizontal="center" vertical="center" wrapText="1"/>
    </xf>
    <xf numFmtId="171" fontId="13" fillId="4" borderId="4" xfId="0" applyNumberFormat="1" applyFont="1" applyFill="1" applyBorder="1" applyAlignment="1">
      <alignment horizontal="center" vertical="center" wrapText="1"/>
    </xf>
    <xf numFmtId="171" fontId="13" fillId="4" borderId="12" xfId="0" applyNumberFormat="1" applyFont="1" applyFill="1" applyBorder="1" applyAlignment="1">
      <alignment horizontal="center" vertical="center" wrapText="1"/>
    </xf>
    <xf numFmtId="171" fontId="13" fillId="4" borderId="3" xfId="0" applyNumberFormat="1"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10"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3" xfId="0" applyFont="1" applyBorder="1" applyAlignment="1">
      <alignment horizontal="center" vertical="center" wrapText="1"/>
    </xf>
    <xf numFmtId="171" fontId="13" fillId="3" borderId="4" xfId="0" applyNumberFormat="1" applyFont="1" applyFill="1" applyBorder="1" applyAlignment="1">
      <alignment horizontal="center" vertical="center" wrapText="1"/>
    </xf>
    <xf numFmtId="171" fontId="13" fillId="3" borderId="12" xfId="0" applyNumberFormat="1" applyFont="1" applyFill="1" applyBorder="1" applyAlignment="1">
      <alignment horizontal="center" vertical="center" wrapText="1"/>
    </xf>
    <xf numFmtId="171" fontId="13" fillId="3" borderId="3" xfId="0" applyNumberFormat="1" applyFont="1" applyFill="1" applyBorder="1" applyAlignment="1">
      <alignment horizontal="center" vertical="center" wrapText="1"/>
    </xf>
    <xf numFmtId="0" fontId="14" fillId="0" borderId="1" xfId="0" applyFont="1" applyBorder="1" applyAlignment="1">
      <alignment horizontal="center" vertical="center" textRotation="90" wrapText="1"/>
    </xf>
    <xf numFmtId="0" fontId="14" fillId="0" borderId="14" xfId="0" applyFont="1" applyBorder="1" applyAlignment="1">
      <alignment horizontal="center" vertical="center" textRotation="90" wrapText="1"/>
    </xf>
    <xf numFmtId="0" fontId="14" fillId="0" borderId="14" xfId="0" applyFont="1" applyBorder="1" applyAlignment="1">
      <alignment horizontal="center" vertical="center" wrapText="1"/>
    </xf>
    <xf numFmtId="0" fontId="13" fillId="0" borderId="28" xfId="0" applyFont="1" applyBorder="1" applyAlignment="1">
      <alignment horizontal="center" vertical="center" wrapText="1"/>
    </xf>
    <xf numFmtId="171" fontId="13" fillId="0" borderId="2" xfId="0" applyNumberFormat="1" applyFont="1" applyBorder="1" applyAlignment="1">
      <alignment horizontal="center" vertical="center" wrapText="1"/>
    </xf>
    <xf numFmtId="0" fontId="14" fillId="4" borderId="2" xfId="0" applyFont="1" applyFill="1" applyBorder="1" applyAlignment="1">
      <alignment horizontal="center" vertical="center" wrapText="1"/>
    </xf>
    <xf numFmtId="0" fontId="14" fillId="7" borderId="5" xfId="0" applyFont="1" applyFill="1" applyBorder="1" applyAlignment="1">
      <alignment horizontal="center" vertical="center"/>
    </xf>
    <xf numFmtId="0" fontId="14" fillId="7" borderId="18" xfId="0" applyFont="1" applyFill="1" applyBorder="1" applyAlignment="1">
      <alignment horizontal="center" vertical="center"/>
    </xf>
    <xf numFmtId="0" fontId="27" fillId="0" borderId="1"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0" xfId="0" applyFont="1" applyAlignment="1">
      <alignment horizontal="center" vertical="center" wrapText="1"/>
    </xf>
    <xf numFmtId="0" fontId="27" fillId="0" borderId="8" xfId="0" applyFont="1" applyBorder="1" applyAlignment="1">
      <alignment horizontal="center" vertical="center" wrapText="1"/>
    </xf>
    <xf numFmtId="0" fontId="25" fillId="0" borderId="79" xfId="0" applyFont="1" applyBorder="1" applyAlignment="1">
      <alignment horizontal="center" vertical="center"/>
    </xf>
    <xf numFmtId="0" fontId="25" fillId="0" borderId="80" xfId="0" applyFont="1" applyBorder="1" applyAlignment="1">
      <alignment horizontal="center" vertical="center"/>
    </xf>
    <xf numFmtId="0" fontId="25" fillId="0" borderId="81" xfId="0" applyFont="1" applyBorder="1" applyAlignment="1">
      <alignment horizontal="center" vertical="center"/>
    </xf>
    <xf numFmtId="0" fontId="14" fillId="0" borderId="20" xfId="0" applyFont="1" applyBorder="1" applyAlignment="1">
      <alignment horizontal="center" vertical="center" wrapText="1"/>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14" fillId="0" borderId="77" xfId="0" applyFont="1" applyBorder="1" applyAlignment="1">
      <alignment horizontal="center" vertical="center" wrapText="1"/>
    </xf>
    <xf numFmtId="0" fontId="14" fillId="0" borderId="69" xfId="0" applyFont="1" applyBorder="1" applyAlignment="1">
      <alignment horizontal="center" vertical="center" wrapText="1"/>
    </xf>
    <xf numFmtId="0" fontId="14" fillId="0" borderId="74" xfId="0" applyFont="1" applyBorder="1" applyAlignment="1">
      <alignment horizontal="center" vertical="center" wrapText="1"/>
    </xf>
    <xf numFmtId="43" fontId="14" fillId="4" borderId="0" xfId="1" applyFont="1" applyFill="1" applyAlignment="1">
      <alignment vertical="center" wrapText="1"/>
    </xf>
    <xf numFmtId="0" fontId="14" fillId="0" borderId="8" xfId="0" applyFont="1" applyBorder="1" applyAlignment="1">
      <alignment horizontal="left" vertical="center" wrapText="1"/>
    </xf>
    <xf numFmtId="0" fontId="14" fillId="4" borderId="28" xfId="0" applyFont="1" applyFill="1" applyBorder="1" applyAlignment="1">
      <alignment horizontal="center" vertical="center" wrapText="1"/>
    </xf>
    <xf numFmtId="0" fontId="14" fillId="4" borderId="78" xfId="0" applyFont="1" applyFill="1" applyBorder="1" applyAlignment="1">
      <alignment horizontal="center" vertical="center" wrapText="1"/>
    </xf>
    <xf numFmtId="0" fontId="14" fillId="4" borderId="32" xfId="0" applyFont="1" applyFill="1" applyBorder="1" applyAlignment="1">
      <alignment horizontal="center" vertical="center" wrapText="1"/>
    </xf>
    <xf numFmtId="0" fontId="14" fillId="4" borderId="33" xfId="0" applyFont="1" applyFill="1" applyBorder="1" applyAlignment="1">
      <alignment horizontal="center" vertical="center" wrapText="1"/>
    </xf>
    <xf numFmtId="0" fontId="14" fillId="0" borderId="21" xfId="0" applyFont="1" applyBorder="1" applyAlignment="1">
      <alignment horizontal="center" vertical="center" textRotation="90" wrapText="1"/>
    </xf>
    <xf numFmtId="0" fontId="14" fillId="0" borderId="20" xfId="0" applyFont="1" applyBorder="1" applyAlignment="1">
      <alignment horizontal="center" vertical="center" textRotation="90" wrapText="1"/>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4" borderId="1" xfId="0" applyFont="1" applyFill="1" applyBorder="1" applyAlignment="1">
      <alignment horizontal="center" vertical="center" wrapText="1"/>
    </xf>
    <xf numFmtId="0" fontId="14" fillId="0" borderId="58" xfId="0" applyFont="1" applyBorder="1" applyAlignment="1">
      <alignment horizontal="center" vertical="center" textRotation="90" wrapText="1"/>
    </xf>
    <xf numFmtId="0" fontId="14" fillId="4" borderId="58" xfId="0" applyFont="1" applyFill="1" applyBorder="1" applyAlignment="1">
      <alignment horizontal="center" vertical="center" wrapText="1"/>
    </xf>
    <xf numFmtId="0" fontId="14" fillId="4" borderId="59"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4" fillId="4" borderId="27"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14" fillId="0" borderId="21"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46" xfId="0" applyFont="1" applyBorder="1" applyAlignment="1">
      <alignment horizontal="center" vertical="center" wrapText="1"/>
    </xf>
    <xf numFmtId="0" fontId="14" fillId="0" borderId="47" xfId="0" applyFont="1" applyBorder="1" applyAlignment="1">
      <alignment horizontal="center" vertical="center" wrapText="1"/>
    </xf>
    <xf numFmtId="0" fontId="13" fillId="0" borderId="1" xfId="0" applyFont="1" applyBorder="1" applyAlignment="1">
      <alignment horizontal="center" vertical="center" textRotation="90" wrapText="1"/>
    </xf>
    <xf numFmtId="43" fontId="13" fillId="0" borderId="1" xfId="1" applyFont="1" applyFill="1" applyBorder="1" applyAlignment="1">
      <alignment horizontal="center" vertical="center" textRotation="90" wrapText="1"/>
    </xf>
    <xf numFmtId="43" fontId="6" fillId="0" borderId="0" xfId="1" applyFont="1" applyFill="1" applyAlignment="1">
      <alignment horizontal="right" vertical="center" wrapText="1"/>
    </xf>
    <xf numFmtId="43" fontId="7" fillId="0" borderId="0" xfId="1" applyFont="1" applyFill="1" applyAlignment="1">
      <alignment horizontal="center" vertical="center" wrapText="1"/>
    </xf>
    <xf numFmtId="43" fontId="7" fillId="0" borderId="0" xfId="1" applyFont="1" applyFill="1" applyBorder="1" applyAlignment="1">
      <alignment horizontal="center" vertical="center" wrapText="1"/>
    </xf>
    <xf numFmtId="0" fontId="13" fillId="0" borderId="1" xfId="0" applyFont="1" applyBorder="1" applyAlignment="1">
      <alignment horizontal="center" vertical="center" wrapText="1"/>
    </xf>
    <xf numFmtId="0" fontId="14" fillId="4" borderId="5" xfId="0" applyFont="1" applyFill="1" applyBorder="1" applyAlignment="1">
      <alignment horizontal="center" vertical="center" wrapText="1"/>
    </xf>
    <xf numFmtId="0" fontId="14" fillId="4" borderId="18" xfId="0" applyFont="1" applyFill="1" applyBorder="1" applyAlignment="1">
      <alignment horizontal="center" vertical="center" wrapText="1"/>
    </xf>
    <xf numFmtId="166" fontId="13" fillId="0" borderId="0" xfId="0" applyNumberFormat="1" applyFont="1" applyAlignment="1">
      <alignment horizontal="center" vertical="center"/>
    </xf>
    <xf numFmtId="0" fontId="14" fillId="6" borderId="32"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6" fillId="0" borderId="68" xfId="0" applyFont="1" applyBorder="1" applyAlignment="1">
      <alignment horizontal="center" vertical="center" wrapText="1"/>
    </xf>
    <xf numFmtId="0" fontId="6" fillId="0" borderId="69" xfId="0" applyFont="1" applyBorder="1" applyAlignment="1">
      <alignment horizontal="center" vertical="center" wrapText="1"/>
    </xf>
    <xf numFmtId="0" fontId="27" fillId="0" borderId="68" xfId="0" applyFont="1" applyBorder="1" applyAlignment="1">
      <alignment horizontal="center" vertical="center" wrapText="1"/>
    </xf>
    <xf numFmtId="0" fontId="27" fillId="0" borderId="69" xfId="0" applyFont="1" applyBorder="1" applyAlignment="1">
      <alignment horizontal="center" vertical="center" wrapText="1"/>
    </xf>
    <xf numFmtId="0" fontId="27" fillId="0" borderId="70" xfId="0" applyFont="1" applyBorder="1" applyAlignment="1">
      <alignment horizontal="center" vertical="center" wrapText="1"/>
    </xf>
    <xf numFmtId="0" fontId="27" fillId="0" borderId="71" xfId="0" applyFont="1" applyBorder="1" applyAlignment="1">
      <alignment horizontal="center" vertical="center" wrapText="1"/>
    </xf>
    <xf numFmtId="0" fontId="27" fillId="0" borderId="72" xfId="0" applyFont="1" applyBorder="1" applyAlignment="1">
      <alignment horizontal="center" vertical="center" wrapText="1"/>
    </xf>
    <xf numFmtId="0" fontId="27" fillId="0" borderId="73" xfId="0" applyFont="1" applyBorder="1" applyAlignment="1">
      <alignment horizontal="center" vertical="center" wrapText="1"/>
    </xf>
    <xf numFmtId="0" fontId="8" fillId="0" borderId="0" xfId="0" applyFont="1" applyBorder="1" applyAlignment="1">
      <alignment horizontal="center" vertical="center" wrapText="1"/>
    </xf>
    <xf numFmtId="0" fontId="27" fillId="0" borderId="75" xfId="0" applyFont="1" applyBorder="1" applyAlignment="1">
      <alignment horizontal="center" vertical="center" wrapText="1"/>
    </xf>
    <xf numFmtId="0" fontId="27" fillId="0" borderId="76" xfId="0" applyFont="1" applyBorder="1" applyAlignment="1">
      <alignment horizontal="center" vertical="center" wrapText="1"/>
    </xf>
    <xf numFmtId="0" fontId="27" fillId="0" borderId="5" xfId="0" applyFont="1" applyBorder="1" applyAlignment="1">
      <alignment horizontal="left" vertical="center" wrapText="1"/>
    </xf>
    <xf numFmtId="0" fontId="27" fillId="0" borderId="18" xfId="0" applyFont="1" applyBorder="1" applyAlignment="1">
      <alignment horizontal="left" vertical="center" wrapText="1"/>
    </xf>
    <xf numFmtId="0" fontId="27" fillId="0" borderId="2" xfId="0" applyFont="1" applyBorder="1" applyAlignment="1">
      <alignment horizontal="center" vertical="center" wrapText="1"/>
    </xf>
    <xf numFmtId="0" fontId="27" fillId="0" borderId="25" xfId="0" applyFont="1" applyBorder="1" applyAlignment="1">
      <alignment horizontal="center" vertical="center" wrapText="1"/>
    </xf>
    <xf numFmtId="0" fontId="8" fillId="0" borderId="8"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20" xfId="0" applyFont="1" applyBorder="1" applyAlignment="1">
      <alignment horizontal="center" vertical="center" wrapText="1"/>
    </xf>
    <xf numFmtId="9" fontId="27" fillId="0" borderId="5" xfId="0" applyNumberFormat="1" applyFont="1" applyBorder="1" applyAlignment="1">
      <alignment horizontal="left" vertical="center" wrapText="1"/>
    </xf>
    <xf numFmtId="0" fontId="5" fillId="0" borderId="0" xfId="0" applyFont="1" applyAlignment="1">
      <alignment horizontal="right" vertical="center"/>
    </xf>
    <xf numFmtId="43" fontId="5" fillId="0" borderId="0" xfId="0" applyNumberFormat="1" applyFont="1" applyAlignment="1">
      <alignment horizontal="center" vertical="center"/>
    </xf>
    <xf numFmtId="0" fontId="5" fillId="0" borderId="0" xfId="0" applyFont="1" applyAlignment="1">
      <alignment horizontal="center" vertical="center"/>
    </xf>
    <xf numFmtId="43" fontId="7" fillId="0" borderId="0" xfId="0" applyNumberFormat="1" applyFont="1" applyAlignment="1">
      <alignment horizontal="center" vertical="center"/>
    </xf>
    <xf numFmtId="0" fontId="6" fillId="0" borderId="0" xfId="0" applyFont="1" applyAlignment="1">
      <alignment horizontal="left" vertical="center"/>
    </xf>
    <xf numFmtId="43" fontId="7" fillId="0" borderId="0" xfId="0" applyNumberFormat="1" applyFont="1" applyAlignment="1">
      <alignment horizontal="center" vertical="center" wrapText="1"/>
    </xf>
    <xf numFmtId="0" fontId="11" fillId="0" borderId="29" xfId="0" applyFont="1" applyBorder="1" applyAlignment="1">
      <alignment horizontal="left" vertical="center" wrapText="1"/>
    </xf>
    <xf numFmtId="0" fontId="11" fillId="0" borderId="30" xfId="0" applyFont="1" applyBorder="1" applyAlignment="1">
      <alignment horizontal="left" vertical="center" wrapText="1"/>
    </xf>
    <xf numFmtId="0" fontId="14" fillId="0" borderId="26" xfId="0" applyFont="1" applyBorder="1" applyAlignment="1">
      <alignment horizontal="center" vertical="center" wrapText="1"/>
    </xf>
    <xf numFmtId="0" fontId="5" fillId="0" borderId="0" xfId="0" applyFont="1" applyAlignment="1">
      <alignment horizontal="center" vertical="center" wrapText="1"/>
    </xf>
    <xf numFmtId="0" fontId="8" fillId="0" borderId="1"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24" fillId="0" borderId="0" xfId="0" applyFont="1" applyAlignment="1">
      <alignment horizontal="center" vertical="center"/>
    </xf>
    <xf numFmtId="0" fontId="25" fillId="0" borderId="0" xfId="0" applyFont="1" applyAlignment="1">
      <alignment horizontal="center" vertical="center"/>
    </xf>
    <xf numFmtId="0" fontId="15" fillId="0" borderId="34" xfId="0" applyFont="1" applyBorder="1" applyAlignment="1">
      <alignment horizontal="center"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21" fillId="0" borderId="6" xfId="20" applyFont="1" applyBorder="1" applyAlignment="1">
      <alignment horizontal="center" vertical="center" wrapText="1"/>
    </xf>
    <xf numFmtId="0" fontId="21" fillId="0" borderId="6" xfId="20" applyFont="1" applyBorder="1" applyAlignment="1">
      <alignment horizontal="center" vertical="center"/>
    </xf>
    <xf numFmtId="0" fontId="42" fillId="0" borderId="13" xfId="20" applyFont="1" applyBorder="1" applyAlignment="1">
      <alignment vertical="center"/>
    </xf>
    <xf numFmtId="0" fontId="42" fillId="0" borderId="42" xfId="20" applyFont="1" applyBorder="1" applyAlignment="1">
      <alignment vertical="center"/>
    </xf>
    <xf numFmtId="0" fontId="42" fillId="0" borderId="40" xfId="20" applyFont="1" applyBorder="1" applyAlignment="1">
      <alignment vertical="center"/>
    </xf>
    <xf numFmtId="0" fontId="42" fillId="0" borderId="2" xfId="20" applyFont="1" applyBorder="1" applyAlignment="1">
      <alignment horizontal="center" vertical="center" wrapText="1"/>
    </xf>
    <xf numFmtId="0" fontId="12" fillId="0" borderId="2" xfId="0" applyFont="1" applyBorder="1" applyAlignment="1">
      <alignment horizontal="left" vertical="center" wrapText="1"/>
    </xf>
    <xf numFmtId="0" fontId="44" fillId="0" borderId="5" xfId="20" applyFont="1" applyBorder="1" applyAlignment="1">
      <alignment horizontal="center" vertical="center"/>
    </xf>
    <xf numFmtId="0" fontId="44" fillId="0" borderId="22" xfId="20" applyFont="1" applyBorder="1" applyAlignment="1">
      <alignment horizontal="center" vertical="center"/>
    </xf>
    <xf numFmtId="0" fontId="44" fillId="0" borderId="18" xfId="20" applyFont="1" applyBorder="1" applyAlignment="1">
      <alignment horizontal="center" vertical="center"/>
    </xf>
    <xf numFmtId="0" fontId="44" fillId="0" borderId="2" xfId="20" applyFont="1" applyBorder="1" applyAlignment="1">
      <alignment horizontal="center" vertical="center"/>
    </xf>
    <xf numFmtId="0" fontId="46" fillId="0" borderId="5" xfId="20" applyFont="1" applyBorder="1" applyAlignment="1">
      <alignment vertical="center"/>
    </xf>
    <xf numFmtId="0" fontId="46" fillId="0" borderId="22" xfId="20" applyFont="1" applyBorder="1" applyAlignment="1">
      <alignment vertical="center"/>
    </xf>
    <xf numFmtId="0" fontId="46" fillId="0" borderId="18" xfId="20" applyFont="1" applyBorder="1" applyAlignment="1">
      <alignment vertical="center"/>
    </xf>
    <xf numFmtId="0" fontId="52" fillId="4" borderId="0" xfId="0" applyFont="1" applyFill="1" applyAlignment="1">
      <alignment horizontal="center" vertical="center" wrapText="1"/>
    </xf>
    <xf numFmtId="0" fontId="52" fillId="0" borderId="0" xfId="0" applyFont="1" applyAlignment="1">
      <alignment horizontal="center" vertical="center" wrapText="1"/>
    </xf>
    <xf numFmtId="0" fontId="51" fillId="0" borderId="0" xfId="0" applyFont="1" applyAlignment="1">
      <alignment horizontal="center"/>
    </xf>
    <xf numFmtId="0" fontId="52" fillId="0" borderId="0" xfId="0" applyFont="1" applyAlignment="1">
      <alignment horizontal="center" vertical="center"/>
    </xf>
    <xf numFmtId="166" fontId="13" fillId="4" borderId="2" xfId="1" applyNumberFormat="1" applyFont="1" applyFill="1" applyBorder="1" applyAlignment="1">
      <alignment horizontal="center" vertical="center" wrapText="1"/>
    </xf>
  </cellXfs>
  <cellStyles count="25">
    <cellStyle name="Comma" xfId="1" builtinId="3"/>
    <cellStyle name="Comma 11 2" xfId="16"/>
    <cellStyle name="Comma 2" xfId="2"/>
    <cellStyle name="Comma 3" xfId="3"/>
    <cellStyle name="Comma 4" xfId="4"/>
    <cellStyle name="Comma 4 2" xfId="5"/>
    <cellStyle name="Comma 5" xfId="6"/>
    <cellStyle name="Comma 6" xfId="21"/>
    <cellStyle name="Excel Built-in Normal" xfId="17"/>
    <cellStyle name="Normal" xfId="0" builtinId="0"/>
    <cellStyle name="Normal - Style1" xfId="24"/>
    <cellStyle name="Normal 2" xfId="7"/>
    <cellStyle name="Normal 21 2 2" xfId="15"/>
    <cellStyle name="Normal 3" xfId="8"/>
    <cellStyle name="Normal 3 2" xfId="9"/>
    <cellStyle name="Normal 3 3" xfId="20"/>
    <cellStyle name="Normal 3 5" xfId="18"/>
    <cellStyle name="Normal 3_Muster Roll-DHA PH-IX (Pkg II, III &amp; IV) Jun 2019" xfId="19"/>
    <cellStyle name="Normal 37" xfId="23"/>
    <cellStyle name="Normal 4" xfId="14"/>
    <cellStyle name="Normal 4 2" xfId="10"/>
    <cellStyle name="Percent" xfId="11" builtinId="5"/>
    <cellStyle name="Percent 2" xfId="12"/>
    <cellStyle name="Percent 2 2" xfId="22"/>
    <cellStyle name="Percent 3"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S-Curve</a:t>
            </a:r>
          </a:p>
        </c:rich>
      </c:tx>
      <c:layout>
        <c:manualLayout>
          <c:xMode val="edge"/>
          <c:yMode val="edge"/>
          <c:x val="0.4122657521280243"/>
          <c:y val="0.11162565230643805"/>
        </c:manualLayout>
      </c:layout>
      <c:overlay val="0"/>
      <c:spPr>
        <a:noFill/>
        <a:ln>
          <a:noFill/>
        </a:ln>
        <a:effectLst/>
      </c:spPr>
    </c:title>
    <c:autoTitleDeleted val="0"/>
    <c:plotArea>
      <c:layout>
        <c:manualLayout>
          <c:layoutTarget val="inner"/>
          <c:xMode val="edge"/>
          <c:yMode val="edge"/>
          <c:x val="0.13207962070043688"/>
          <c:y val="0.29610066727138523"/>
          <c:w val="0.84375918635170599"/>
          <c:h val="0.53836504811898511"/>
        </c:manualLayout>
      </c:layout>
      <c:lineChart>
        <c:grouping val="standard"/>
        <c:varyColors val="0"/>
        <c:ser>
          <c:idx val="0"/>
          <c:order val="0"/>
          <c:tx>
            <c:strRef>
              <c:f>'Appx I to Anx A'!$D$7:$D$8</c:f>
              <c:strCache>
                <c:ptCount val="2"/>
                <c:pt idx="0">
                  <c:v>Progressive (Upto Date)</c:v>
                </c:pt>
                <c:pt idx="1">
                  <c:v>Planned</c:v>
                </c:pt>
              </c:strCache>
            </c:strRef>
          </c:tx>
          <c:spPr>
            <a:ln w="28575" cap="rnd">
              <a:solidFill>
                <a:schemeClr val="accent1"/>
              </a:solidFill>
              <a:round/>
            </a:ln>
            <a:effectLst/>
          </c:spPr>
          <c:cat>
            <c:numRef>
              <c:f>'Appx I to Anx A'!$A$9:$A$42</c:f>
              <c:numCache>
                <c:formatCode>mmm-yy</c:formatCode>
                <c:ptCount val="34"/>
                <c:pt idx="0">
                  <c:v>44866</c:v>
                </c:pt>
                <c:pt idx="1">
                  <c:v>44896</c:v>
                </c:pt>
                <c:pt idx="2">
                  <c:v>44927</c:v>
                </c:pt>
                <c:pt idx="3">
                  <c:v>44958</c:v>
                </c:pt>
                <c:pt idx="4">
                  <c:v>44986</c:v>
                </c:pt>
                <c:pt idx="5">
                  <c:v>45017</c:v>
                </c:pt>
                <c:pt idx="6">
                  <c:v>45047</c:v>
                </c:pt>
                <c:pt idx="7">
                  <c:v>45078</c:v>
                </c:pt>
                <c:pt idx="8">
                  <c:v>45108</c:v>
                </c:pt>
                <c:pt idx="9">
                  <c:v>45139</c:v>
                </c:pt>
                <c:pt idx="10">
                  <c:v>45170</c:v>
                </c:pt>
                <c:pt idx="11">
                  <c:v>45200</c:v>
                </c:pt>
                <c:pt idx="12">
                  <c:v>45231</c:v>
                </c:pt>
                <c:pt idx="13">
                  <c:v>45261</c:v>
                </c:pt>
                <c:pt idx="14">
                  <c:v>45292</c:v>
                </c:pt>
                <c:pt idx="15">
                  <c:v>45323</c:v>
                </c:pt>
                <c:pt idx="16">
                  <c:v>45352</c:v>
                </c:pt>
                <c:pt idx="17">
                  <c:v>45383</c:v>
                </c:pt>
                <c:pt idx="18">
                  <c:v>45413</c:v>
                </c:pt>
                <c:pt idx="19">
                  <c:v>45444</c:v>
                </c:pt>
                <c:pt idx="20">
                  <c:v>45474</c:v>
                </c:pt>
                <c:pt idx="21">
                  <c:v>45505</c:v>
                </c:pt>
                <c:pt idx="22">
                  <c:v>45536</c:v>
                </c:pt>
                <c:pt idx="23">
                  <c:v>45566</c:v>
                </c:pt>
                <c:pt idx="24">
                  <c:v>45597</c:v>
                </c:pt>
                <c:pt idx="25">
                  <c:v>45627</c:v>
                </c:pt>
                <c:pt idx="26">
                  <c:v>45658</c:v>
                </c:pt>
                <c:pt idx="27">
                  <c:v>45689</c:v>
                </c:pt>
                <c:pt idx="28">
                  <c:v>45717</c:v>
                </c:pt>
                <c:pt idx="29">
                  <c:v>45748</c:v>
                </c:pt>
                <c:pt idx="30">
                  <c:v>45778</c:v>
                </c:pt>
                <c:pt idx="31">
                  <c:v>45809</c:v>
                </c:pt>
                <c:pt idx="32">
                  <c:v>45839</c:v>
                </c:pt>
                <c:pt idx="33">
                  <c:v>45870</c:v>
                </c:pt>
              </c:numCache>
            </c:numRef>
          </c:cat>
          <c:val>
            <c:numRef>
              <c:f>'Appx I to Anx A'!$D$9:$D$41</c:f>
              <c:numCache>
                <c:formatCode>0.00</c:formatCode>
                <c:ptCount val="33"/>
                <c:pt idx="0">
                  <c:v>28.585999999999999</c:v>
                </c:pt>
                <c:pt idx="1">
                  <c:v>89.531000000000006</c:v>
                </c:pt>
                <c:pt idx="2">
                  <c:v>139.006</c:v>
                </c:pt>
                <c:pt idx="3">
                  <c:v>210</c:v>
                </c:pt>
                <c:pt idx="4">
                  <c:v>273.10199999999998</c:v>
                </c:pt>
                <c:pt idx="5">
                  <c:v>335.58099999999996</c:v>
                </c:pt>
                <c:pt idx="6">
                  <c:v>418.13299999999998</c:v>
                </c:pt>
                <c:pt idx="7">
                  <c:v>522.72900000000004</c:v>
                </c:pt>
                <c:pt idx="8">
                  <c:v>586.44100000000003</c:v>
                </c:pt>
                <c:pt idx="9">
                  <c:v>647.29000000000008</c:v>
                </c:pt>
                <c:pt idx="10">
                  <c:v>744.03000000000009</c:v>
                </c:pt>
                <c:pt idx="11">
                  <c:v>827.39200000000005</c:v>
                </c:pt>
                <c:pt idx="12">
                  <c:v>980.423</c:v>
                </c:pt>
                <c:pt idx="13">
                  <c:v>1149.999</c:v>
                </c:pt>
                <c:pt idx="14">
                  <c:v>1248.92</c:v>
                </c:pt>
                <c:pt idx="15">
                  <c:v>1354.0810000000001</c:v>
                </c:pt>
                <c:pt idx="16">
                  <c:v>1446.576</c:v>
                </c:pt>
                <c:pt idx="17">
                  <c:v>1532.9929999999999</c:v>
                </c:pt>
                <c:pt idx="18">
                  <c:v>1666.3719999999998</c:v>
                </c:pt>
                <c:pt idx="19">
                  <c:v>1773.9239999999998</c:v>
                </c:pt>
                <c:pt idx="20">
                  <c:v>1885.6429999999998</c:v>
                </c:pt>
                <c:pt idx="21">
                  <c:v>1999.3939999999998</c:v>
                </c:pt>
                <c:pt idx="22">
                  <c:v>2060.7069999999999</c:v>
                </c:pt>
                <c:pt idx="23">
                  <c:v>2204.6689999999999</c:v>
                </c:pt>
                <c:pt idx="24">
                  <c:v>2350.6639999999998</c:v>
                </c:pt>
                <c:pt idx="25">
                  <c:v>2409.4639999999999</c:v>
                </c:pt>
                <c:pt idx="26">
                  <c:v>2499.4639999999999</c:v>
                </c:pt>
                <c:pt idx="27">
                  <c:v>2659.4639999999999</c:v>
                </c:pt>
                <c:pt idx="28">
                  <c:v>2761.739</c:v>
                </c:pt>
                <c:pt idx="29">
                  <c:v>2972.223</c:v>
                </c:pt>
                <c:pt idx="30">
                  <c:v>3057.223</c:v>
                </c:pt>
                <c:pt idx="31">
                  <c:v>3307.223</c:v>
                </c:pt>
                <c:pt idx="32">
                  <c:v>3463.223</c:v>
                </c:pt>
              </c:numCache>
            </c:numRef>
          </c:val>
          <c:smooth val="0"/>
          <c:extLst>
            <c:ext xmlns:c16="http://schemas.microsoft.com/office/drawing/2014/chart" uri="{C3380CC4-5D6E-409C-BE32-E72D297353CC}">
              <c16:uniqueId val="{00000000-A226-4E34-AC5D-5D85DFB19079}"/>
            </c:ext>
          </c:extLst>
        </c:ser>
        <c:ser>
          <c:idx val="1"/>
          <c:order val="1"/>
          <c:tx>
            <c:strRef>
              <c:f>'Appx I to Anx A'!$E$7:$E$8</c:f>
              <c:strCache>
                <c:ptCount val="2"/>
                <c:pt idx="0">
                  <c:v>Progressive (Upto Date)</c:v>
                </c:pt>
                <c:pt idx="1">
                  <c:v>Achieved</c:v>
                </c:pt>
              </c:strCache>
            </c:strRef>
          </c:tx>
          <c:spPr>
            <a:ln w="28575" cap="rnd">
              <a:solidFill>
                <a:schemeClr val="accent2"/>
              </a:solidFill>
              <a:round/>
            </a:ln>
            <a:effectLst/>
          </c:spPr>
          <c:cat>
            <c:numRef>
              <c:f>'Appx I to Anx A'!$A$9:$A$42</c:f>
              <c:numCache>
                <c:formatCode>mmm-yy</c:formatCode>
                <c:ptCount val="34"/>
                <c:pt idx="0">
                  <c:v>44866</c:v>
                </c:pt>
                <c:pt idx="1">
                  <c:v>44896</c:v>
                </c:pt>
                <c:pt idx="2">
                  <c:v>44927</c:v>
                </c:pt>
                <c:pt idx="3">
                  <c:v>44958</c:v>
                </c:pt>
                <c:pt idx="4">
                  <c:v>44986</c:v>
                </c:pt>
                <c:pt idx="5">
                  <c:v>45017</c:v>
                </c:pt>
                <c:pt idx="6">
                  <c:v>45047</c:v>
                </c:pt>
                <c:pt idx="7">
                  <c:v>45078</c:v>
                </c:pt>
                <c:pt idx="8">
                  <c:v>45108</c:v>
                </c:pt>
                <c:pt idx="9">
                  <c:v>45139</c:v>
                </c:pt>
                <c:pt idx="10">
                  <c:v>45170</c:v>
                </c:pt>
                <c:pt idx="11">
                  <c:v>45200</c:v>
                </c:pt>
                <c:pt idx="12">
                  <c:v>45231</c:v>
                </c:pt>
                <c:pt idx="13">
                  <c:v>45261</c:v>
                </c:pt>
                <c:pt idx="14">
                  <c:v>45292</c:v>
                </c:pt>
                <c:pt idx="15">
                  <c:v>45323</c:v>
                </c:pt>
                <c:pt idx="16">
                  <c:v>45352</c:v>
                </c:pt>
                <c:pt idx="17">
                  <c:v>45383</c:v>
                </c:pt>
                <c:pt idx="18">
                  <c:v>45413</c:v>
                </c:pt>
                <c:pt idx="19">
                  <c:v>45444</c:v>
                </c:pt>
                <c:pt idx="20">
                  <c:v>45474</c:v>
                </c:pt>
                <c:pt idx="21">
                  <c:v>45505</c:v>
                </c:pt>
                <c:pt idx="22">
                  <c:v>45536</c:v>
                </c:pt>
                <c:pt idx="23">
                  <c:v>45566</c:v>
                </c:pt>
                <c:pt idx="24">
                  <c:v>45597</c:v>
                </c:pt>
                <c:pt idx="25">
                  <c:v>45627</c:v>
                </c:pt>
                <c:pt idx="26">
                  <c:v>45658</c:v>
                </c:pt>
                <c:pt idx="27">
                  <c:v>45689</c:v>
                </c:pt>
                <c:pt idx="28">
                  <c:v>45717</c:v>
                </c:pt>
                <c:pt idx="29">
                  <c:v>45748</c:v>
                </c:pt>
                <c:pt idx="30">
                  <c:v>45778</c:v>
                </c:pt>
                <c:pt idx="31">
                  <c:v>45809</c:v>
                </c:pt>
                <c:pt idx="32">
                  <c:v>45839</c:v>
                </c:pt>
                <c:pt idx="33">
                  <c:v>45870</c:v>
                </c:pt>
              </c:numCache>
            </c:numRef>
          </c:cat>
          <c:val>
            <c:numRef>
              <c:f>'Appx I to Anx A'!$E$9:$E$40</c:f>
              <c:numCache>
                <c:formatCode>0.00</c:formatCode>
                <c:ptCount val="32"/>
                <c:pt idx="0">
                  <c:v>28.585999999999999</c:v>
                </c:pt>
                <c:pt idx="1">
                  <c:v>89.531000000000006</c:v>
                </c:pt>
                <c:pt idx="2">
                  <c:v>139.006</c:v>
                </c:pt>
                <c:pt idx="3">
                  <c:v>210</c:v>
                </c:pt>
                <c:pt idx="4">
                  <c:v>273.10199999999998</c:v>
                </c:pt>
                <c:pt idx="5" formatCode="0.000">
                  <c:v>335.58099999999996</c:v>
                </c:pt>
                <c:pt idx="6" formatCode="0.000">
                  <c:v>418.13299999999998</c:v>
                </c:pt>
                <c:pt idx="7" formatCode="0.000">
                  <c:v>522.72900000000004</c:v>
                </c:pt>
                <c:pt idx="8" formatCode="0.000">
                  <c:v>586.44100000000003</c:v>
                </c:pt>
                <c:pt idx="9" formatCode="0.000">
                  <c:v>647.29000000000008</c:v>
                </c:pt>
                <c:pt idx="10" formatCode="0.000">
                  <c:v>744.03000000000009</c:v>
                </c:pt>
                <c:pt idx="11" formatCode="0.000">
                  <c:v>827.39200000000005</c:v>
                </c:pt>
                <c:pt idx="12" formatCode="0.000">
                  <c:v>980.423</c:v>
                </c:pt>
                <c:pt idx="13" formatCode="0.000">
                  <c:v>1149.999</c:v>
                </c:pt>
                <c:pt idx="14" formatCode="0.000">
                  <c:v>1248.92</c:v>
                </c:pt>
                <c:pt idx="15" formatCode="0.000">
                  <c:v>1354.0810000000001</c:v>
                </c:pt>
                <c:pt idx="16" formatCode="0.000">
                  <c:v>1446.576</c:v>
                </c:pt>
                <c:pt idx="17" formatCode="0.000">
                  <c:v>1532.9929999999999</c:v>
                </c:pt>
                <c:pt idx="18" formatCode="0.000">
                  <c:v>1666.3719999999998</c:v>
                </c:pt>
                <c:pt idx="19" formatCode="0.000">
                  <c:v>1773.9239999999998</c:v>
                </c:pt>
                <c:pt idx="20" formatCode="0.000">
                  <c:v>1885.6429999999998</c:v>
                </c:pt>
                <c:pt idx="21" formatCode="0.000">
                  <c:v>1999.3939999999998</c:v>
                </c:pt>
                <c:pt idx="22" formatCode="0.000">
                  <c:v>2060.7069999999999</c:v>
                </c:pt>
                <c:pt idx="23" formatCode="0.000">
                  <c:v>2204.6689999999999</c:v>
                </c:pt>
                <c:pt idx="24" formatCode="0.000">
                  <c:v>2350.6639999999998</c:v>
                </c:pt>
                <c:pt idx="25" formatCode="0.000">
                  <c:v>2409.4639999999999</c:v>
                </c:pt>
                <c:pt idx="26" formatCode="0.000">
                  <c:v>2493.0499999999997</c:v>
                </c:pt>
                <c:pt idx="27" formatCode="0.000">
                  <c:v>2645.2209999999995</c:v>
                </c:pt>
                <c:pt idx="28" formatCode="0.000">
                  <c:v>2747.4959999999996</c:v>
                </c:pt>
                <c:pt idx="29" formatCode="0.000">
                  <c:v>2957.9799999999996</c:v>
                </c:pt>
                <c:pt idx="30" formatCode="0.000">
                  <c:v>3013.1296119999997</c:v>
                </c:pt>
                <c:pt idx="31" formatCode="0.000">
                  <c:v>2987.5097849999997</c:v>
                </c:pt>
              </c:numCache>
            </c:numRef>
          </c:val>
          <c:smooth val="0"/>
          <c:extLst>
            <c:ext xmlns:c16="http://schemas.microsoft.com/office/drawing/2014/chart" uri="{C3380CC4-5D6E-409C-BE32-E72D297353CC}">
              <c16:uniqueId val="{00000001-A226-4E34-AC5D-5D85DFB19079}"/>
            </c:ext>
          </c:extLst>
        </c:ser>
        <c:dLbls>
          <c:showLegendKey val="0"/>
          <c:showVal val="0"/>
          <c:showCatName val="0"/>
          <c:showSerName val="0"/>
          <c:showPercent val="0"/>
          <c:showBubbleSize val="0"/>
        </c:dLbls>
        <c:marker val="1"/>
        <c:smooth val="0"/>
        <c:axId val="-1738913168"/>
        <c:axId val="-1738912624"/>
      </c:lineChart>
      <c:dateAx>
        <c:axId val="-17389131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912624"/>
        <c:crosses val="autoZero"/>
        <c:auto val="1"/>
        <c:lblOffset val="100"/>
        <c:baseTimeUnit val="months"/>
      </c:dateAx>
      <c:valAx>
        <c:axId val="-1738912624"/>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91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 verticalDpi="-1"/>
  </c:printSettings>
</c:chartSpace>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38100</xdr:colOff>
          <xdr:row>0</xdr:row>
          <xdr:rowOff>19050</xdr:rowOff>
        </xdr:from>
        <xdr:to>
          <xdr:col>1</xdr:col>
          <xdr:colOff>95250</xdr:colOff>
          <xdr:row>2</xdr:row>
          <xdr:rowOff>76200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190500</xdr:colOff>
          <xdr:row>1</xdr:row>
          <xdr:rowOff>76200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A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152400</xdr:colOff>
          <xdr:row>1</xdr:row>
          <xdr:rowOff>47625</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B00-0000012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0</xdr:rowOff>
        </xdr:from>
        <xdr:to>
          <xdr:col>0</xdr:col>
          <xdr:colOff>209550</xdr:colOff>
          <xdr:row>2</xdr:row>
          <xdr:rowOff>57150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C00-0000012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190500</xdr:colOff>
          <xdr:row>1</xdr:row>
          <xdr:rowOff>47625</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D00-000001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95250</xdr:colOff>
          <xdr:row>2</xdr:row>
          <xdr:rowOff>171450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E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285750</xdr:colOff>
          <xdr:row>2</xdr:row>
          <xdr:rowOff>9525</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F00-000004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142875</xdr:colOff>
          <xdr:row>2</xdr:row>
          <xdr:rowOff>123825</xdr:rowOff>
        </xdr:to>
        <xdr:sp macro="" textlink="">
          <xdr:nvSpPr>
            <xdr:cNvPr id="3731457" name="Object 1" hidden="1">
              <a:extLst>
                <a:ext uri="{63B3BB69-23CF-44E3-9099-C40C66FF867C}">
                  <a14:compatExt spid="_x0000_s3731457"/>
                </a:ext>
                <a:ext uri="{FF2B5EF4-FFF2-40B4-BE49-F238E27FC236}">
                  <a16:creationId xmlns:a16="http://schemas.microsoft.com/office/drawing/2014/main" id="{00000000-0008-0000-1000-000001F038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7</xdr:col>
      <xdr:colOff>212270</xdr:colOff>
      <xdr:row>17</xdr:row>
      <xdr:rowOff>99892</xdr:rowOff>
    </xdr:from>
    <xdr:to>
      <xdr:col>10</xdr:col>
      <xdr:colOff>1041507</xdr:colOff>
      <xdr:row>39</xdr:row>
      <xdr:rowOff>99891</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38100</xdr:colOff>
          <xdr:row>1</xdr:row>
          <xdr:rowOff>161925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123825</xdr:colOff>
          <xdr:row>3</xdr:row>
          <xdr:rowOff>9525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66675</xdr:colOff>
          <xdr:row>2</xdr:row>
          <xdr:rowOff>28575</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68</xdr:row>
          <xdr:rowOff>0</xdr:rowOff>
        </xdr:from>
        <xdr:to>
          <xdr:col>1</xdr:col>
          <xdr:colOff>66675</xdr:colOff>
          <xdr:row>68</xdr:row>
          <xdr:rowOff>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257175</xdr:colOff>
          <xdr:row>1</xdr:row>
          <xdr:rowOff>171450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5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9525</xdr:rowOff>
        </xdr:from>
        <xdr:to>
          <xdr:col>0</xdr:col>
          <xdr:colOff>142875</xdr:colOff>
          <xdr:row>1</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84</xdr:row>
          <xdr:rowOff>0</xdr:rowOff>
        </xdr:from>
        <xdr:to>
          <xdr:col>0</xdr:col>
          <xdr:colOff>142875</xdr:colOff>
          <xdr:row>84</xdr:row>
          <xdr:rowOff>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57150</xdr:colOff>
          <xdr:row>0</xdr:row>
          <xdr:rowOff>76200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700-000001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114300</xdr:colOff>
          <xdr:row>0</xdr:row>
          <xdr:rowOff>0</xdr:rowOff>
        </xdr:to>
        <xdr:sp macro="" textlink="">
          <xdr:nvSpPr>
            <xdr:cNvPr id="3720193" name="Object 1" hidden="1">
              <a:extLst>
                <a:ext uri="{63B3BB69-23CF-44E3-9099-C40C66FF867C}">
                  <a14:compatExt spid="_x0000_s3720193"/>
                </a:ext>
                <a:ext uri="{FF2B5EF4-FFF2-40B4-BE49-F238E27FC236}">
                  <a16:creationId xmlns:a16="http://schemas.microsoft.com/office/drawing/2014/main" id="{00000000-0008-0000-0800-000001C438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1276350</xdr:colOff>
          <xdr:row>4</xdr:row>
          <xdr:rowOff>114300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9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42</xdr:row>
          <xdr:rowOff>76200</xdr:rowOff>
        </xdr:from>
        <xdr:to>
          <xdr:col>0</xdr:col>
          <xdr:colOff>142875</xdr:colOff>
          <xdr:row>42</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9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li\jaffar\Jaffar%20Accounts\BALANCE%20SHEET,%20PROFIT%20&amp;%20LOSS%20ACCOU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shif\E\Accounts\FB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Downloads\CBD\MMRs\MMR%20DEC,%202021\R-3%20PMU%20NLC%20CBD%20KALMA%20CHOWK%20-%20Dec%202021%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ownloads\PMU%20NLC%20CBD%20PKG-II%20-%20Jul%202022%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L"/>
      <sheetName val="fixedAssets "/>
      <sheetName val="COMPARISON"/>
      <sheetName val="cctrial"/>
      <sheetName val="SQL"/>
      <sheetName val="Roads_balances"/>
      <sheetName val="tb"/>
      <sheetName val="Options"/>
      <sheetName val="test"/>
    </sheetNames>
    <sheetDataSet>
      <sheetData sheetId="0"/>
      <sheetData sheetId="1"/>
      <sheetData sheetId="2"/>
      <sheetData sheetId="3"/>
      <sheetData sheetId="4"/>
      <sheetData sheetId="5"/>
      <sheetData sheetId="6"/>
      <sheetData sheetId="7">
        <row r="1">
          <cell r="A1" t="str">
            <v>acc_num</v>
          </cell>
          <cell r="B1" t="str">
            <v>acc_title</v>
          </cell>
          <cell r="C1" t="str">
            <v>level</v>
          </cell>
          <cell r="D1" t="str">
            <v>balance</v>
          </cell>
        </row>
        <row r="2">
          <cell r="A2" t="str">
            <v>101-000-000-0000</v>
          </cell>
          <cell r="B2" t="str">
            <v>HQ NLC - Current Account</v>
          </cell>
          <cell r="C2">
            <v>1</v>
          </cell>
          <cell r="D2">
            <v>-14739394.789999992</v>
          </cell>
        </row>
        <row r="3">
          <cell r="A3" t="str">
            <v>101-001-000-0000</v>
          </cell>
          <cell r="B3" t="str">
            <v>HQ NLC - Current Account</v>
          </cell>
          <cell r="C3">
            <v>2</v>
          </cell>
          <cell r="D3">
            <v>-14739394.789999992</v>
          </cell>
        </row>
        <row r="4">
          <cell r="A4" t="str">
            <v>101-001-001-0000</v>
          </cell>
          <cell r="B4" t="str">
            <v>HQ NLC - Current Account</v>
          </cell>
          <cell r="C4">
            <v>3</v>
          </cell>
          <cell r="D4">
            <v>-14739394.789999992</v>
          </cell>
        </row>
        <row r="5">
          <cell r="A5" t="str">
            <v>101-001-001-0001</v>
          </cell>
          <cell r="B5" t="str">
            <v>HQ NLC - Current Account</v>
          </cell>
          <cell r="C5">
            <v>4</v>
          </cell>
          <cell r="D5">
            <v>-14472758.789999999</v>
          </cell>
        </row>
        <row r="6">
          <cell r="A6" t="str">
            <v>101-001-001-0002</v>
          </cell>
          <cell r="B6" t="str">
            <v>Current Accont NIDA 15</v>
          </cell>
          <cell r="C6">
            <v>4</v>
          </cell>
          <cell r="D6">
            <v>-266636</v>
          </cell>
        </row>
        <row r="7">
          <cell r="A7" t="str">
            <v>101-001-001-0003</v>
          </cell>
          <cell r="B7" t="str">
            <v xml:space="preserve"> Current Account</v>
          </cell>
          <cell r="C7">
            <v>4</v>
          </cell>
          <cell r="D7">
            <v>0</v>
          </cell>
        </row>
        <row r="8">
          <cell r="A8" t="str">
            <v>101-001-001-0004</v>
          </cell>
          <cell r="B8" t="str">
            <v>OFC</v>
          </cell>
          <cell r="C8">
            <v>4</v>
          </cell>
          <cell r="D8">
            <v>0</v>
          </cell>
        </row>
        <row r="9">
          <cell r="A9" t="str">
            <v>101-001-001-0005</v>
          </cell>
          <cell r="B9" t="str">
            <v>OFC cash A/C</v>
          </cell>
          <cell r="C9">
            <v>4</v>
          </cell>
          <cell r="D9">
            <v>0</v>
          </cell>
        </row>
        <row r="10">
          <cell r="A10" t="str">
            <v>101-001-001-0006</v>
          </cell>
          <cell r="B10" t="str">
            <v>DHA Cash A/C</v>
          </cell>
          <cell r="C10">
            <v>4</v>
          </cell>
          <cell r="D10">
            <v>0</v>
          </cell>
        </row>
        <row r="11">
          <cell r="A11" t="str">
            <v>102-000-000-0000</v>
          </cell>
          <cell r="B11" t="str">
            <v>Reserves</v>
          </cell>
          <cell r="C11">
            <v>1</v>
          </cell>
          <cell r="D11">
            <v>0</v>
          </cell>
        </row>
        <row r="12">
          <cell r="A12" t="str">
            <v>102-001-000-0000</v>
          </cell>
          <cell r="B12" t="str">
            <v>Reserves</v>
          </cell>
          <cell r="C12">
            <v>2</v>
          </cell>
          <cell r="D12">
            <v>0</v>
          </cell>
        </row>
        <row r="13">
          <cell r="A13" t="str">
            <v>102-001-001-0000</v>
          </cell>
          <cell r="B13" t="str">
            <v>Reserves</v>
          </cell>
          <cell r="C13">
            <v>3</v>
          </cell>
          <cell r="D13">
            <v>0</v>
          </cell>
        </row>
        <row r="14">
          <cell r="A14" t="str">
            <v>102-001-001-0001</v>
          </cell>
          <cell r="B14" t="str">
            <v>Reserves</v>
          </cell>
          <cell r="C14">
            <v>4</v>
          </cell>
          <cell r="D14">
            <v>0</v>
          </cell>
        </row>
        <row r="15">
          <cell r="A15" t="str">
            <v>103-000-000-0000</v>
          </cell>
          <cell r="B15" t="str">
            <v>General Fund - Accumulated Profit/(Loss)</v>
          </cell>
          <cell r="C15">
            <v>1</v>
          </cell>
          <cell r="D15">
            <v>-4402759.75</v>
          </cell>
        </row>
        <row r="16">
          <cell r="A16" t="str">
            <v>103-001-000-0000</v>
          </cell>
          <cell r="B16" t="str">
            <v>General Fund - Accumulated Profit/(Loss)</v>
          </cell>
          <cell r="C16">
            <v>2</v>
          </cell>
          <cell r="D16">
            <v>-7069490</v>
          </cell>
        </row>
        <row r="17">
          <cell r="A17" t="str">
            <v>103-001-001-0000</v>
          </cell>
          <cell r="B17" t="str">
            <v>General Fund - Accumulated Profit/(Loss)</v>
          </cell>
          <cell r="C17">
            <v>3</v>
          </cell>
          <cell r="D17">
            <v>-7069490</v>
          </cell>
        </row>
        <row r="18">
          <cell r="A18" t="str">
            <v>103-001-001-0001</v>
          </cell>
          <cell r="B18" t="str">
            <v>General Fund - Accumulated Profit/(Loss)</v>
          </cell>
          <cell r="C18">
            <v>4</v>
          </cell>
          <cell r="D18">
            <v>-7069490</v>
          </cell>
        </row>
        <row r="19">
          <cell r="A19" t="str">
            <v>103-002-000-0000</v>
          </cell>
          <cell r="B19" t="str">
            <v>Profit deposited to HQ NLC</v>
          </cell>
          <cell r="C19">
            <v>2</v>
          </cell>
          <cell r="D19">
            <v>2666730.25</v>
          </cell>
        </row>
        <row r="20">
          <cell r="A20" t="str">
            <v>103-002-001-0000</v>
          </cell>
          <cell r="B20" t="str">
            <v>Profit deposited to HQ NLC</v>
          </cell>
          <cell r="C20">
            <v>3</v>
          </cell>
          <cell r="D20">
            <v>2666730.25</v>
          </cell>
        </row>
        <row r="21">
          <cell r="A21" t="str">
            <v>103-002-001-0001</v>
          </cell>
          <cell r="B21" t="str">
            <v>Profit deposited to HQ NLC</v>
          </cell>
          <cell r="C21">
            <v>4</v>
          </cell>
          <cell r="D21">
            <v>2666730.25</v>
          </cell>
        </row>
        <row r="22">
          <cell r="A22" t="str">
            <v>104-000-000-0000</v>
          </cell>
          <cell r="B22" t="str">
            <v>Long Term Loans</v>
          </cell>
          <cell r="C22">
            <v>1</v>
          </cell>
          <cell r="D22">
            <v>0</v>
          </cell>
        </row>
        <row r="23">
          <cell r="A23" t="str">
            <v>104-001-000-0000</v>
          </cell>
          <cell r="B23" t="str">
            <v>Long Term Loans</v>
          </cell>
          <cell r="C23">
            <v>2</v>
          </cell>
          <cell r="D23">
            <v>0</v>
          </cell>
        </row>
        <row r="24">
          <cell r="A24" t="str">
            <v>104-001-001-0000</v>
          </cell>
          <cell r="B24" t="str">
            <v>Long Term Loans</v>
          </cell>
          <cell r="C24">
            <v>3</v>
          </cell>
          <cell r="D24">
            <v>0</v>
          </cell>
        </row>
        <row r="25">
          <cell r="A25" t="str">
            <v>104-001-001-0001</v>
          </cell>
          <cell r="B25" t="str">
            <v>Long Term Loans</v>
          </cell>
          <cell r="C25">
            <v>4</v>
          </cell>
          <cell r="D25">
            <v>0</v>
          </cell>
        </row>
        <row r="26">
          <cell r="A26" t="str">
            <v>105-000-000-0000</v>
          </cell>
          <cell r="B26" t="str">
            <v>Liabilities Against Assets Subject to Finance Leas</v>
          </cell>
          <cell r="C26">
            <v>1</v>
          </cell>
          <cell r="D26">
            <v>0</v>
          </cell>
        </row>
        <row r="27">
          <cell r="A27" t="str">
            <v>105-001-000-0000</v>
          </cell>
          <cell r="B27" t="str">
            <v>Liabilities Against Assets Subject to Finance Leas</v>
          </cell>
          <cell r="C27">
            <v>2</v>
          </cell>
          <cell r="D27">
            <v>0</v>
          </cell>
        </row>
        <row r="28">
          <cell r="A28" t="str">
            <v>105-001-001-0000</v>
          </cell>
          <cell r="B28" t="str">
            <v>Liabilities Against Assets Subject to Finance Leas</v>
          </cell>
          <cell r="C28">
            <v>3</v>
          </cell>
          <cell r="D28">
            <v>0</v>
          </cell>
        </row>
        <row r="29">
          <cell r="A29" t="str">
            <v>105-001-001-0001</v>
          </cell>
          <cell r="B29" t="str">
            <v>Liabilities Against Assets Subject to Finance Leas</v>
          </cell>
          <cell r="C29">
            <v>4</v>
          </cell>
          <cell r="D29">
            <v>0</v>
          </cell>
        </row>
        <row r="30">
          <cell r="A30" t="str">
            <v>106-000-000-0000</v>
          </cell>
          <cell r="B30" t="str">
            <v>Deferred Liabilities</v>
          </cell>
          <cell r="C30">
            <v>1</v>
          </cell>
          <cell r="D30">
            <v>0</v>
          </cell>
        </row>
        <row r="31">
          <cell r="A31" t="str">
            <v>106-001-000-0000</v>
          </cell>
          <cell r="B31" t="str">
            <v>Deferred Liabilities</v>
          </cell>
          <cell r="C31">
            <v>2</v>
          </cell>
          <cell r="D31">
            <v>0</v>
          </cell>
        </row>
        <row r="32">
          <cell r="A32" t="str">
            <v>106-001-001-0000</v>
          </cell>
          <cell r="B32" t="str">
            <v>Deferred Liabilities</v>
          </cell>
          <cell r="C32">
            <v>3</v>
          </cell>
          <cell r="D32">
            <v>0</v>
          </cell>
        </row>
        <row r="33">
          <cell r="A33" t="str">
            <v>106-001-001-0001</v>
          </cell>
          <cell r="B33" t="str">
            <v>Deferred Liabilities</v>
          </cell>
          <cell r="C33">
            <v>4</v>
          </cell>
          <cell r="D33">
            <v>0</v>
          </cell>
        </row>
        <row r="34">
          <cell r="A34" t="str">
            <v>107-000-000-0000</v>
          </cell>
          <cell r="B34" t="str">
            <v>Long Term Deposits</v>
          </cell>
          <cell r="C34">
            <v>1</v>
          </cell>
          <cell r="D34">
            <v>0</v>
          </cell>
        </row>
        <row r="35">
          <cell r="A35" t="str">
            <v>107-001-000-0000</v>
          </cell>
          <cell r="B35" t="str">
            <v>Long Term Deposits</v>
          </cell>
          <cell r="C35">
            <v>2</v>
          </cell>
          <cell r="D35">
            <v>0</v>
          </cell>
        </row>
        <row r="36">
          <cell r="A36" t="str">
            <v>107-001-001-0000</v>
          </cell>
          <cell r="B36" t="str">
            <v>Long Term Deposits</v>
          </cell>
          <cell r="C36">
            <v>3</v>
          </cell>
          <cell r="D36">
            <v>0</v>
          </cell>
        </row>
        <row r="37">
          <cell r="A37" t="str">
            <v>107-001-001-0001</v>
          </cell>
          <cell r="B37" t="str">
            <v>Long Term Deposits</v>
          </cell>
          <cell r="C37">
            <v>4</v>
          </cell>
          <cell r="D37">
            <v>0</v>
          </cell>
        </row>
        <row r="38">
          <cell r="A38" t="str">
            <v>108-000-000-0000</v>
          </cell>
          <cell r="B38" t="str">
            <v>Short Term Runnig Finances</v>
          </cell>
          <cell r="C38">
            <v>1</v>
          </cell>
          <cell r="D38">
            <v>0</v>
          </cell>
        </row>
        <row r="39">
          <cell r="A39" t="str">
            <v>108-001-000-0000</v>
          </cell>
          <cell r="B39" t="str">
            <v>Short Term Runnig Finances</v>
          </cell>
          <cell r="C39">
            <v>2</v>
          </cell>
          <cell r="D39">
            <v>0</v>
          </cell>
        </row>
        <row r="40">
          <cell r="A40" t="str">
            <v>108-001-001-0000</v>
          </cell>
          <cell r="B40" t="str">
            <v>Short Term Runnig Finances</v>
          </cell>
          <cell r="C40">
            <v>3</v>
          </cell>
          <cell r="D40">
            <v>0</v>
          </cell>
        </row>
        <row r="41">
          <cell r="A41" t="str">
            <v>109-000-000-0000</v>
          </cell>
          <cell r="B41" t="str">
            <v>Creditors, Accrued Charges and Other Liabilties</v>
          </cell>
          <cell r="C41">
            <v>1</v>
          </cell>
          <cell r="D41">
            <v>-31188941</v>
          </cell>
        </row>
        <row r="42">
          <cell r="A42" t="str">
            <v>109-001-000-0000</v>
          </cell>
          <cell r="B42" t="str">
            <v>Creditors</v>
          </cell>
          <cell r="C42">
            <v>2</v>
          </cell>
          <cell r="D42">
            <v>-17238498</v>
          </cell>
        </row>
        <row r="43">
          <cell r="A43" t="str">
            <v>109-001-001-0000</v>
          </cell>
          <cell r="B43" t="str">
            <v>Creditors Road Works/Payable to Contractors</v>
          </cell>
          <cell r="C43">
            <v>3</v>
          </cell>
          <cell r="D43">
            <v>-4236196</v>
          </cell>
        </row>
        <row r="44">
          <cell r="A44" t="str">
            <v>109-001-001-0001</v>
          </cell>
          <cell r="B44" t="str">
            <v>M/S Javid Ali &amp; Co</v>
          </cell>
          <cell r="C44">
            <v>4</v>
          </cell>
          <cell r="D44">
            <v>-763335</v>
          </cell>
        </row>
        <row r="45">
          <cell r="A45" t="str">
            <v>109-001-001-0002</v>
          </cell>
          <cell r="B45" t="str">
            <v>M/S Moeenullah Marwat</v>
          </cell>
          <cell r="C45">
            <v>4</v>
          </cell>
          <cell r="D45">
            <v>0</v>
          </cell>
        </row>
        <row r="46">
          <cell r="A46" t="str">
            <v>109-001-001-0003</v>
          </cell>
          <cell r="B46" t="str">
            <v>M/S Farooq Sandhu</v>
          </cell>
          <cell r="C46">
            <v>4</v>
          </cell>
          <cell r="D46">
            <v>0</v>
          </cell>
        </row>
        <row r="47">
          <cell r="A47" t="str">
            <v>109-001-001-0004</v>
          </cell>
          <cell r="B47" t="str">
            <v>M/S T.M Business Concern</v>
          </cell>
          <cell r="C47">
            <v>4</v>
          </cell>
          <cell r="D47">
            <v>0</v>
          </cell>
        </row>
        <row r="48">
          <cell r="A48" t="str">
            <v>109-001-001-0005</v>
          </cell>
          <cell r="B48" t="str">
            <v>M/S Asif Builders</v>
          </cell>
          <cell r="C48">
            <v>4</v>
          </cell>
          <cell r="D48">
            <v>-29154</v>
          </cell>
        </row>
        <row r="49">
          <cell r="A49" t="str">
            <v>109-001-001-0006</v>
          </cell>
          <cell r="B49" t="str">
            <v>M/S Young Engineers</v>
          </cell>
          <cell r="C49">
            <v>4</v>
          </cell>
          <cell r="D49">
            <v>0</v>
          </cell>
        </row>
        <row r="50">
          <cell r="A50" t="str">
            <v>109-001-001-0007</v>
          </cell>
          <cell r="B50" t="str">
            <v>M/S  Zahir Shah Khan &amp; Bros</v>
          </cell>
          <cell r="C50">
            <v>4</v>
          </cell>
          <cell r="D50">
            <v>0</v>
          </cell>
        </row>
        <row r="51">
          <cell r="A51" t="str">
            <v>109-001-001-0008</v>
          </cell>
          <cell r="B51" t="str">
            <v>M/S MR.Muhammad Irfan Mukhtar</v>
          </cell>
          <cell r="C51">
            <v>4</v>
          </cell>
          <cell r="D51">
            <v>0</v>
          </cell>
        </row>
        <row r="52">
          <cell r="A52" t="str">
            <v>109-001-001-0009</v>
          </cell>
          <cell r="B52" t="str">
            <v>M/S Nariman Construction Co</v>
          </cell>
          <cell r="C52">
            <v>4</v>
          </cell>
          <cell r="D52">
            <v>0</v>
          </cell>
        </row>
        <row r="53">
          <cell r="A53" t="str">
            <v>109-001-001-0010</v>
          </cell>
          <cell r="B53" t="str">
            <v>M//S Behram Khan &amp; Co</v>
          </cell>
          <cell r="C53">
            <v>4</v>
          </cell>
          <cell r="D53">
            <v>0</v>
          </cell>
        </row>
        <row r="54">
          <cell r="A54" t="str">
            <v>109-001-001-0011</v>
          </cell>
          <cell r="B54" t="str">
            <v>M/S Zari construction company</v>
          </cell>
          <cell r="C54">
            <v>4</v>
          </cell>
          <cell r="D54">
            <v>0</v>
          </cell>
        </row>
        <row r="55">
          <cell r="A55" t="str">
            <v>109-001-001-0012</v>
          </cell>
          <cell r="B55" t="str">
            <v>M/S AKB &amp; Company</v>
          </cell>
          <cell r="C55">
            <v>4</v>
          </cell>
          <cell r="D55">
            <v>0</v>
          </cell>
        </row>
        <row r="56">
          <cell r="A56" t="str">
            <v>109-001-001-0013</v>
          </cell>
          <cell r="B56" t="str">
            <v>M/S Orbit Construction Company</v>
          </cell>
          <cell r="C56">
            <v>4</v>
          </cell>
          <cell r="D56">
            <v>0</v>
          </cell>
        </row>
        <row r="57">
          <cell r="A57" t="str">
            <v>109-001-001-0014</v>
          </cell>
          <cell r="B57" t="str">
            <v>M/S International Industries Limited</v>
          </cell>
          <cell r="C57">
            <v>4</v>
          </cell>
          <cell r="D57">
            <v>0</v>
          </cell>
        </row>
        <row r="58">
          <cell r="A58" t="str">
            <v>109-001-001-0015</v>
          </cell>
          <cell r="B58" t="str">
            <v>M/S Hamza Ali khan</v>
          </cell>
          <cell r="C58">
            <v>4</v>
          </cell>
          <cell r="D58">
            <v>0</v>
          </cell>
        </row>
        <row r="59">
          <cell r="A59" t="str">
            <v>109-001-001-0016</v>
          </cell>
          <cell r="B59" t="str">
            <v>M/S M.H.Associates</v>
          </cell>
          <cell r="C59">
            <v>4</v>
          </cell>
          <cell r="D59">
            <v>-1636798</v>
          </cell>
        </row>
        <row r="60">
          <cell r="A60" t="str">
            <v>109-001-001-0017</v>
          </cell>
          <cell r="B60" t="str">
            <v>M/S Faisal steel corporation</v>
          </cell>
          <cell r="C60">
            <v>4</v>
          </cell>
          <cell r="D60">
            <v>0</v>
          </cell>
        </row>
        <row r="61">
          <cell r="A61" t="str">
            <v>109-001-001-0018</v>
          </cell>
          <cell r="B61" t="str">
            <v>M/S Tycon Security</v>
          </cell>
          <cell r="C61">
            <v>4</v>
          </cell>
          <cell r="D61">
            <v>0</v>
          </cell>
        </row>
        <row r="62">
          <cell r="A62" t="str">
            <v>109-001-001-0019</v>
          </cell>
          <cell r="B62" t="str">
            <v>abc</v>
          </cell>
          <cell r="C62">
            <v>4</v>
          </cell>
          <cell r="D62">
            <v>0</v>
          </cell>
        </row>
        <row r="63">
          <cell r="A63" t="str">
            <v>109-001-001-0020</v>
          </cell>
          <cell r="B63" t="str">
            <v>M/S Dyna Force Construction</v>
          </cell>
          <cell r="C63">
            <v>4</v>
          </cell>
          <cell r="D63">
            <v>0</v>
          </cell>
        </row>
        <row r="64">
          <cell r="A64" t="str">
            <v>109-001-001-0021</v>
          </cell>
          <cell r="B64" t="str">
            <v>M/S Muhammad Irfan Muk</v>
          </cell>
          <cell r="C64">
            <v>4</v>
          </cell>
          <cell r="D64">
            <v>0</v>
          </cell>
        </row>
        <row r="65">
          <cell r="A65" t="str">
            <v>109-001-001-0022</v>
          </cell>
          <cell r="B65" t="str">
            <v>M/S Muhammadi Traders</v>
          </cell>
          <cell r="C65">
            <v>4</v>
          </cell>
          <cell r="D65">
            <v>0</v>
          </cell>
        </row>
        <row r="66">
          <cell r="A66" t="str">
            <v>109-001-001-0023</v>
          </cell>
          <cell r="B66" t="str">
            <v>M/S Muzzam Const</v>
          </cell>
          <cell r="C66">
            <v>4</v>
          </cell>
          <cell r="D66">
            <v>0</v>
          </cell>
        </row>
        <row r="67">
          <cell r="A67" t="str">
            <v>109-001-001-0024</v>
          </cell>
          <cell r="B67" t="str">
            <v>M/S Chughtai Engineers</v>
          </cell>
          <cell r="C67">
            <v>4</v>
          </cell>
          <cell r="D67">
            <v>-244708</v>
          </cell>
        </row>
        <row r="68">
          <cell r="A68" t="str">
            <v>109-001-001-0025</v>
          </cell>
          <cell r="B68" t="str">
            <v>M/S Itehad Construction</v>
          </cell>
          <cell r="C68">
            <v>4</v>
          </cell>
          <cell r="D68">
            <v>-1562201</v>
          </cell>
        </row>
        <row r="69">
          <cell r="A69" t="str">
            <v>109-001-001-0026</v>
          </cell>
          <cell r="B69" t="str">
            <v>abc</v>
          </cell>
          <cell r="C69">
            <v>4</v>
          </cell>
          <cell r="D69">
            <v>0</v>
          </cell>
        </row>
        <row r="70">
          <cell r="A70" t="str">
            <v>109-001-001-0027</v>
          </cell>
          <cell r="B70" t="str">
            <v>abc</v>
          </cell>
          <cell r="C70">
            <v>4</v>
          </cell>
          <cell r="D70">
            <v>0</v>
          </cell>
        </row>
        <row r="71">
          <cell r="A71" t="str">
            <v>109-001-001-0028</v>
          </cell>
          <cell r="B71" t="str">
            <v>abc</v>
          </cell>
          <cell r="C71">
            <v>4</v>
          </cell>
          <cell r="D71">
            <v>0</v>
          </cell>
        </row>
        <row r="72">
          <cell r="A72" t="str">
            <v>109-001-001-0029</v>
          </cell>
          <cell r="B72" t="str">
            <v>abc</v>
          </cell>
          <cell r="C72">
            <v>4</v>
          </cell>
          <cell r="D72">
            <v>0</v>
          </cell>
        </row>
        <row r="73">
          <cell r="A73" t="str">
            <v>109-001-001-0030</v>
          </cell>
          <cell r="B73" t="str">
            <v>abc</v>
          </cell>
          <cell r="C73">
            <v>4</v>
          </cell>
          <cell r="D73">
            <v>0</v>
          </cell>
        </row>
        <row r="74">
          <cell r="A74" t="str">
            <v>109-001-001-0031</v>
          </cell>
          <cell r="B74" t="str">
            <v>abc</v>
          </cell>
          <cell r="C74">
            <v>4</v>
          </cell>
          <cell r="D74">
            <v>0</v>
          </cell>
        </row>
        <row r="75">
          <cell r="A75" t="str">
            <v>109-001-001-0032</v>
          </cell>
          <cell r="B75" t="str">
            <v>abc</v>
          </cell>
          <cell r="C75">
            <v>4</v>
          </cell>
          <cell r="D75">
            <v>0</v>
          </cell>
        </row>
        <row r="76">
          <cell r="A76" t="str">
            <v>109-001-001-0033</v>
          </cell>
          <cell r="B76" t="str">
            <v>abc</v>
          </cell>
          <cell r="C76">
            <v>4</v>
          </cell>
          <cell r="D76">
            <v>0</v>
          </cell>
        </row>
        <row r="77">
          <cell r="A77" t="str">
            <v>109-001-001-0034</v>
          </cell>
          <cell r="B77" t="str">
            <v>abc</v>
          </cell>
          <cell r="C77">
            <v>4</v>
          </cell>
          <cell r="D77">
            <v>0</v>
          </cell>
        </row>
        <row r="78">
          <cell r="A78" t="str">
            <v>109-001-001-0035</v>
          </cell>
          <cell r="B78" t="str">
            <v>abc</v>
          </cell>
          <cell r="C78">
            <v>4</v>
          </cell>
          <cell r="D78">
            <v>0</v>
          </cell>
        </row>
        <row r="79">
          <cell r="A79" t="str">
            <v>109-001-001-0036</v>
          </cell>
          <cell r="B79" t="str">
            <v>abc</v>
          </cell>
          <cell r="C79">
            <v>4</v>
          </cell>
          <cell r="D79">
            <v>0</v>
          </cell>
        </row>
        <row r="80">
          <cell r="A80" t="str">
            <v>109-001-001-0037</v>
          </cell>
          <cell r="B80" t="str">
            <v>abc</v>
          </cell>
          <cell r="C80">
            <v>4</v>
          </cell>
          <cell r="D80">
            <v>0</v>
          </cell>
        </row>
        <row r="81">
          <cell r="A81" t="str">
            <v>109-001-001-0038</v>
          </cell>
          <cell r="B81" t="str">
            <v>abc</v>
          </cell>
          <cell r="C81">
            <v>4</v>
          </cell>
          <cell r="D81">
            <v>0</v>
          </cell>
        </row>
        <row r="82">
          <cell r="A82" t="str">
            <v>109-001-001-0039</v>
          </cell>
          <cell r="B82" t="str">
            <v>abc</v>
          </cell>
          <cell r="C82">
            <v>4</v>
          </cell>
          <cell r="D82">
            <v>0</v>
          </cell>
        </row>
        <row r="83">
          <cell r="A83" t="str">
            <v>109-001-001-0040</v>
          </cell>
          <cell r="B83" t="str">
            <v>abc</v>
          </cell>
          <cell r="C83">
            <v>4</v>
          </cell>
          <cell r="D83">
            <v>0</v>
          </cell>
        </row>
        <row r="84">
          <cell r="A84" t="str">
            <v>109-001-001-0041</v>
          </cell>
          <cell r="B84" t="str">
            <v>abc</v>
          </cell>
          <cell r="C84">
            <v>4</v>
          </cell>
          <cell r="D84">
            <v>0</v>
          </cell>
        </row>
        <row r="85">
          <cell r="A85" t="str">
            <v>109-001-001-0042</v>
          </cell>
          <cell r="B85" t="str">
            <v>abc</v>
          </cell>
          <cell r="C85">
            <v>4</v>
          </cell>
          <cell r="D85">
            <v>0</v>
          </cell>
        </row>
        <row r="86">
          <cell r="A86" t="str">
            <v>109-001-001-0043</v>
          </cell>
          <cell r="B86" t="str">
            <v>abc</v>
          </cell>
          <cell r="C86">
            <v>4</v>
          </cell>
          <cell r="D86">
            <v>0</v>
          </cell>
        </row>
        <row r="87">
          <cell r="A87" t="str">
            <v>109-001-001-0044</v>
          </cell>
          <cell r="B87" t="str">
            <v>abc</v>
          </cell>
          <cell r="C87">
            <v>4</v>
          </cell>
          <cell r="D87">
            <v>0</v>
          </cell>
        </row>
        <row r="88">
          <cell r="A88" t="str">
            <v>109-001-001-0045</v>
          </cell>
          <cell r="B88" t="str">
            <v>abc</v>
          </cell>
          <cell r="C88">
            <v>4</v>
          </cell>
          <cell r="D88">
            <v>0</v>
          </cell>
        </row>
        <row r="89">
          <cell r="A89" t="str">
            <v>109-001-001-0046</v>
          </cell>
          <cell r="B89" t="str">
            <v>abc</v>
          </cell>
          <cell r="C89">
            <v>4</v>
          </cell>
          <cell r="D89">
            <v>0</v>
          </cell>
        </row>
        <row r="90">
          <cell r="A90" t="str">
            <v>109-001-001-0047</v>
          </cell>
          <cell r="B90" t="str">
            <v>abc</v>
          </cell>
          <cell r="C90">
            <v>4</v>
          </cell>
          <cell r="D90">
            <v>0</v>
          </cell>
        </row>
        <row r="91">
          <cell r="A91" t="str">
            <v>109-001-001-0048</v>
          </cell>
          <cell r="B91" t="str">
            <v>abc</v>
          </cell>
          <cell r="C91">
            <v>4</v>
          </cell>
          <cell r="D91">
            <v>0</v>
          </cell>
        </row>
        <row r="92">
          <cell r="A92" t="str">
            <v>109-001-001-0049</v>
          </cell>
          <cell r="B92" t="str">
            <v>abc</v>
          </cell>
          <cell r="C92">
            <v>4</v>
          </cell>
          <cell r="D92">
            <v>0</v>
          </cell>
        </row>
        <row r="93">
          <cell r="A93" t="str">
            <v>109-001-001-0050</v>
          </cell>
          <cell r="B93" t="str">
            <v>abc</v>
          </cell>
          <cell r="C93">
            <v>4</v>
          </cell>
          <cell r="D93">
            <v>0</v>
          </cell>
        </row>
        <row r="94">
          <cell r="A94" t="str">
            <v>109-001-002-0000</v>
          </cell>
          <cell r="B94" t="str">
            <v>Creditors Construction  Material</v>
          </cell>
          <cell r="C94">
            <v>3</v>
          </cell>
          <cell r="D94">
            <v>1243392</v>
          </cell>
        </row>
        <row r="95">
          <cell r="A95" t="str">
            <v>109-001-002-0001</v>
          </cell>
          <cell r="B95" t="str">
            <v>M/S Fairdeal</v>
          </cell>
          <cell r="C95">
            <v>4</v>
          </cell>
          <cell r="D95">
            <v>1243392</v>
          </cell>
        </row>
        <row r="96">
          <cell r="A96" t="str">
            <v>109-001-002-0002</v>
          </cell>
          <cell r="B96" t="str">
            <v>M/S L.T.Engineers</v>
          </cell>
          <cell r="C96">
            <v>4</v>
          </cell>
          <cell r="D96">
            <v>0</v>
          </cell>
        </row>
        <row r="97">
          <cell r="A97" t="str">
            <v>109-001-002-0003</v>
          </cell>
          <cell r="B97" t="str">
            <v>abc</v>
          </cell>
          <cell r="C97">
            <v>4</v>
          </cell>
          <cell r="D97">
            <v>0</v>
          </cell>
        </row>
        <row r="98">
          <cell r="A98" t="str">
            <v>109-001-002-0004</v>
          </cell>
          <cell r="B98" t="str">
            <v>abc</v>
          </cell>
          <cell r="C98">
            <v>4</v>
          </cell>
          <cell r="D98">
            <v>0</v>
          </cell>
        </row>
        <row r="99">
          <cell r="A99" t="str">
            <v>109-001-002-0005</v>
          </cell>
          <cell r="B99" t="str">
            <v>abc</v>
          </cell>
          <cell r="C99">
            <v>4</v>
          </cell>
          <cell r="D99">
            <v>0</v>
          </cell>
        </row>
        <row r="100">
          <cell r="A100" t="str">
            <v>109-001-002-0006</v>
          </cell>
          <cell r="B100" t="str">
            <v>abc</v>
          </cell>
          <cell r="C100">
            <v>4</v>
          </cell>
          <cell r="D100">
            <v>0</v>
          </cell>
        </row>
        <row r="101">
          <cell r="A101" t="str">
            <v>109-001-002-0007</v>
          </cell>
          <cell r="B101" t="str">
            <v>abc</v>
          </cell>
          <cell r="C101">
            <v>4</v>
          </cell>
          <cell r="D101">
            <v>0</v>
          </cell>
        </row>
        <row r="102">
          <cell r="A102" t="str">
            <v>109-001-002-0008</v>
          </cell>
          <cell r="B102" t="str">
            <v>abc</v>
          </cell>
          <cell r="C102">
            <v>4</v>
          </cell>
          <cell r="D102">
            <v>0</v>
          </cell>
        </row>
        <row r="103">
          <cell r="A103" t="str">
            <v>109-001-002-0009</v>
          </cell>
          <cell r="B103" t="str">
            <v>abc</v>
          </cell>
          <cell r="C103">
            <v>4</v>
          </cell>
          <cell r="D103">
            <v>0</v>
          </cell>
        </row>
        <row r="104">
          <cell r="A104" t="str">
            <v>109-001-002-0010</v>
          </cell>
          <cell r="B104" t="str">
            <v>abc</v>
          </cell>
          <cell r="C104">
            <v>4</v>
          </cell>
          <cell r="D104">
            <v>0</v>
          </cell>
        </row>
        <row r="105">
          <cell r="A105" t="str">
            <v>109-001-002-0011</v>
          </cell>
          <cell r="B105" t="str">
            <v>abc</v>
          </cell>
          <cell r="C105">
            <v>4</v>
          </cell>
          <cell r="D105">
            <v>0</v>
          </cell>
        </row>
        <row r="106">
          <cell r="A106" t="str">
            <v>109-001-002-0012</v>
          </cell>
          <cell r="B106" t="str">
            <v>abc</v>
          </cell>
          <cell r="C106">
            <v>4</v>
          </cell>
          <cell r="D106">
            <v>0</v>
          </cell>
        </row>
        <row r="107">
          <cell r="A107" t="str">
            <v>109-001-002-0013</v>
          </cell>
          <cell r="B107" t="str">
            <v>abc</v>
          </cell>
          <cell r="C107">
            <v>4</v>
          </cell>
          <cell r="D107">
            <v>0</v>
          </cell>
        </row>
        <row r="108">
          <cell r="A108" t="str">
            <v>109-001-002-0014</v>
          </cell>
          <cell r="B108" t="str">
            <v>abc</v>
          </cell>
          <cell r="C108">
            <v>4</v>
          </cell>
          <cell r="D108">
            <v>0</v>
          </cell>
        </row>
        <row r="109">
          <cell r="A109" t="str">
            <v>109-001-002-0015</v>
          </cell>
          <cell r="B109" t="str">
            <v>abc</v>
          </cell>
          <cell r="C109">
            <v>4</v>
          </cell>
          <cell r="D109">
            <v>0</v>
          </cell>
        </row>
        <row r="110">
          <cell r="A110" t="str">
            <v>109-001-003-0000</v>
          </cell>
          <cell r="B110" t="str">
            <v>Creditors for Services/Misc Venders</v>
          </cell>
          <cell r="C110">
            <v>3</v>
          </cell>
          <cell r="D110">
            <v>-1695192</v>
          </cell>
        </row>
        <row r="111">
          <cell r="A111" t="str">
            <v>109-001-003-0001</v>
          </cell>
          <cell r="B111" t="str">
            <v>AL.Rehman auto&amp; battery</v>
          </cell>
          <cell r="C111">
            <v>4</v>
          </cell>
          <cell r="D111">
            <v>-4608</v>
          </cell>
        </row>
        <row r="112">
          <cell r="A112" t="str">
            <v>109-001-003-0002</v>
          </cell>
          <cell r="B112" t="str">
            <v>M/S Khan Brothers</v>
          </cell>
          <cell r="C112">
            <v>4</v>
          </cell>
          <cell r="D112">
            <v>-1691784</v>
          </cell>
        </row>
        <row r="113">
          <cell r="A113" t="str">
            <v>109-001-003-0003</v>
          </cell>
          <cell r="B113" t="str">
            <v>M/S Haris furnishers</v>
          </cell>
          <cell r="C113">
            <v>4</v>
          </cell>
          <cell r="D113">
            <v>0</v>
          </cell>
        </row>
        <row r="114">
          <cell r="A114" t="str">
            <v>109-001-003-0004</v>
          </cell>
          <cell r="B114" t="str">
            <v>M/S Ahmed Daud</v>
          </cell>
          <cell r="C114">
            <v>4</v>
          </cell>
          <cell r="D114">
            <v>0</v>
          </cell>
        </row>
        <row r="115">
          <cell r="A115" t="str">
            <v>109-001-003-0005</v>
          </cell>
          <cell r="B115" t="str">
            <v>M/S Muhamadi traders</v>
          </cell>
          <cell r="C115">
            <v>4</v>
          </cell>
          <cell r="D115">
            <v>0</v>
          </cell>
        </row>
        <row r="116">
          <cell r="A116" t="str">
            <v>109-001-003-0006</v>
          </cell>
          <cell r="B116" t="str">
            <v>M/S D&amp;P Traders</v>
          </cell>
          <cell r="C116">
            <v>4</v>
          </cell>
          <cell r="D116">
            <v>0</v>
          </cell>
        </row>
        <row r="117">
          <cell r="A117" t="str">
            <v>109-001-003-0007</v>
          </cell>
          <cell r="B117" t="str">
            <v>M/S Brain telecommunication</v>
          </cell>
          <cell r="C117">
            <v>4</v>
          </cell>
          <cell r="D117">
            <v>0</v>
          </cell>
        </row>
        <row r="118">
          <cell r="A118" t="str">
            <v>109-001-003-0008</v>
          </cell>
          <cell r="B118" t="str">
            <v>M/S AAA  Proj Mgt.Consultant</v>
          </cell>
          <cell r="C118">
            <v>4</v>
          </cell>
          <cell r="D118">
            <v>0</v>
          </cell>
        </row>
        <row r="119">
          <cell r="A119" t="str">
            <v>109-001-003-0009</v>
          </cell>
          <cell r="B119" t="str">
            <v>M/S Premier consultant</v>
          </cell>
          <cell r="C119">
            <v>4</v>
          </cell>
          <cell r="D119">
            <v>0</v>
          </cell>
        </row>
        <row r="120">
          <cell r="A120" t="str">
            <v>109-001-003-0010</v>
          </cell>
          <cell r="B120" t="str">
            <v>M/S Daud Venture</v>
          </cell>
          <cell r="C120">
            <v>4</v>
          </cell>
          <cell r="D120">
            <v>0</v>
          </cell>
        </row>
        <row r="121">
          <cell r="A121" t="str">
            <v>109-001-003-0011</v>
          </cell>
          <cell r="B121" t="str">
            <v>M/S Metro Super Store</v>
          </cell>
          <cell r="C121">
            <v>4</v>
          </cell>
          <cell r="D121">
            <v>0</v>
          </cell>
        </row>
        <row r="122">
          <cell r="A122" t="str">
            <v>109-001-003-0012</v>
          </cell>
          <cell r="B122" t="str">
            <v>M/S Aqeel Trades</v>
          </cell>
          <cell r="C122">
            <v>4</v>
          </cell>
          <cell r="D122">
            <v>0</v>
          </cell>
        </row>
        <row r="123">
          <cell r="A123" t="str">
            <v>109-001-003-0013</v>
          </cell>
          <cell r="B123" t="str">
            <v>M/S Pakistan State Oil</v>
          </cell>
          <cell r="C123">
            <v>4</v>
          </cell>
          <cell r="D123">
            <v>0</v>
          </cell>
        </row>
        <row r="124">
          <cell r="A124" t="str">
            <v>109-001-003-0014</v>
          </cell>
          <cell r="B124" t="str">
            <v>M/S Speed Engineering Services</v>
          </cell>
          <cell r="C124">
            <v>4</v>
          </cell>
          <cell r="D124">
            <v>0</v>
          </cell>
        </row>
        <row r="125">
          <cell r="A125" t="str">
            <v>109-001-003-0015</v>
          </cell>
          <cell r="B125" t="str">
            <v>M/S Cilt Pakistan</v>
          </cell>
          <cell r="C125">
            <v>4</v>
          </cell>
          <cell r="D125">
            <v>1200</v>
          </cell>
        </row>
        <row r="126">
          <cell r="A126" t="str">
            <v>109-001-003-0016</v>
          </cell>
          <cell r="B126" t="str">
            <v>abc</v>
          </cell>
          <cell r="C126">
            <v>4</v>
          </cell>
          <cell r="D126">
            <v>0</v>
          </cell>
        </row>
        <row r="127">
          <cell r="A127" t="str">
            <v>109-001-003-0017</v>
          </cell>
          <cell r="B127" t="str">
            <v>abc</v>
          </cell>
          <cell r="C127">
            <v>4</v>
          </cell>
          <cell r="D127">
            <v>0</v>
          </cell>
        </row>
        <row r="128">
          <cell r="A128" t="str">
            <v>109-001-003-0018</v>
          </cell>
          <cell r="B128" t="str">
            <v>abc</v>
          </cell>
          <cell r="C128">
            <v>4</v>
          </cell>
          <cell r="D128">
            <v>0</v>
          </cell>
        </row>
        <row r="129">
          <cell r="A129" t="str">
            <v>109-001-003-0019</v>
          </cell>
          <cell r="B129" t="str">
            <v>abc</v>
          </cell>
          <cell r="C129">
            <v>4</v>
          </cell>
          <cell r="D129">
            <v>0</v>
          </cell>
        </row>
        <row r="130">
          <cell r="A130" t="str">
            <v>109-001-003-0020</v>
          </cell>
          <cell r="B130" t="str">
            <v>abc</v>
          </cell>
          <cell r="C130">
            <v>4</v>
          </cell>
          <cell r="D130">
            <v>0</v>
          </cell>
        </row>
        <row r="131">
          <cell r="A131" t="str">
            <v>109-001-003-0021</v>
          </cell>
          <cell r="B131" t="str">
            <v>abc</v>
          </cell>
          <cell r="C131">
            <v>4</v>
          </cell>
          <cell r="D131">
            <v>0</v>
          </cell>
        </row>
        <row r="132">
          <cell r="A132" t="str">
            <v>109-001-003-0022</v>
          </cell>
          <cell r="B132" t="str">
            <v>abc</v>
          </cell>
          <cell r="C132">
            <v>4</v>
          </cell>
          <cell r="D132">
            <v>0</v>
          </cell>
        </row>
        <row r="133">
          <cell r="A133" t="str">
            <v>109-001-003-0023</v>
          </cell>
          <cell r="B133" t="str">
            <v>abc</v>
          </cell>
          <cell r="C133">
            <v>4</v>
          </cell>
          <cell r="D133">
            <v>0</v>
          </cell>
        </row>
        <row r="134">
          <cell r="A134" t="str">
            <v>109-001-003-0024</v>
          </cell>
          <cell r="B134" t="str">
            <v>abc</v>
          </cell>
          <cell r="C134">
            <v>4</v>
          </cell>
          <cell r="D134">
            <v>0</v>
          </cell>
        </row>
        <row r="135">
          <cell r="A135" t="str">
            <v>109-001-003-0025</v>
          </cell>
          <cell r="B135" t="str">
            <v>abc</v>
          </cell>
          <cell r="C135">
            <v>4</v>
          </cell>
          <cell r="D135">
            <v>0</v>
          </cell>
        </row>
        <row r="136">
          <cell r="A136" t="str">
            <v>109-001-003-0026</v>
          </cell>
          <cell r="B136" t="str">
            <v>abc</v>
          </cell>
          <cell r="C136">
            <v>4</v>
          </cell>
          <cell r="D136">
            <v>0</v>
          </cell>
        </row>
        <row r="137">
          <cell r="A137" t="str">
            <v>109-001-003-0027</v>
          </cell>
          <cell r="B137" t="str">
            <v>abc</v>
          </cell>
          <cell r="C137">
            <v>4</v>
          </cell>
          <cell r="D137">
            <v>0</v>
          </cell>
        </row>
        <row r="138">
          <cell r="A138" t="str">
            <v>109-001-003-0028</v>
          </cell>
          <cell r="B138" t="str">
            <v>abc</v>
          </cell>
          <cell r="C138">
            <v>4</v>
          </cell>
          <cell r="D138">
            <v>0</v>
          </cell>
        </row>
        <row r="139">
          <cell r="A139" t="str">
            <v>109-001-003-0029</v>
          </cell>
          <cell r="B139" t="str">
            <v>abc</v>
          </cell>
          <cell r="C139">
            <v>4</v>
          </cell>
          <cell r="D139">
            <v>0</v>
          </cell>
        </row>
        <row r="140">
          <cell r="A140" t="str">
            <v>109-001-003-0030</v>
          </cell>
          <cell r="B140" t="str">
            <v>abc</v>
          </cell>
          <cell r="C140">
            <v>4</v>
          </cell>
          <cell r="D140">
            <v>0</v>
          </cell>
        </row>
        <row r="141">
          <cell r="A141" t="str">
            <v>109-001-003-0031</v>
          </cell>
          <cell r="B141" t="str">
            <v>abc</v>
          </cell>
          <cell r="C141">
            <v>4</v>
          </cell>
          <cell r="D141">
            <v>0</v>
          </cell>
        </row>
        <row r="142">
          <cell r="A142" t="str">
            <v>109-001-003-0032</v>
          </cell>
          <cell r="B142" t="str">
            <v>abc</v>
          </cell>
          <cell r="C142">
            <v>4</v>
          </cell>
          <cell r="D142">
            <v>0</v>
          </cell>
        </row>
        <row r="143">
          <cell r="A143" t="str">
            <v>109-001-003-0033</v>
          </cell>
          <cell r="B143" t="str">
            <v>abc</v>
          </cell>
          <cell r="C143">
            <v>4</v>
          </cell>
          <cell r="D143">
            <v>0</v>
          </cell>
        </row>
        <row r="144">
          <cell r="A144" t="str">
            <v>109-001-003-0034</v>
          </cell>
          <cell r="B144" t="str">
            <v>abc</v>
          </cell>
          <cell r="C144">
            <v>4</v>
          </cell>
          <cell r="D144">
            <v>0</v>
          </cell>
        </row>
        <row r="145">
          <cell r="A145" t="str">
            <v>109-001-003-0035</v>
          </cell>
          <cell r="B145" t="str">
            <v>abc</v>
          </cell>
          <cell r="C145">
            <v>4</v>
          </cell>
          <cell r="D145">
            <v>0</v>
          </cell>
        </row>
        <row r="146">
          <cell r="A146" t="str">
            <v>109-001-003-0036</v>
          </cell>
          <cell r="B146" t="str">
            <v>abc</v>
          </cell>
          <cell r="C146">
            <v>4</v>
          </cell>
          <cell r="D146">
            <v>0</v>
          </cell>
        </row>
        <row r="147">
          <cell r="A147" t="str">
            <v>109-001-003-0037</v>
          </cell>
          <cell r="B147" t="str">
            <v>abc</v>
          </cell>
          <cell r="C147">
            <v>4</v>
          </cell>
          <cell r="D147">
            <v>0</v>
          </cell>
        </row>
        <row r="148">
          <cell r="A148" t="str">
            <v>109-001-003-0038</v>
          </cell>
          <cell r="B148" t="str">
            <v>abc</v>
          </cell>
          <cell r="C148">
            <v>4</v>
          </cell>
          <cell r="D148">
            <v>0</v>
          </cell>
        </row>
        <row r="149">
          <cell r="A149" t="str">
            <v>109-001-003-0039</v>
          </cell>
          <cell r="B149" t="str">
            <v>abc</v>
          </cell>
          <cell r="C149">
            <v>4</v>
          </cell>
          <cell r="D149">
            <v>0</v>
          </cell>
        </row>
        <row r="150">
          <cell r="A150" t="str">
            <v>109-001-003-0040</v>
          </cell>
          <cell r="B150" t="str">
            <v>abc</v>
          </cell>
          <cell r="C150">
            <v>4</v>
          </cell>
          <cell r="D150">
            <v>0</v>
          </cell>
        </row>
        <row r="151">
          <cell r="A151" t="str">
            <v>109-001-003-0041</v>
          </cell>
          <cell r="B151" t="str">
            <v>abc</v>
          </cell>
          <cell r="C151">
            <v>4</v>
          </cell>
          <cell r="D151">
            <v>0</v>
          </cell>
        </row>
        <row r="152">
          <cell r="A152" t="str">
            <v>109-001-003-0042</v>
          </cell>
          <cell r="B152" t="str">
            <v>abc</v>
          </cell>
          <cell r="C152">
            <v>4</v>
          </cell>
          <cell r="D152">
            <v>0</v>
          </cell>
        </row>
        <row r="153">
          <cell r="A153" t="str">
            <v>109-001-003-0043</v>
          </cell>
          <cell r="B153" t="str">
            <v>abc</v>
          </cell>
          <cell r="C153">
            <v>4</v>
          </cell>
          <cell r="D153">
            <v>0</v>
          </cell>
        </row>
        <row r="154">
          <cell r="A154" t="str">
            <v>109-001-003-0044</v>
          </cell>
          <cell r="B154" t="str">
            <v>abc</v>
          </cell>
          <cell r="C154">
            <v>4</v>
          </cell>
          <cell r="D154">
            <v>0</v>
          </cell>
        </row>
        <row r="155">
          <cell r="A155" t="str">
            <v>109-001-003-0045</v>
          </cell>
          <cell r="B155" t="str">
            <v>abc</v>
          </cell>
          <cell r="C155">
            <v>4</v>
          </cell>
          <cell r="D155">
            <v>0</v>
          </cell>
        </row>
        <row r="156">
          <cell r="A156" t="str">
            <v>109-001-003-0046</v>
          </cell>
          <cell r="B156" t="str">
            <v>abc</v>
          </cell>
          <cell r="C156">
            <v>4</v>
          </cell>
          <cell r="D156">
            <v>0</v>
          </cell>
        </row>
        <row r="157">
          <cell r="A157" t="str">
            <v>109-001-003-0047</v>
          </cell>
          <cell r="B157" t="str">
            <v>abc</v>
          </cell>
          <cell r="C157">
            <v>4</v>
          </cell>
          <cell r="D157">
            <v>0</v>
          </cell>
        </row>
        <row r="158">
          <cell r="A158" t="str">
            <v>109-001-003-0048</v>
          </cell>
          <cell r="B158" t="str">
            <v>abc</v>
          </cell>
          <cell r="C158">
            <v>4</v>
          </cell>
          <cell r="D158">
            <v>0</v>
          </cell>
        </row>
        <row r="159">
          <cell r="A159" t="str">
            <v>109-001-003-0049</v>
          </cell>
          <cell r="B159" t="str">
            <v>abc</v>
          </cell>
          <cell r="C159">
            <v>4</v>
          </cell>
          <cell r="D159">
            <v>0</v>
          </cell>
        </row>
        <row r="160">
          <cell r="A160" t="str">
            <v>109-001-003-0050</v>
          </cell>
          <cell r="B160" t="str">
            <v>abc</v>
          </cell>
          <cell r="C160">
            <v>4</v>
          </cell>
          <cell r="D160">
            <v>0</v>
          </cell>
        </row>
        <row r="161">
          <cell r="A161" t="str">
            <v>109-001-004-0000</v>
          </cell>
          <cell r="B161" t="str">
            <v>WORK Done</v>
          </cell>
          <cell r="C161">
            <v>3</v>
          </cell>
          <cell r="D161">
            <v>-12550502</v>
          </cell>
        </row>
        <row r="162">
          <cell r="A162" t="str">
            <v>109-001-004-0001</v>
          </cell>
          <cell r="B162" t="str">
            <v>Work done by Zahir Shah Khan</v>
          </cell>
          <cell r="C162">
            <v>4</v>
          </cell>
          <cell r="D162">
            <v>0</v>
          </cell>
        </row>
        <row r="163">
          <cell r="A163" t="str">
            <v>109-001-004-0002</v>
          </cell>
          <cell r="B163" t="str">
            <v>Work done by AKB&amp; Co</v>
          </cell>
          <cell r="C163">
            <v>4</v>
          </cell>
          <cell r="D163">
            <v>0</v>
          </cell>
        </row>
        <row r="164">
          <cell r="A164" t="str">
            <v>109-001-004-0003</v>
          </cell>
          <cell r="B164" t="str">
            <v>Work done by Nariman Const Co</v>
          </cell>
          <cell r="C164">
            <v>4</v>
          </cell>
          <cell r="D164">
            <v>0</v>
          </cell>
        </row>
        <row r="165">
          <cell r="A165" t="str">
            <v>109-001-004-0004</v>
          </cell>
          <cell r="B165" t="str">
            <v>Work done By Orbit Const Co</v>
          </cell>
          <cell r="C165">
            <v>4</v>
          </cell>
          <cell r="D165">
            <v>0</v>
          </cell>
        </row>
        <row r="166">
          <cell r="A166" t="str">
            <v>109-001-004-0005</v>
          </cell>
          <cell r="B166" t="str">
            <v>Work done By Behram Khan &amp; Co</v>
          </cell>
          <cell r="C166">
            <v>4</v>
          </cell>
          <cell r="D166">
            <v>0</v>
          </cell>
        </row>
        <row r="167">
          <cell r="A167" t="str">
            <v>109-001-004-0006</v>
          </cell>
          <cell r="B167" t="str">
            <v>Work done By Young Engineers</v>
          </cell>
          <cell r="C167">
            <v>4</v>
          </cell>
          <cell r="D167">
            <v>0</v>
          </cell>
        </row>
        <row r="168">
          <cell r="A168" t="str">
            <v>109-001-004-0007</v>
          </cell>
          <cell r="B168" t="str">
            <v>Work done By Hamza Ali &amp; Co</v>
          </cell>
          <cell r="C168">
            <v>4</v>
          </cell>
          <cell r="D168">
            <v>0</v>
          </cell>
        </row>
        <row r="169">
          <cell r="A169" t="str">
            <v>109-001-004-0008</v>
          </cell>
          <cell r="B169" t="str">
            <v>Work done By Farooq Sandu</v>
          </cell>
          <cell r="C169">
            <v>4</v>
          </cell>
          <cell r="D169">
            <v>0</v>
          </cell>
        </row>
        <row r="170">
          <cell r="A170" t="str">
            <v>109-001-004-0009</v>
          </cell>
          <cell r="B170" t="str">
            <v>Work done By Moeen Ullah Marwat</v>
          </cell>
          <cell r="C170">
            <v>4</v>
          </cell>
          <cell r="D170">
            <v>0</v>
          </cell>
        </row>
        <row r="171">
          <cell r="A171" t="str">
            <v>109-001-004-0010</v>
          </cell>
          <cell r="B171" t="str">
            <v>Work done By Faisal Steel CO</v>
          </cell>
          <cell r="C171">
            <v>4</v>
          </cell>
          <cell r="D171">
            <v>0</v>
          </cell>
        </row>
        <row r="172">
          <cell r="A172" t="str">
            <v>109-001-004-0011</v>
          </cell>
          <cell r="B172" t="str">
            <v>Work done By Zari Const Co</v>
          </cell>
          <cell r="C172">
            <v>4</v>
          </cell>
          <cell r="D172">
            <v>0</v>
          </cell>
        </row>
        <row r="173">
          <cell r="A173" t="str">
            <v>109-001-004-0012</v>
          </cell>
          <cell r="B173" t="str">
            <v>Work done BY LT Engineers</v>
          </cell>
          <cell r="C173">
            <v>4</v>
          </cell>
          <cell r="D173">
            <v>0</v>
          </cell>
        </row>
        <row r="174">
          <cell r="A174" t="str">
            <v>109-001-004-0013</v>
          </cell>
          <cell r="B174" t="str">
            <v>Work done BY M/S Asif Buliders</v>
          </cell>
          <cell r="C174">
            <v>4</v>
          </cell>
          <cell r="D174">
            <v>-696909</v>
          </cell>
        </row>
        <row r="175">
          <cell r="A175" t="str">
            <v>109-001-004-0014</v>
          </cell>
          <cell r="B175" t="str">
            <v>Work done BY M/S Javed Ali &amp; Co</v>
          </cell>
          <cell r="C175">
            <v>4</v>
          </cell>
          <cell r="D175">
            <v>-8110837</v>
          </cell>
        </row>
        <row r="176">
          <cell r="A176" t="str">
            <v>109-001-004-0015</v>
          </cell>
          <cell r="B176" t="str">
            <v>Work done by Chughtai Engineers</v>
          </cell>
          <cell r="C176">
            <v>4</v>
          </cell>
          <cell r="D176">
            <v>-3742756</v>
          </cell>
        </row>
        <row r="177">
          <cell r="A177" t="str">
            <v>109-002-000-0000</v>
          </cell>
          <cell r="B177" t="str">
            <v>Income Tax Deducted At Source Payable</v>
          </cell>
          <cell r="C177">
            <v>2</v>
          </cell>
          <cell r="D177">
            <v>-447320</v>
          </cell>
        </row>
        <row r="178">
          <cell r="A178" t="str">
            <v>109-002-001-0000</v>
          </cell>
          <cell r="B178" t="str">
            <v>Creditors Road Works Income Tax Payable</v>
          </cell>
          <cell r="C178">
            <v>3</v>
          </cell>
          <cell r="D178">
            <v>-369728</v>
          </cell>
        </row>
        <row r="179">
          <cell r="A179" t="str">
            <v>109-002-001-0001</v>
          </cell>
          <cell r="B179" t="str">
            <v>I.Tax M/S Javid Ali &amp; CO</v>
          </cell>
          <cell r="C179">
            <v>4</v>
          </cell>
          <cell r="D179">
            <v>-43330</v>
          </cell>
        </row>
        <row r="180">
          <cell r="A180" t="str">
            <v>109-002-001-0002</v>
          </cell>
          <cell r="B180" t="str">
            <v>I Tax Moeenullah Marwat</v>
          </cell>
          <cell r="C180">
            <v>4</v>
          </cell>
          <cell r="D180">
            <v>0</v>
          </cell>
        </row>
        <row r="181">
          <cell r="A181" t="str">
            <v>109-002-001-0003</v>
          </cell>
          <cell r="B181" t="str">
            <v>I Tax Farooq sandhu</v>
          </cell>
          <cell r="C181">
            <v>4</v>
          </cell>
          <cell r="D181">
            <v>0</v>
          </cell>
        </row>
        <row r="182">
          <cell r="A182" t="str">
            <v>109-002-001-0004</v>
          </cell>
          <cell r="B182" t="str">
            <v>I.Tax M/S T.M.Business Concern</v>
          </cell>
          <cell r="C182">
            <v>4</v>
          </cell>
          <cell r="D182">
            <v>-4035</v>
          </cell>
        </row>
        <row r="183">
          <cell r="A183" t="str">
            <v>109-002-001-0005</v>
          </cell>
          <cell r="B183" t="str">
            <v>I.Tax M/S Asif builders</v>
          </cell>
          <cell r="C183">
            <v>4</v>
          </cell>
          <cell r="D183">
            <v>-128817</v>
          </cell>
        </row>
        <row r="184">
          <cell r="A184" t="str">
            <v>109-002-001-0006</v>
          </cell>
          <cell r="B184" t="str">
            <v>I.Tax M/S Young Engineers</v>
          </cell>
          <cell r="C184">
            <v>4</v>
          </cell>
          <cell r="D184">
            <v>0</v>
          </cell>
        </row>
        <row r="185">
          <cell r="A185" t="str">
            <v>109-002-001-0007</v>
          </cell>
          <cell r="B185" t="str">
            <v>I.Tax M/S Zahir Khan &amp; Bros</v>
          </cell>
          <cell r="C185">
            <v>4</v>
          </cell>
          <cell r="D185">
            <v>0</v>
          </cell>
        </row>
        <row r="186">
          <cell r="A186" t="str">
            <v>109-002-001-0008</v>
          </cell>
          <cell r="B186" t="str">
            <v xml:space="preserve"> I.Tax M/S MR.Muhammad Irfan Mukhtar</v>
          </cell>
          <cell r="C186">
            <v>4</v>
          </cell>
          <cell r="D186">
            <v>0</v>
          </cell>
        </row>
        <row r="187">
          <cell r="A187" t="str">
            <v>109-002-001-0009</v>
          </cell>
          <cell r="B187" t="str">
            <v>I.Tax M/S Nariman Construction Co</v>
          </cell>
          <cell r="C187">
            <v>4</v>
          </cell>
          <cell r="D187">
            <v>0</v>
          </cell>
        </row>
        <row r="188">
          <cell r="A188" t="str">
            <v>109-002-001-0010</v>
          </cell>
          <cell r="B188" t="str">
            <v xml:space="preserve"> I Tax M//S Behram Khan &amp; Co</v>
          </cell>
          <cell r="C188">
            <v>4</v>
          </cell>
          <cell r="D188">
            <v>0</v>
          </cell>
        </row>
        <row r="189">
          <cell r="A189" t="str">
            <v>109-002-001-0011</v>
          </cell>
          <cell r="B189" t="str">
            <v xml:space="preserve"> I Tax M/S Zari construction company</v>
          </cell>
          <cell r="C189">
            <v>4</v>
          </cell>
          <cell r="D189">
            <v>0</v>
          </cell>
        </row>
        <row r="190">
          <cell r="A190" t="str">
            <v>109-002-001-0012</v>
          </cell>
          <cell r="B190" t="str">
            <v>I.Tax M/S AKB&amp; Company</v>
          </cell>
          <cell r="C190">
            <v>4</v>
          </cell>
          <cell r="D190">
            <v>0</v>
          </cell>
        </row>
        <row r="191">
          <cell r="A191" t="str">
            <v>109-002-001-0013</v>
          </cell>
          <cell r="B191" t="str">
            <v>I.Tax M/S Orbit construction Company</v>
          </cell>
          <cell r="C191">
            <v>4</v>
          </cell>
          <cell r="D191">
            <v>0</v>
          </cell>
        </row>
        <row r="192">
          <cell r="A192" t="str">
            <v>109-002-001-0014</v>
          </cell>
          <cell r="B192" t="str">
            <v>I.Tax M/S International Industries</v>
          </cell>
          <cell r="C192">
            <v>4</v>
          </cell>
          <cell r="D192">
            <v>0</v>
          </cell>
        </row>
        <row r="193">
          <cell r="A193" t="str">
            <v>109-002-001-0015</v>
          </cell>
          <cell r="B193" t="str">
            <v xml:space="preserve"> I Tax M/S Hamza Ali khan</v>
          </cell>
          <cell r="C193">
            <v>4</v>
          </cell>
          <cell r="D193">
            <v>0</v>
          </cell>
        </row>
        <row r="194">
          <cell r="A194" t="str">
            <v>109-002-001-0016</v>
          </cell>
          <cell r="B194" t="str">
            <v>I.Tax M/S M.H.Assocaites</v>
          </cell>
          <cell r="C194">
            <v>4</v>
          </cell>
          <cell r="D194">
            <v>-112761</v>
          </cell>
        </row>
        <row r="195">
          <cell r="A195" t="str">
            <v>109-002-001-0017</v>
          </cell>
          <cell r="B195" t="str">
            <v xml:space="preserve"> I Tax M/S Faisal Steel Corporation</v>
          </cell>
          <cell r="C195">
            <v>4</v>
          </cell>
          <cell r="D195">
            <v>0</v>
          </cell>
        </row>
        <row r="196">
          <cell r="A196" t="str">
            <v>109-002-001-0018</v>
          </cell>
          <cell r="B196" t="str">
            <v>I.Tax Dynamic Advertising</v>
          </cell>
          <cell r="C196">
            <v>4</v>
          </cell>
          <cell r="D196">
            <v>-1590</v>
          </cell>
        </row>
        <row r="197">
          <cell r="A197" t="str">
            <v>109-002-001-0019</v>
          </cell>
          <cell r="B197" t="str">
            <v>I.Tax Tycon Security</v>
          </cell>
          <cell r="C197">
            <v>4</v>
          </cell>
          <cell r="D197">
            <v>0</v>
          </cell>
        </row>
        <row r="198">
          <cell r="A198" t="str">
            <v>109-002-001-0020</v>
          </cell>
          <cell r="B198" t="str">
            <v>I Tax Dynaforce Construction</v>
          </cell>
          <cell r="C198">
            <v>4</v>
          </cell>
          <cell r="D198">
            <v>0</v>
          </cell>
        </row>
        <row r="199">
          <cell r="A199" t="str">
            <v>109-002-001-0021</v>
          </cell>
          <cell r="B199" t="str">
            <v>I.Tax Muzzam Const</v>
          </cell>
          <cell r="C199">
            <v>4</v>
          </cell>
          <cell r="D199">
            <v>900</v>
          </cell>
        </row>
        <row r="200">
          <cell r="A200" t="str">
            <v>109-002-001-0022</v>
          </cell>
          <cell r="B200" t="str">
            <v>I.Tax Itehad Construction Company</v>
          </cell>
          <cell r="C200">
            <v>4</v>
          </cell>
          <cell r="D200">
            <v>-80095</v>
          </cell>
        </row>
        <row r="201">
          <cell r="A201" t="str">
            <v>109-002-001-0023</v>
          </cell>
          <cell r="B201" t="str">
            <v>abc I Tax</v>
          </cell>
          <cell r="C201">
            <v>4</v>
          </cell>
          <cell r="D201">
            <v>0</v>
          </cell>
        </row>
        <row r="202">
          <cell r="A202" t="str">
            <v>109-002-001-0024</v>
          </cell>
          <cell r="B202" t="str">
            <v>abc I Tax</v>
          </cell>
          <cell r="C202">
            <v>4</v>
          </cell>
          <cell r="D202">
            <v>0</v>
          </cell>
        </row>
        <row r="203">
          <cell r="A203" t="str">
            <v>109-002-001-0025</v>
          </cell>
          <cell r="B203" t="str">
            <v>abc I Tax</v>
          </cell>
          <cell r="C203">
            <v>4</v>
          </cell>
          <cell r="D203">
            <v>0</v>
          </cell>
        </row>
        <row r="204">
          <cell r="A204" t="str">
            <v>109-002-001-0026</v>
          </cell>
          <cell r="B204" t="str">
            <v>abc I Tax</v>
          </cell>
          <cell r="C204">
            <v>4</v>
          </cell>
          <cell r="D204">
            <v>0</v>
          </cell>
        </row>
        <row r="205">
          <cell r="A205" t="str">
            <v>109-002-001-0027</v>
          </cell>
          <cell r="B205" t="str">
            <v>abc I Tax</v>
          </cell>
          <cell r="C205">
            <v>4</v>
          </cell>
          <cell r="D205">
            <v>0</v>
          </cell>
        </row>
        <row r="206">
          <cell r="A206" t="str">
            <v>109-002-001-0028</v>
          </cell>
          <cell r="B206" t="str">
            <v>abc I Tax</v>
          </cell>
          <cell r="C206">
            <v>4</v>
          </cell>
          <cell r="D206">
            <v>0</v>
          </cell>
        </row>
        <row r="207">
          <cell r="A207" t="str">
            <v>109-002-001-0029</v>
          </cell>
          <cell r="B207" t="str">
            <v>abc I Tax</v>
          </cell>
          <cell r="C207">
            <v>4</v>
          </cell>
          <cell r="D207">
            <v>0</v>
          </cell>
        </row>
        <row r="208">
          <cell r="A208" t="str">
            <v>109-002-001-0030</v>
          </cell>
          <cell r="B208" t="str">
            <v>abc I Tax</v>
          </cell>
          <cell r="C208">
            <v>4</v>
          </cell>
          <cell r="D208">
            <v>0</v>
          </cell>
        </row>
        <row r="209">
          <cell r="A209" t="str">
            <v>109-002-001-0031</v>
          </cell>
          <cell r="B209" t="str">
            <v>abc I Tax</v>
          </cell>
          <cell r="C209">
            <v>4</v>
          </cell>
          <cell r="D209">
            <v>0</v>
          </cell>
        </row>
        <row r="210">
          <cell r="A210" t="str">
            <v>109-002-001-0032</v>
          </cell>
          <cell r="B210" t="str">
            <v>abc I Tax</v>
          </cell>
          <cell r="C210">
            <v>4</v>
          </cell>
          <cell r="D210">
            <v>0</v>
          </cell>
        </row>
        <row r="211">
          <cell r="A211" t="str">
            <v>109-002-001-0033</v>
          </cell>
          <cell r="B211" t="str">
            <v>abc I Tax</v>
          </cell>
          <cell r="C211">
            <v>4</v>
          </cell>
          <cell r="D211">
            <v>0</v>
          </cell>
        </row>
        <row r="212">
          <cell r="A212" t="str">
            <v>109-002-001-0034</v>
          </cell>
          <cell r="B212" t="str">
            <v>abc I Tax</v>
          </cell>
          <cell r="C212">
            <v>4</v>
          </cell>
          <cell r="D212">
            <v>0</v>
          </cell>
        </row>
        <row r="213">
          <cell r="A213" t="str">
            <v>109-002-001-0035</v>
          </cell>
          <cell r="B213" t="str">
            <v>abc I Tax</v>
          </cell>
          <cell r="C213">
            <v>4</v>
          </cell>
          <cell r="D213">
            <v>0</v>
          </cell>
        </row>
        <row r="214">
          <cell r="A214" t="str">
            <v>109-002-001-0036</v>
          </cell>
          <cell r="B214" t="str">
            <v>abc I Tax</v>
          </cell>
          <cell r="C214">
            <v>4</v>
          </cell>
          <cell r="D214">
            <v>0</v>
          </cell>
        </row>
        <row r="215">
          <cell r="A215" t="str">
            <v>109-002-001-0037</v>
          </cell>
          <cell r="B215" t="str">
            <v>abc I Tax</v>
          </cell>
          <cell r="C215">
            <v>4</v>
          </cell>
          <cell r="D215">
            <v>0</v>
          </cell>
        </row>
        <row r="216">
          <cell r="A216" t="str">
            <v>109-002-001-0038</v>
          </cell>
          <cell r="B216" t="str">
            <v>abc I Tax</v>
          </cell>
          <cell r="C216">
            <v>4</v>
          </cell>
          <cell r="D216">
            <v>0</v>
          </cell>
        </row>
        <row r="217">
          <cell r="A217" t="str">
            <v>109-002-001-0039</v>
          </cell>
          <cell r="B217" t="str">
            <v>abc I Tax</v>
          </cell>
          <cell r="C217">
            <v>4</v>
          </cell>
          <cell r="D217">
            <v>0</v>
          </cell>
        </row>
        <row r="218">
          <cell r="A218" t="str">
            <v>109-002-001-0040</v>
          </cell>
          <cell r="B218" t="str">
            <v>abc I Tax</v>
          </cell>
          <cell r="C218">
            <v>4</v>
          </cell>
          <cell r="D218">
            <v>0</v>
          </cell>
        </row>
        <row r="219">
          <cell r="A219" t="str">
            <v>109-002-001-0041</v>
          </cell>
          <cell r="B219" t="str">
            <v>abc I Tax</v>
          </cell>
          <cell r="C219">
            <v>4</v>
          </cell>
          <cell r="D219">
            <v>0</v>
          </cell>
        </row>
        <row r="220">
          <cell r="A220" t="str">
            <v>109-002-001-0042</v>
          </cell>
          <cell r="B220" t="str">
            <v>abc I Tax</v>
          </cell>
          <cell r="C220">
            <v>4</v>
          </cell>
          <cell r="D220">
            <v>0</v>
          </cell>
        </row>
        <row r="221">
          <cell r="A221" t="str">
            <v>109-002-001-0043</v>
          </cell>
          <cell r="B221" t="str">
            <v>abc I Tax</v>
          </cell>
          <cell r="C221">
            <v>4</v>
          </cell>
          <cell r="D221">
            <v>0</v>
          </cell>
        </row>
        <row r="222">
          <cell r="A222" t="str">
            <v>109-002-001-0044</v>
          </cell>
          <cell r="B222" t="str">
            <v>abc I Tax</v>
          </cell>
          <cell r="C222">
            <v>4</v>
          </cell>
          <cell r="D222">
            <v>0</v>
          </cell>
        </row>
        <row r="223">
          <cell r="A223" t="str">
            <v>109-002-001-0045</v>
          </cell>
          <cell r="B223" t="str">
            <v>abc I Tax</v>
          </cell>
          <cell r="C223">
            <v>4</v>
          </cell>
          <cell r="D223">
            <v>0</v>
          </cell>
        </row>
        <row r="224">
          <cell r="A224" t="str">
            <v>109-002-001-0046</v>
          </cell>
          <cell r="B224" t="str">
            <v>abc I Tax</v>
          </cell>
          <cell r="C224">
            <v>4</v>
          </cell>
          <cell r="D224">
            <v>0</v>
          </cell>
        </row>
        <row r="225">
          <cell r="A225" t="str">
            <v>109-002-001-0047</v>
          </cell>
          <cell r="B225" t="str">
            <v>abc I Tax</v>
          </cell>
          <cell r="C225">
            <v>4</v>
          </cell>
          <cell r="D225">
            <v>0</v>
          </cell>
        </row>
        <row r="226">
          <cell r="A226" t="str">
            <v>109-002-001-0049</v>
          </cell>
          <cell r="B226" t="str">
            <v>abc I Tax</v>
          </cell>
          <cell r="C226">
            <v>4</v>
          </cell>
          <cell r="D226">
            <v>0</v>
          </cell>
        </row>
        <row r="227">
          <cell r="A227" t="str">
            <v>109-002-001-0050</v>
          </cell>
          <cell r="B227" t="str">
            <v>abc I Tax</v>
          </cell>
          <cell r="C227">
            <v>4</v>
          </cell>
          <cell r="D227">
            <v>0</v>
          </cell>
        </row>
        <row r="228">
          <cell r="A228" t="str">
            <v>109-002-002-0000</v>
          </cell>
          <cell r="B228" t="str">
            <v>Creditors Construction Material Income Tax Payable</v>
          </cell>
          <cell r="C228">
            <v>3</v>
          </cell>
          <cell r="D228">
            <v>-3573</v>
          </cell>
        </row>
        <row r="229">
          <cell r="A229" t="str">
            <v>109-002-002-0001</v>
          </cell>
          <cell r="B229" t="str">
            <v>I.Tax M/S Fairdeal Enterprises</v>
          </cell>
          <cell r="C229">
            <v>4</v>
          </cell>
          <cell r="D229">
            <v>15000</v>
          </cell>
        </row>
        <row r="230">
          <cell r="A230" t="str">
            <v>109-002-002-0002</v>
          </cell>
          <cell r="B230" t="str">
            <v>sales tax M/S Fairdeal Enterprises</v>
          </cell>
          <cell r="C230">
            <v>4</v>
          </cell>
          <cell r="D230">
            <v>-18573</v>
          </cell>
        </row>
        <row r="231">
          <cell r="A231" t="str">
            <v>109-002-002-0003</v>
          </cell>
          <cell r="B231" t="str">
            <v>abc I Tax</v>
          </cell>
          <cell r="C231">
            <v>4</v>
          </cell>
          <cell r="D231">
            <v>0</v>
          </cell>
        </row>
        <row r="232">
          <cell r="A232" t="str">
            <v>109-002-002-0004</v>
          </cell>
          <cell r="B232" t="str">
            <v>abc I Tax</v>
          </cell>
          <cell r="C232">
            <v>4</v>
          </cell>
          <cell r="D232">
            <v>0</v>
          </cell>
        </row>
        <row r="233">
          <cell r="A233" t="str">
            <v>109-002-002-0005</v>
          </cell>
          <cell r="B233" t="str">
            <v>abc I Tax</v>
          </cell>
          <cell r="C233">
            <v>4</v>
          </cell>
          <cell r="D233">
            <v>0</v>
          </cell>
        </row>
        <row r="234">
          <cell r="A234" t="str">
            <v>109-002-002-0006</v>
          </cell>
          <cell r="B234" t="str">
            <v>abc I Tax</v>
          </cell>
          <cell r="C234">
            <v>4</v>
          </cell>
          <cell r="D234">
            <v>0</v>
          </cell>
        </row>
        <row r="235">
          <cell r="A235" t="str">
            <v>109-002-002-0007</v>
          </cell>
          <cell r="B235" t="str">
            <v>abc I Tax</v>
          </cell>
          <cell r="C235">
            <v>4</v>
          </cell>
          <cell r="D235">
            <v>0</v>
          </cell>
        </row>
        <row r="236">
          <cell r="A236" t="str">
            <v>109-002-002-0008</v>
          </cell>
          <cell r="B236" t="str">
            <v>abc I Tax</v>
          </cell>
          <cell r="C236">
            <v>4</v>
          </cell>
          <cell r="D236">
            <v>0</v>
          </cell>
        </row>
        <row r="237">
          <cell r="A237" t="str">
            <v>109-002-002-0009</v>
          </cell>
          <cell r="B237" t="str">
            <v>abc I Tax</v>
          </cell>
          <cell r="C237">
            <v>4</v>
          </cell>
          <cell r="D237">
            <v>0</v>
          </cell>
        </row>
        <row r="238">
          <cell r="A238" t="str">
            <v>109-002-002-0010</v>
          </cell>
          <cell r="B238" t="str">
            <v>abc I Tax</v>
          </cell>
          <cell r="C238">
            <v>4</v>
          </cell>
          <cell r="D238">
            <v>0</v>
          </cell>
        </row>
        <row r="239">
          <cell r="A239" t="str">
            <v>109-002-002-0011</v>
          </cell>
          <cell r="B239" t="str">
            <v>abc I Tax</v>
          </cell>
          <cell r="C239">
            <v>4</v>
          </cell>
          <cell r="D239">
            <v>0</v>
          </cell>
        </row>
        <row r="240">
          <cell r="A240" t="str">
            <v>109-002-002-0015</v>
          </cell>
          <cell r="B240" t="str">
            <v>abc I Tax</v>
          </cell>
          <cell r="C240">
            <v>4</v>
          </cell>
          <cell r="D240">
            <v>0</v>
          </cell>
        </row>
        <row r="241">
          <cell r="A241" t="str">
            <v>109-002-003-0000</v>
          </cell>
          <cell r="B241" t="str">
            <v>Creditores for Services/Misc Venders I.Tax Payable</v>
          </cell>
          <cell r="C241">
            <v>3</v>
          </cell>
          <cell r="D241">
            <v>-74019</v>
          </cell>
        </row>
        <row r="242">
          <cell r="A242" t="str">
            <v>109-002-003-0001</v>
          </cell>
          <cell r="B242" t="str">
            <v>I.Tax M/S Al.Rehman auto &amp; battery</v>
          </cell>
          <cell r="C242">
            <v>4</v>
          </cell>
          <cell r="D242">
            <v>0</v>
          </cell>
        </row>
        <row r="243">
          <cell r="A243" t="str">
            <v>109-002-003-0002</v>
          </cell>
          <cell r="B243" t="str">
            <v>G.S.T M/S Al.Rehman auto &amp; battery</v>
          </cell>
          <cell r="C243">
            <v>4</v>
          </cell>
          <cell r="D243">
            <v>0</v>
          </cell>
        </row>
        <row r="244">
          <cell r="A244" t="str">
            <v>109-002-003-0003</v>
          </cell>
          <cell r="B244" t="str">
            <v>I.Tax M/S Haris furnishers</v>
          </cell>
          <cell r="C244">
            <v>4</v>
          </cell>
          <cell r="D244">
            <v>-980</v>
          </cell>
        </row>
        <row r="245">
          <cell r="A245" t="str">
            <v>109-002-003-0004</v>
          </cell>
          <cell r="B245" t="str">
            <v>I.Tax M/S Muhmmadi Traders</v>
          </cell>
          <cell r="C245">
            <v>4</v>
          </cell>
          <cell r="D245">
            <v>-2709</v>
          </cell>
        </row>
        <row r="246">
          <cell r="A246" t="str">
            <v>109-002-003-0005</v>
          </cell>
          <cell r="B246" t="str">
            <v>I.Tax M/S D&amp;P Advertising</v>
          </cell>
          <cell r="C246">
            <v>4</v>
          </cell>
          <cell r="D246">
            <v>0</v>
          </cell>
        </row>
        <row r="247">
          <cell r="A247" t="str">
            <v>109-002-003-0006</v>
          </cell>
          <cell r="B247" t="str">
            <v>I.Tax M/S Brain Telecommunication</v>
          </cell>
          <cell r="C247">
            <v>4</v>
          </cell>
          <cell r="D247">
            <v>0</v>
          </cell>
        </row>
        <row r="248">
          <cell r="A248" t="str">
            <v>109-002-003-0007</v>
          </cell>
          <cell r="B248" t="str">
            <v xml:space="preserve"> I Tax M/S AAA Proj.Mgt.Consultants</v>
          </cell>
          <cell r="C248">
            <v>4</v>
          </cell>
          <cell r="D248">
            <v>0</v>
          </cell>
        </row>
        <row r="249">
          <cell r="A249" t="str">
            <v>109-002-003-0008</v>
          </cell>
          <cell r="B249" t="str">
            <v>abc I Tax</v>
          </cell>
          <cell r="C249">
            <v>4</v>
          </cell>
          <cell r="D249">
            <v>0</v>
          </cell>
        </row>
        <row r="250">
          <cell r="A250" t="str">
            <v>109-002-003-0009</v>
          </cell>
          <cell r="B250" t="str">
            <v>abc I Tax</v>
          </cell>
          <cell r="C250">
            <v>4</v>
          </cell>
          <cell r="D250">
            <v>0</v>
          </cell>
        </row>
        <row r="251">
          <cell r="A251" t="str">
            <v>109-002-003-0010</v>
          </cell>
          <cell r="B251" t="str">
            <v>I Tax Daud Venture</v>
          </cell>
          <cell r="C251">
            <v>4</v>
          </cell>
          <cell r="D251">
            <v>0</v>
          </cell>
        </row>
        <row r="252">
          <cell r="A252" t="str">
            <v>109-002-003-0011</v>
          </cell>
          <cell r="B252" t="str">
            <v>I Tax Metro Super Store</v>
          </cell>
          <cell r="C252">
            <v>4</v>
          </cell>
          <cell r="D252">
            <v>0</v>
          </cell>
        </row>
        <row r="253">
          <cell r="A253" t="str">
            <v>109-002-003-0012</v>
          </cell>
          <cell r="B253" t="str">
            <v xml:space="preserve"> I Tax M/S Aqeel Traders</v>
          </cell>
          <cell r="C253">
            <v>4</v>
          </cell>
          <cell r="D253">
            <v>0</v>
          </cell>
        </row>
        <row r="254">
          <cell r="A254" t="str">
            <v>109-002-003-0013</v>
          </cell>
          <cell r="B254" t="str">
            <v xml:space="preserve"> I Tax M/S Speed Engineering Services</v>
          </cell>
          <cell r="C254">
            <v>4</v>
          </cell>
          <cell r="D254">
            <v>0</v>
          </cell>
        </row>
        <row r="255">
          <cell r="A255" t="str">
            <v>109-002-003-0014</v>
          </cell>
          <cell r="B255" t="str">
            <v>sales Tax M/S Speed Engineering Services</v>
          </cell>
          <cell r="C255">
            <v>4</v>
          </cell>
          <cell r="D255">
            <v>0</v>
          </cell>
        </row>
        <row r="256">
          <cell r="A256" t="str">
            <v>109-002-003-0015</v>
          </cell>
          <cell r="B256" t="str">
            <v xml:space="preserve"> I Tax M/S Chughtai Engineers</v>
          </cell>
          <cell r="C256">
            <v>4</v>
          </cell>
          <cell r="D256">
            <v>-70330</v>
          </cell>
        </row>
        <row r="257">
          <cell r="A257" t="str">
            <v>109-002-003-0016</v>
          </cell>
          <cell r="B257" t="str">
            <v>abc I Tax</v>
          </cell>
          <cell r="C257">
            <v>4</v>
          </cell>
          <cell r="D257">
            <v>0</v>
          </cell>
        </row>
        <row r="258">
          <cell r="A258" t="str">
            <v>109-002-003-0017</v>
          </cell>
          <cell r="B258" t="str">
            <v>abc I Tax</v>
          </cell>
          <cell r="C258">
            <v>4</v>
          </cell>
          <cell r="D258">
            <v>0</v>
          </cell>
        </row>
        <row r="259">
          <cell r="A259" t="str">
            <v>109-002-003-0018</v>
          </cell>
          <cell r="B259" t="str">
            <v>abc I Tax</v>
          </cell>
          <cell r="C259">
            <v>4</v>
          </cell>
          <cell r="D259">
            <v>0</v>
          </cell>
        </row>
        <row r="260">
          <cell r="A260" t="str">
            <v>109-002-003-0019</v>
          </cell>
          <cell r="B260" t="str">
            <v>abc I Tax</v>
          </cell>
          <cell r="C260">
            <v>4</v>
          </cell>
          <cell r="D260">
            <v>0</v>
          </cell>
        </row>
        <row r="261">
          <cell r="A261" t="str">
            <v>109-002-003-0020</v>
          </cell>
          <cell r="B261" t="str">
            <v>abc I Tax</v>
          </cell>
          <cell r="C261">
            <v>4</v>
          </cell>
          <cell r="D261">
            <v>0</v>
          </cell>
        </row>
        <row r="262">
          <cell r="A262" t="str">
            <v>109-002-003-0021</v>
          </cell>
          <cell r="B262" t="str">
            <v>abc I Tax</v>
          </cell>
          <cell r="C262">
            <v>4</v>
          </cell>
          <cell r="D262">
            <v>0</v>
          </cell>
        </row>
        <row r="263">
          <cell r="A263" t="str">
            <v>109-002-003-0022</v>
          </cell>
          <cell r="B263" t="str">
            <v>abc I Tax</v>
          </cell>
          <cell r="C263">
            <v>4</v>
          </cell>
          <cell r="D263">
            <v>0</v>
          </cell>
        </row>
        <row r="264">
          <cell r="A264" t="str">
            <v>109-002-003-0023</v>
          </cell>
          <cell r="B264" t="str">
            <v>abc I Tax</v>
          </cell>
          <cell r="C264">
            <v>4</v>
          </cell>
          <cell r="D264">
            <v>0</v>
          </cell>
        </row>
        <row r="265">
          <cell r="A265" t="str">
            <v>109-002-003-0024</v>
          </cell>
          <cell r="B265" t="str">
            <v>abc I Tax</v>
          </cell>
          <cell r="C265">
            <v>4</v>
          </cell>
          <cell r="D265">
            <v>0</v>
          </cell>
        </row>
        <row r="266">
          <cell r="A266" t="str">
            <v>109-002-003-0025</v>
          </cell>
          <cell r="B266" t="str">
            <v>abc I Tax</v>
          </cell>
          <cell r="C266">
            <v>4</v>
          </cell>
          <cell r="D266">
            <v>0</v>
          </cell>
        </row>
        <row r="267">
          <cell r="A267" t="str">
            <v>109-002-003-0026</v>
          </cell>
          <cell r="B267" t="str">
            <v>abc I Tax</v>
          </cell>
          <cell r="C267">
            <v>4</v>
          </cell>
          <cell r="D267">
            <v>0</v>
          </cell>
        </row>
        <row r="268">
          <cell r="A268" t="str">
            <v>109-002-003-0027</v>
          </cell>
          <cell r="B268" t="str">
            <v>abc I Tax</v>
          </cell>
          <cell r="C268">
            <v>4</v>
          </cell>
          <cell r="D268">
            <v>0</v>
          </cell>
        </row>
        <row r="269">
          <cell r="A269" t="str">
            <v>109-002-003-0028</v>
          </cell>
          <cell r="B269" t="str">
            <v>abc I Tax</v>
          </cell>
          <cell r="C269">
            <v>4</v>
          </cell>
          <cell r="D269">
            <v>0</v>
          </cell>
        </row>
        <row r="270">
          <cell r="A270" t="str">
            <v>109-002-003-0029</v>
          </cell>
          <cell r="B270" t="str">
            <v>abc I Tax</v>
          </cell>
          <cell r="C270">
            <v>4</v>
          </cell>
          <cell r="D270">
            <v>0</v>
          </cell>
        </row>
        <row r="271">
          <cell r="A271" t="str">
            <v>109-002-003-0030</v>
          </cell>
          <cell r="B271" t="str">
            <v>abc I Tax</v>
          </cell>
          <cell r="C271">
            <v>4</v>
          </cell>
          <cell r="D271">
            <v>0</v>
          </cell>
        </row>
        <row r="272">
          <cell r="A272" t="str">
            <v>109-002-003-0031</v>
          </cell>
          <cell r="B272" t="str">
            <v>abc I Tax</v>
          </cell>
          <cell r="C272">
            <v>4</v>
          </cell>
          <cell r="D272">
            <v>0</v>
          </cell>
        </row>
        <row r="273">
          <cell r="A273" t="str">
            <v>109-002-003-0032</v>
          </cell>
          <cell r="B273" t="str">
            <v>abc I Tax</v>
          </cell>
          <cell r="C273">
            <v>4</v>
          </cell>
          <cell r="D273">
            <v>0</v>
          </cell>
        </row>
        <row r="274">
          <cell r="A274" t="str">
            <v>109-002-003-0033</v>
          </cell>
          <cell r="B274" t="str">
            <v>abc I Tax</v>
          </cell>
          <cell r="C274">
            <v>4</v>
          </cell>
          <cell r="D274">
            <v>0</v>
          </cell>
        </row>
        <row r="275">
          <cell r="A275" t="str">
            <v>109-002-003-0034</v>
          </cell>
          <cell r="B275" t="str">
            <v>abc I Tax</v>
          </cell>
          <cell r="C275">
            <v>4</v>
          </cell>
          <cell r="D275">
            <v>0</v>
          </cell>
        </row>
        <row r="276">
          <cell r="A276" t="str">
            <v>109-002-003-0035</v>
          </cell>
          <cell r="B276" t="str">
            <v>abc I Tax</v>
          </cell>
          <cell r="C276">
            <v>4</v>
          </cell>
          <cell r="D276">
            <v>0</v>
          </cell>
        </row>
        <row r="277">
          <cell r="A277" t="str">
            <v>109-002-003-0036</v>
          </cell>
          <cell r="B277" t="str">
            <v>abc I Tax</v>
          </cell>
          <cell r="C277">
            <v>4</v>
          </cell>
          <cell r="D277">
            <v>0</v>
          </cell>
        </row>
        <row r="278">
          <cell r="A278" t="str">
            <v>109-002-003-0037</v>
          </cell>
          <cell r="B278" t="str">
            <v>abc I Tax</v>
          </cell>
          <cell r="C278">
            <v>4</v>
          </cell>
          <cell r="D278">
            <v>0</v>
          </cell>
        </row>
        <row r="279">
          <cell r="A279" t="str">
            <v>109-002-003-0038</v>
          </cell>
          <cell r="B279" t="str">
            <v>abc I Tax</v>
          </cell>
          <cell r="C279">
            <v>4</v>
          </cell>
          <cell r="D279">
            <v>0</v>
          </cell>
        </row>
        <row r="280">
          <cell r="A280" t="str">
            <v>109-002-003-0039</v>
          </cell>
          <cell r="B280" t="str">
            <v>abc I Tax</v>
          </cell>
          <cell r="C280">
            <v>4</v>
          </cell>
          <cell r="D280">
            <v>0</v>
          </cell>
        </row>
        <row r="281">
          <cell r="A281" t="str">
            <v>109-002-003-0040</v>
          </cell>
          <cell r="B281" t="str">
            <v>abc I Tax</v>
          </cell>
          <cell r="C281">
            <v>4</v>
          </cell>
          <cell r="D281">
            <v>0</v>
          </cell>
        </row>
        <row r="282">
          <cell r="A282" t="str">
            <v>109-002-003-0041</v>
          </cell>
          <cell r="B282" t="str">
            <v>abc I Tax</v>
          </cell>
          <cell r="C282">
            <v>4</v>
          </cell>
          <cell r="D282">
            <v>0</v>
          </cell>
        </row>
        <row r="283">
          <cell r="A283" t="str">
            <v>109-002-003-0042</v>
          </cell>
          <cell r="B283" t="str">
            <v>abc I Tax</v>
          </cell>
          <cell r="C283">
            <v>4</v>
          </cell>
          <cell r="D283">
            <v>0</v>
          </cell>
        </row>
        <row r="284">
          <cell r="A284" t="str">
            <v>109-002-003-0043</v>
          </cell>
          <cell r="B284" t="str">
            <v>abc I Tax</v>
          </cell>
          <cell r="C284">
            <v>4</v>
          </cell>
          <cell r="D284">
            <v>0</v>
          </cell>
        </row>
        <row r="285">
          <cell r="A285" t="str">
            <v>109-002-003-0044</v>
          </cell>
          <cell r="B285" t="str">
            <v>abc I Tax</v>
          </cell>
          <cell r="C285">
            <v>4</v>
          </cell>
          <cell r="D285">
            <v>0</v>
          </cell>
        </row>
        <row r="286">
          <cell r="A286" t="str">
            <v>109-002-003-0045</v>
          </cell>
          <cell r="B286" t="str">
            <v>abc I Tax</v>
          </cell>
          <cell r="C286">
            <v>4</v>
          </cell>
          <cell r="D286">
            <v>0</v>
          </cell>
        </row>
        <row r="287">
          <cell r="A287" t="str">
            <v>109-002-003-0046</v>
          </cell>
          <cell r="B287" t="str">
            <v>abc I Tax</v>
          </cell>
          <cell r="C287">
            <v>4</v>
          </cell>
          <cell r="D287">
            <v>0</v>
          </cell>
        </row>
        <row r="288">
          <cell r="A288" t="str">
            <v>109-002-003-0047</v>
          </cell>
          <cell r="B288" t="str">
            <v>abc I Tax</v>
          </cell>
          <cell r="C288">
            <v>4</v>
          </cell>
          <cell r="D288">
            <v>0</v>
          </cell>
        </row>
        <row r="289">
          <cell r="A289" t="str">
            <v>109-002-003-0048</v>
          </cell>
          <cell r="B289" t="str">
            <v>abc I Tax</v>
          </cell>
          <cell r="C289">
            <v>4</v>
          </cell>
          <cell r="D289">
            <v>0</v>
          </cell>
        </row>
        <row r="290">
          <cell r="A290" t="str">
            <v>109-002-003-0049</v>
          </cell>
          <cell r="B290" t="str">
            <v>abc I Tax</v>
          </cell>
          <cell r="C290">
            <v>4</v>
          </cell>
          <cell r="D290">
            <v>0</v>
          </cell>
        </row>
        <row r="291">
          <cell r="A291" t="str">
            <v>109-002-003-0050</v>
          </cell>
          <cell r="B291" t="str">
            <v>abc I Tax</v>
          </cell>
          <cell r="C291">
            <v>4</v>
          </cell>
          <cell r="D291">
            <v>0</v>
          </cell>
        </row>
        <row r="292">
          <cell r="A292" t="str">
            <v>109-002-011-0000</v>
          </cell>
          <cell r="B292" t="str">
            <v>Employees Income Tax Payable</v>
          </cell>
          <cell r="C292">
            <v>3</v>
          </cell>
          <cell r="D292">
            <v>0</v>
          </cell>
        </row>
        <row r="293">
          <cell r="A293" t="str">
            <v>109-002-011-0001</v>
          </cell>
          <cell r="B293" t="str">
            <v>Army Officers  Income Tax Payable</v>
          </cell>
          <cell r="C293">
            <v>4</v>
          </cell>
          <cell r="D293">
            <v>0</v>
          </cell>
        </row>
        <row r="294">
          <cell r="A294" t="str">
            <v>109-002-011-0002</v>
          </cell>
          <cell r="B294" t="str">
            <v>Civilian Staff  Income Tax Payable</v>
          </cell>
          <cell r="C294">
            <v>4</v>
          </cell>
          <cell r="D294">
            <v>0</v>
          </cell>
        </row>
        <row r="295">
          <cell r="A295" t="str">
            <v>109-002-011-0003</v>
          </cell>
          <cell r="B295" t="str">
            <v>JCO's/OR's  Income Tax Payable</v>
          </cell>
          <cell r="C295">
            <v>4</v>
          </cell>
          <cell r="D295">
            <v>0</v>
          </cell>
        </row>
        <row r="296">
          <cell r="A296" t="str">
            <v>109-003-000-0000</v>
          </cell>
          <cell r="B296" t="str">
            <v>Mobilization advance from client</v>
          </cell>
          <cell r="C296">
            <v>3</v>
          </cell>
          <cell r="D296">
            <v>0</v>
          </cell>
        </row>
        <row r="297">
          <cell r="A297" t="str">
            <v>109-003-001-0000</v>
          </cell>
          <cell r="B297" t="str">
            <v>Mobilization advance from client</v>
          </cell>
          <cell r="C297">
            <v>3</v>
          </cell>
          <cell r="D297">
            <v>0</v>
          </cell>
        </row>
        <row r="298">
          <cell r="A298" t="str">
            <v>109-003-001-0001</v>
          </cell>
          <cell r="B298" t="str">
            <v>Mobilization advance from client</v>
          </cell>
          <cell r="C298">
            <v>4</v>
          </cell>
          <cell r="D298">
            <v>0</v>
          </cell>
        </row>
        <row r="299">
          <cell r="A299" t="str">
            <v>109-003-002-0000</v>
          </cell>
          <cell r="B299" t="str">
            <v>JCO's /OR's Staff D.S.O.P. Fund Payable</v>
          </cell>
          <cell r="C299">
            <v>3</v>
          </cell>
          <cell r="D299">
            <v>0</v>
          </cell>
        </row>
        <row r="300">
          <cell r="A300" t="str">
            <v>109-004-000-0000</v>
          </cell>
          <cell r="B300" t="str">
            <v>Benevelovent Fund Payable</v>
          </cell>
          <cell r="C300">
            <v>2</v>
          </cell>
          <cell r="D300">
            <v>0</v>
          </cell>
        </row>
        <row r="301">
          <cell r="A301" t="str">
            <v>109-004-001-0000</v>
          </cell>
          <cell r="B301" t="str">
            <v>Army Officers Benevelovent Fund Payable</v>
          </cell>
          <cell r="C301">
            <v>3</v>
          </cell>
          <cell r="D301">
            <v>0</v>
          </cell>
        </row>
        <row r="302">
          <cell r="A302" t="str">
            <v>109-004-002-0000</v>
          </cell>
          <cell r="B302" t="str">
            <v>Civilian Staff Benevelovent Fund Payable</v>
          </cell>
          <cell r="C302">
            <v>3</v>
          </cell>
          <cell r="D302">
            <v>0</v>
          </cell>
        </row>
        <row r="303">
          <cell r="A303" t="str">
            <v>109-004-003-0000</v>
          </cell>
          <cell r="B303" t="str">
            <v>JCO's/OR's Staff Benevelovent Fund Payable</v>
          </cell>
          <cell r="C303">
            <v>3</v>
          </cell>
          <cell r="D303">
            <v>0</v>
          </cell>
        </row>
        <row r="304">
          <cell r="A304" t="str">
            <v>109-004-003-0001</v>
          </cell>
          <cell r="B304" t="str">
            <v>JCO's/OR's Staff Benevelovent Fund Payable</v>
          </cell>
          <cell r="C304">
            <v>4</v>
          </cell>
          <cell r="D304">
            <v>0</v>
          </cell>
        </row>
        <row r="305">
          <cell r="A305" t="str">
            <v>109-005-000-0000</v>
          </cell>
          <cell r="B305" t="str">
            <v>Accured Charges</v>
          </cell>
          <cell r="C305">
            <v>2</v>
          </cell>
          <cell r="D305">
            <v>209560</v>
          </cell>
        </row>
        <row r="306">
          <cell r="A306" t="str">
            <v>109-005-001-0000</v>
          </cell>
          <cell r="B306" t="str">
            <v>Muster Rolls Payable</v>
          </cell>
          <cell r="C306">
            <v>3</v>
          </cell>
          <cell r="D306">
            <v>209560</v>
          </cell>
        </row>
        <row r="307">
          <cell r="A307" t="str">
            <v>109-005-001-0001</v>
          </cell>
          <cell r="B307" t="str">
            <v>Muster Rolls Payable DHA Rahber</v>
          </cell>
          <cell r="C307">
            <v>4</v>
          </cell>
          <cell r="D307">
            <v>209560</v>
          </cell>
        </row>
        <row r="308">
          <cell r="A308" t="str">
            <v>109-005-001-0002</v>
          </cell>
          <cell r="B308" t="str">
            <v>Muster Rolls Payable OFC Project</v>
          </cell>
          <cell r="C308">
            <v>4</v>
          </cell>
          <cell r="D308">
            <v>0</v>
          </cell>
        </row>
        <row r="309">
          <cell r="A309" t="str">
            <v>109-005-002-0000</v>
          </cell>
          <cell r="B309" t="str">
            <v>Army Officers Salaries Payable</v>
          </cell>
          <cell r="C309">
            <v>3</v>
          </cell>
          <cell r="D309">
            <v>0</v>
          </cell>
        </row>
        <row r="310">
          <cell r="A310" t="str">
            <v>109-005-002-0001</v>
          </cell>
          <cell r="B310" t="str">
            <v>Army Officers Salaries Payable</v>
          </cell>
          <cell r="C310">
            <v>4</v>
          </cell>
          <cell r="D310">
            <v>0</v>
          </cell>
        </row>
        <row r="311">
          <cell r="A311" t="str">
            <v>109-005-003-0000</v>
          </cell>
          <cell r="B311" t="str">
            <v>Civilian Staff Salaries Payable</v>
          </cell>
          <cell r="C311">
            <v>3</v>
          </cell>
          <cell r="D311">
            <v>0</v>
          </cell>
        </row>
        <row r="312">
          <cell r="A312" t="str">
            <v>109-005-003-0001</v>
          </cell>
          <cell r="B312" t="str">
            <v>Civilian Staff Salaries Payable</v>
          </cell>
          <cell r="C312">
            <v>4</v>
          </cell>
          <cell r="D312">
            <v>0</v>
          </cell>
        </row>
        <row r="313">
          <cell r="A313" t="str">
            <v>109-005-004-0000</v>
          </cell>
          <cell r="B313" t="str">
            <v>JCO's /OR's Staff Salaries Payable</v>
          </cell>
          <cell r="C313">
            <v>3</v>
          </cell>
          <cell r="D313">
            <v>0</v>
          </cell>
        </row>
        <row r="314">
          <cell r="A314" t="str">
            <v>109-005-004-0001</v>
          </cell>
          <cell r="B314" t="str">
            <v>JCO's /OR's Staff Salaries Payable</v>
          </cell>
          <cell r="C314">
            <v>4</v>
          </cell>
          <cell r="D314">
            <v>0</v>
          </cell>
        </row>
        <row r="315">
          <cell r="A315" t="str">
            <v>109-005-005-0000</v>
          </cell>
          <cell r="B315" t="str">
            <v>Electricity Payable</v>
          </cell>
          <cell r="C315">
            <v>3</v>
          </cell>
          <cell r="D315">
            <v>0</v>
          </cell>
        </row>
        <row r="316">
          <cell r="A316" t="str">
            <v>109-005-005-0001</v>
          </cell>
          <cell r="B316" t="str">
            <v>Electricity Charges Payable</v>
          </cell>
          <cell r="C316">
            <v>4</v>
          </cell>
          <cell r="D316">
            <v>0</v>
          </cell>
        </row>
        <row r="317">
          <cell r="A317" t="str">
            <v>109-005-006-0000</v>
          </cell>
          <cell r="B317" t="str">
            <v>Water charges Payable</v>
          </cell>
          <cell r="C317">
            <v>3</v>
          </cell>
          <cell r="D317">
            <v>0</v>
          </cell>
        </row>
        <row r="318">
          <cell r="A318" t="str">
            <v>109-005-006-0001</v>
          </cell>
          <cell r="B318" t="str">
            <v>Water Charges  Payable</v>
          </cell>
          <cell r="C318">
            <v>4</v>
          </cell>
          <cell r="D318">
            <v>0</v>
          </cell>
        </row>
        <row r="319">
          <cell r="A319" t="str">
            <v>109-005-007-0000</v>
          </cell>
          <cell r="B319" t="str">
            <v>Gas charges Payable</v>
          </cell>
          <cell r="C319">
            <v>3</v>
          </cell>
          <cell r="D319">
            <v>0</v>
          </cell>
        </row>
        <row r="320">
          <cell r="A320" t="str">
            <v>109-005-007-0001</v>
          </cell>
          <cell r="B320" t="str">
            <v>Gas charges Payable</v>
          </cell>
          <cell r="C320">
            <v>4</v>
          </cell>
          <cell r="D320">
            <v>0</v>
          </cell>
        </row>
        <row r="321">
          <cell r="A321" t="str">
            <v>109-005-008-0000</v>
          </cell>
          <cell r="B321" t="str">
            <v>Telephone Charges Payable</v>
          </cell>
          <cell r="C321">
            <v>3</v>
          </cell>
          <cell r="D321">
            <v>0</v>
          </cell>
        </row>
        <row r="322">
          <cell r="A322" t="str">
            <v>109-005-008-0001</v>
          </cell>
          <cell r="B322" t="str">
            <v>Telephone Charges Payable</v>
          </cell>
          <cell r="C322">
            <v>4</v>
          </cell>
          <cell r="D322">
            <v>0</v>
          </cell>
        </row>
        <row r="323">
          <cell r="A323" t="str">
            <v>109-005-009-0000</v>
          </cell>
          <cell r="B323" t="str">
            <v>Mobile Phone Charges Payable</v>
          </cell>
          <cell r="C323">
            <v>3</v>
          </cell>
          <cell r="D323">
            <v>0</v>
          </cell>
        </row>
        <row r="324">
          <cell r="A324" t="str">
            <v>109-005-009-0001</v>
          </cell>
          <cell r="B324" t="str">
            <v>Mobile Phone Charges Payable</v>
          </cell>
          <cell r="C324">
            <v>4</v>
          </cell>
          <cell r="D324">
            <v>0</v>
          </cell>
        </row>
        <row r="325">
          <cell r="A325" t="str">
            <v>109-005-010-0000</v>
          </cell>
          <cell r="B325" t="str">
            <v>Fax Charges Payable</v>
          </cell>
          <cell r="C325">
            <v>3</v>
          </cell>
          <cell r="D325">
            <v>0</v>
          </cell>
        </row>
        <row r="326">
          <cell r="A326" t="str">
            <v>109-005-010-0001</v>
          </cell>
          <cell r="B326" t="str">
            <v>Fax Charges Payable</v>
          </cell>
          <cell r="C326">
            <v>4</v>
          </cell>
          <cell r="D326">
            <v>0</v>
          </cell>
        </row>
        <row r="327">
          <cell r="A327" t="str">
            <v>109-005-011-0000</v>
          </cell>
          <cell r="B327" t="str">
            <v>Medical Charges Payable</v>
          </cell>
          <cell r="C327">
            <v>3</v>
          </cell>
          <cell r="D327">
            <v>0</v>
          </cell>
        </row>
        <row r="328">
          <cell r="A328" t="str">
            <v>109-005-011-0001</v>
          </cell>
          <cell r="B328" t="str">
            <v>Medical Charges Payable</v>
          </cell>
          <cell r="C328">
            <v>4</v>
          </cell>
          <cell r="D328">
            <v>0</v>
          </cell>
        </row>
        <row r="329">
          <cell r="A329" t="str">
            <v>109-005-012-0000</v>
          </cell>
          <cell r="B329" t="str">
            <v>Vehicle Running Expenses Payable</v>
          </cell>
          <cell r="C329">
            <v>3</v>
          </cell>
          <cell r="D329">
            <v>0</v>
          </cell>
        </row>
        <row r="330">
          <cell r="A330" t="str">
            <v>109-005-012-0001</v>
          </cell>
          <cell r="B330" t="str">
            <v>Vehicle Running Expenses Payable</v>
          </cell>
          <cell r="C330">
            <v>4</v>
          </cell>
          <cell r="D330">
            <v>0</v>
          </cell>
        </row>
        <row r="331">
          <cell r="A331" t="str">
            <v>109-005-013-0000</v>
          </cell>
          <cell r="B331" t="str">
            <v>Printing, Stationery and Newspaper Expenses</v>
          </cell>
          <cell r="C331">
            <v>3</v>
          </cell>
          <cell r="D331">
            <v>0</v>
          </cell>
        </row>
        <row r="332">
          <cell r="A332" t="str">
            <v>109-005-013-0001</v>
          </cell>
          <cell r="B332" t="str">
            <v>Printing, Stationery and Newspaper Expenses</v>
          </cell>
          <cell r="C332">
            <v>4</v>
          </cell>
          <cell r="D332">
            <v>0</v>
          </cell>
        </row>
        <row r="333">
          <cell r="A333" t="str">
            <v>109-005-014-0000</v>
          </cell>
          <cell r="B333" t="str">
            <v>Repair and Maintenance Expense Payable</v>
          </cell>
          <cell r="C333">
            <v>3</v>
          </cell>
          <cell r="D333">
            <v>0</v>
          </cell>
        </row>
        <row r="334">
          <cell r="A334" t="str">
            <v>109-005-014-0001</v>
          </cell>
          <cell r="B334" t="str">
            <v>Repair and Maintenance Expense Payable</v>
          </cell>
          <cell r="C334">
            <v>4</v>
          </cell>
          <cell r="D334">
            <v>0</v>
          </cell>
        </row>
        <row r="335">
          <cell r="A335" t="str">
            <v>109-005-015-0000</v>
          </cell>
          <cell r="B335" t="str">
            <v>Legal and Professional Charges</v>
          </cell>
          <cell r="C335">
            <v>3</v>
          </cell>
          <cell r="D335">
            <v>0</v>
          </cell>
        </row>
        <row r="336">
          <cell r="A336" t="str">
            <v>109-005-015-0001</v>
          </cell>
          <cell r="B336" t="str">
            <v>Legal and Professional Charges Payable</v>
          </cell>
          <cell r="C336">
            <v>4</v>
          </cell>
          <cell r="D336">
            <v>0</v>
          </cell>
        </row>
        <row r="337">
          <cell r="A337" t="str">
            <v>109-005-016-0000</v>
          </cell>
          <cell r="B337" t="str">
            <v>Rent, Rate and Taxes Payable</v>
          </cell>
          <cell r="C337">
            <v>3</v>
          </cell>
          <cell r="D337">
            <v>0</v>
          </cell>
        </row>
        <row r="338">
          <cell r="A338" t="str">
            <v>109-005-016-0001</v>
          </cell>
          <cell r="B338" t="str">
            <v>Rent, Rate and Taxes Payable</v>
          </cell>
          <cell r="C338">
            <v>4</v>
          </cell>
          <cell r="D338">
            <v>0</v>
          </cell>
        </row>
        <row r="339">
          <cell r="A339" t="str">
            <v>109-005-017-0000</v>
          </cell>
          <cell r="B339" t="str">
            <v>Miscellaneous Expenses Payable</v>
          </cell>
          <cell r="C339">
            <v>3</v>
          </cell>
          <cell r="D339">
            <v>0</v>
          </cell>
        </row>
        <row r="340">
          <cell r="A340" t="str">
            <v>109-005-017-0001</v>
          </cell>
          <cell r="B340" t="str">
            <v>Miscellaneous Expenses Payable</v>
          </cell>
          <cell r="C340">
            <v>4</v>
          </cell>
          <cell r="D340">
            <v>0</v>
          </cell>
        </row>
        <row r="341">
          <cell r="A341" t="str">
            <v>109-005-018-0000</v>
          </cell>
          <cell r="B341" t="str">
            <v>Mark up/Interest Payable</v>
          </cell>
          <cell r="C341">
            <v>3</v>
          </cell>
          <cell r="D341">
            <v>0</v>
          </cell>
        </row>
        <row r="342">
          <cell r="A342" t="str">
            <v>109-005-018-0001</v>
          </cell>
          <cell r="B342" t="str">
            <v>Interest on long term loans Payable</v>
          </cell>
          <cell r="C342">
            <v>4</v>
          </cell>
          <cell r="D342">
            <v>0</v>
          </cell>
        </row>
        <row r="343">
          <cell r="A343" t="str">
            <v>109-005-018-0002</v>
          </cell>
          <cell r="B343" t="str">
            <v>Interest on liabilities under finance lease Payabl</v>
          </cell>
          <cell r="C343">
            <v>4</v>
          </cell>
          <cell r="D343">
            <v>0</v>
          </cell>
        </row>
        <row r="344">
          <cell r="A344" t="str">
            <v>109-005-018-0003</v>
          </cell>
          <cell r="B344" t="str">
            <v>Interest on short term running finance Payable</v>
          </cell>
          <cell r="C344">
            <v>4</v>
          </cell>
          <cell r="D344">
            <v>0</v>
          </cell>
        </row>
        <row r="345">
          <cell r="A345" t="str">
            <v>109-005-018-0004</v>
          </cell>
          <cell r="B345" t="str">
            <v>Bank Guarantee Commission Payable</v>
          </cell>
          <cell r="C345">
            <v>4</v>
          </cell>
          <cell r="D345">
            <v>0</v>
          </cell>
        </row>
        <row r="346">
          <cell r="A346" t="str">
            <v>109-005-018-0005</v>
          </cell>
          <cell r="B346" t="str">
            <v>Mark up payable to HQ NLC on Project Financing</v>
          </cell>
          <cell r="C346">
            <v>4</v>
          </cell>
          <cell r="D346">
            <v>0</v>
          </cell>
        </row>
        <row r="347">
          <cell r="A347" t="str">
            <v>109-005-019-0000</v>
          </cell>
          <cell r="B347" t="str">
            <v>Excise Duty On PLS Bank Accounts Payable</v>
          </cell>
          <cell r="C347">
            <v>3</v>
          </cell>
          <cell r="D347">
            <v>0</v>
          </cell>
        </row>
        <row r="348">
          <cell r="A348" t="str">
            <v>109-005-020-0000</v>
          </cell>
          <cell r="B348" t="str">
            <v>Excise Duty On Saving Bank Accounts Payable</v>
          </cell>
          <cell r="C348">
            <v>3</v>
          </cell>
          <cell r="D348">
            <v>0</v>
          </cell>
        </row>
        <row r="349">
          <cell r="A349" t="str">
            <v>109-005-021-0000</v>
          </cell>
          <cell r="B349" t="str">
            <v>Excise Duty On Cueeent Bank Accounts Payable</v>
          </cell>
          <cell r="C349">
            <v>3</v>
          </cell>
          <cell r="D349">
            <v>0</v>
          </cell>
        </row>
        <row r="350">
          <cell r="A350" t="str">
            <v>109-005-022-0000</v>
          </cell>
          <cell r="B350" t="str">
            <v>Excise Duty On Term Deposit Accounts Payable</v>
          </cell>
          <cell r="C350">
            <v>3</v>
          </cell>
          <cell r="D350">
            <v>0</v>
          </cell>
        </row>
        <row r="351">
          <cell r="A351" t="str">
            <v>109-005-023-0000</v>
          </cell>
          <cell r="B351" t="str">
            <v>Bank Charges On PLS Account Payable</v>
          </cell>
          <cell r="C351">
            <v>3</v>
          </cell>
          <cell r="D351">
            <v>0</v>
          </cell>
        </row>
        <row r="352">
          <cell r="A352" t="str">
            <v>109-005-023-0001</v>
          </cell>
          <cell r="B352" t="str">
            <v>Bank Charges</v>
          </cell>
          <cell r="C352">
            <v>4</v>
          </cell>
          <cell r="D352">
            <v>0</v>
          </cell>
        </row>
        <row r="353">
          <cell r="A353" t="str">
            <v>109-005-024-0000</v>
          </cell>
          <cell r="B353" t="str">
            <v>Bank Charges Of Saving Bank Accounts Payable</v>
          </cell>
          <cell r="C353">
            <v>3</v>
          </cell>
          <cell r="D353">
            <v>0</v>
          </cell>
        </row>
        <row r="354">
          <cell r="A354" t="str">
            <v>109-005-025-0000</v>
          </cell>
          <cell r="B354" t="str">
            <v>Bank Charges Of Current Bank Accounts Payable</v>
          </cell>
          <cell r="C354">
            <v>3</v>
          </cell>
          <cell r="D354">
            <v>0</v>
          </cell>
        </row>
        <row r="355">
          <cell r="A355" t="str">
            <v>109-005-026-0000</v>
          </cell>
          <cell r="B355" t="str">
            <v>Bank Charges Of Term Deposit Accounts Payable</v>
          </cell>
          <cell r="C355">
            <v>3</v>
          </cell>
          <cell r="D355">
            <v>0</v>
          </cell>
        </row>
        <row r="356">
          <cell r="A356" t="str">
            <v>109-006-000-0000</v>
          </cell>
          <cell r="B356" t="str">
            <v>Other Liabilties</v>
          </cell>
          <cell r="C356">
            <v>2</v>
          </cell>
          <cell r="D356">
            <v>-13712683</v>
          </cell>
        </row>
        <row r="357">
          <cell r="A357" t="str">
            <v>109-006-001-0000</v>
          </cell>
          <cell r="B357" t="str">
            <v>Other Liabilties</v>
          </cell>
          <cell r="C357">
            <v>3</v>
          </cell>
          <cell r="D357">
            <v>-2959811</v>
          </cell>
        </row>
        <row r="358">
          <cell r="A358" t="str">
            <v>109-006-001-0001</v>
          </cell>
          <cell r="B358" t="str">
            <v>Retention Money</v>
          </cell>
          <cell r="C358">
            <v>4</v>
          </cell>
          <cell r="D358">
            <v>-80976</v>
          </cell>
        </row>
        <row r="359">
          <cell r="A359" t="str">
            <v>109-006-001-0002</v>
          </cell>
          <cell r="B359" t="str">
            <v>Retention Money</v>
          </cell>
          <cell r="C359">
            <v>4</v>
          </cell>
          <cell r="D359">
            <v>0</v>
          </cell>
        </row>
        <row r="360">
          <cell r="A360" t="str">
            <v>109-006-001-0003</v>
          </cell>
          <cell r="B360" t="str">
            <v>Retention Money Javaid Ali&amp; Co</v>
          </cell>
          <cell r="C360">
            <v>4</v>
          </cell>
          <cell r="D360">
            <v>-1811675</v>
          </cell>
        </row>
        <row r="361">
          <cell r="A361" t="str">
            <v>109-006-001-0004</v>
          </cell>
          <cell r="B361" t="str">
            <v>Retention Money M/S Asif Builders</v>
          </cell>
          <cell r="C361">
            <v>4</v>
          </cell>
          <cell r="D361">
            <v>-511661</v>
          </cell>
        </row>
        <row r="362">
          <cell r="A362" t="str">
            <v>109-006-001-0005</v>
          </cell>
          <cell r="B362" t="str">
            <v>Retention Money M/S FairDeal Enterprises</v>
          </cell>
          <cell r="C362">
            <v>4</v>
          </cell>
          <cell r="D362">
            <v>-12309</v>
          </cell>
        </row>
        <row r="363">
          <cell r="A363" t="str">
            <v>109-006-001-0006</v>
          </cell>
          <cell r="B363" t="str">
            <v>Retention Money M/S Young Engrs</v>
          </cell>
          <cell r="C363">
            <v>4</v>
          </cell>
          <cell r="D363">
            <v>0</v>
          </cell>
        </row>
        <row r="364">
          <cell r="A364" t="str">
            <v>109-006-001-0007</v>
          </cell>
          <cell r="B364" t="str">
            <v>Retention Money M/ S AKB &amp; Co</v>
          </cell>
          <cell r="C364">
            <v>4</v>
          </cell>
          <cell r="D364">
            <v>0</v>
          </cell>
        </row>
        <row r="365">
          <cell r="A365" t="str">
            <v>109-006-001-0008</v>
          </cell>
          <cell r="B365" t="str">
            <v>Retention Money  M/S Orbit Constr CO</v>
          </cell>
          <cell r="C365">
            <v>4</v>
          </cell>
          <cell r="D365">
            <v>0</v>
          </cell>
        </row>
        <row r="366">
          <cell r="A366" t="str">
            <v>109-006-001-0009</v>
          </cell>
          <cell r="B366" t="str">
            <v>Retention Money M/S Nariman Const</v>
          </cell>
          <cell r="C366">
            <v>4</v>
          </cell>
          <cell r="D366">
            <v>0</v>
          </cell>
        </row>
        <row r="367">
          <cell r="A367" t="str">
            <v>109-006-001-0010</v>
          </cell>
          <cell r="B367" t="str">
            <v>Retention Money M/S International Industries</v>
          </cell>
          <cell r="C367">
            <v>4</v>
          </cell>
          <cell r="D367">
            <v>0</v>
          </cell>
        </row>
        <row r="368">
          <cell r="A368" t="str">
            <v>109-006-001-0011</v>
          </cell>
          <cell r="B368" t="str">
            <v>Retention Money M/S Zahir SHAH Khan</v>
          </cell>
          <cell r="C368">
            <v>4</v>
          </cell>
          <cell r="D368">
            <v>0</v>
          </cell>
        </row>
        <row r="369">
          <cell r="A369" t="str">
            <v>109-006-001-0012</v>
          </cell>
          <cell r="B369" t="str">
            <v>Retention Money M/S Hamza Ali Khan</v>
          </cell>
          <cell r="C369">
            <v>4</v>
          </cell>
          <cell r="D369">
            <v>0</v>
          </cell>
        </row>
        <row r="370">
          <cell r="A370" t="str">
            <v>109-006-001-0013</v>
          </cell>
          <cell r="B370" t="str">
            <v>Retention Money M.H.Assocites</v>
          </cell>
          <cell r="C370">
            <v>4</v>
          </cell>
          <cell r="D370">
            <v>-347827</v>
          </cell>
        </row>
        <row r="371">
          <cell r="A371" t="str">
            <v>109-006-001-0014</v>
          </cell>
          <cell r="B371" t="str">
            <v>Retention Money</v>
          </cell>
          <cell r="C371">
            <v>4</v>
          </cell>
          <cell r="D371">
            <v>0</v>
          </cell>
        </row>
        <row r="372">
          <cell r="A372" t="str">
            <v>109-006-001-0015</v>
          </cell>
          <cell r="B372" t="str">
            <v>Retention Money Hamza Ali khan</v>
          </cell>
          <cell r="C372">
            <v>4</v>
          </cell>
          <cell r="D372">
            <v>0</v>
          </cell>
        </row>
        <row r="373">
          <cell r="A373" t="str">
            <v>109-006-001-0016</v>
          </cell>
          <cell r="B373" t="str">
            <v>Retention money M/S Moeen Ullah Marwat</v>
          </cell>
          <cell r="C373">
            <v>4</v>
          </cell>
          <cell r="D373">
            <v>0</v>
          </cell>
        </row>
        <row r="374">
          <cell r="A374" t="str">
            <v>109-006-001-0017</v>
          </cell>
          <cell r="B374" t="str">
            <v>Retention money Faisal Steel corparation</v>
          </cell>
          <cell r="C374">
            <v>4</v>
          </cell>
          <cell r="D374">
            <v>0</v>
          </cell>
        </row>
        <row r="375">
          <cell r="A375" t="str">
            <v>109-006-001-0018</v>
          </cell>
          <cell r="B375" t="str">
            <v>Retention money Tycon security</v>
          </cell>
          <cell r="C375">
            <v>4</v>
          </cell>
          <cell r="D375">
            <v>0</v>
          </cell>
        </row>
        <row r="376">
          <cell r="A376" t="str">
            <v>109-006-001-0019</v>
          </cell>
          <cell r="B376" t="str">
            <v>Retention Money Farooq Sandhu</v>
          </cell>
          <cell r="C376">
            <v>4</v>
          </cell>
          <cell r="D376">
            <v>0</v>
          </cell>
        </row>
        <row r="377">
          <cell r="A377" t="str">
            <v>109-006-001-0020</v>
          </cell>
          <cell r="B377" t="str">
            <v>Retention Money  M/S Behram Khan</v>
          </cell>
          <cell r="C377">
            <v>4</v>
          </cell>
          <cell r="D377">
            <v>0</v>
          </cell>
        </row>
        <row r="378">
          <cell r="A378" t="str">
            <v>109-006-001-0021</v>
          </cell>
          <cell r="B378" t="str">
            <v>Retention Money  Zari Construction</v>
          </cell>
          <cell r="C378">
            <v>4</v>
          </cell>
          <cell r="D378">
            <v>0</v>
          </cell>
        </row>
        <row r="379">
          <cell r="A379" t="str">
            <v>109-006-001-0022</v>
          </cell>
          <cell r="B379" t="str">
            <v>Retention Money AKB &amp;CO</v>
          </cell>
          <cell r="C379">
            <v>4</v>
          </cell>
          <cell r="D379">
            <v>0</v>
          </cell>
        </row>
        <row r="380">
          <cell r="A380" t="str">
            <v>109-006-001-0023</v>
          </cell>
          <cell r="B380" t="str">
            <v>Retention Money Chughtai Engineers</v>
          </cell>
          <cell r="C380">
            <v>4</v>
          </cell>
          <cell r="D380">
            <v>-195363</v>
          </cell>
        </row>
        <row r="381">
          <cell r="A381" t="str">
            <v>109-006-001-0024</v>
          </cell>
          <cell r="B381" t="str">
            <v>Retention Money Muazzam Construction Company</v>
          </cell>
          <cell r="C381">
            <v>4</v>
          </cell>
          <cell r="D381">
            <v>0</v>
          </cell>
        </row>
        <row r="382">
          <cell r="A382" t="str">
            <v>109-006-001-0025</v>
          </cell>
          <cell r="B382" t="str">
            <v>Retention Money</v>
          </cell>
          <cell r="C382">
            <v>4</v>
          </cell>
          <cell r="D382">
            <v>0</v>
          </cell>
        </row>
        <row r="383">
          <cell r="A383" t="str">
            <v>109-006-001-0026</v>
          </cell>
          <cell r="B383" t="str">
            <v>Retention Money</v>
          </cell>
          <cell r="C383">
            <v>4</v>
          </cell>
          <cell r="D383">
            <v>0</v>
          </cell>
        </row>
        <row r="384">
          <cell r="A384" t="str">
            <v>109-006-001-0027</v>
          </cell>
          <cell r="B384" t="str">
            <v>Retention Money</v>
          </cell>
          <cell r="C384">
            <v>4</v>
          </cell>
          <cell r="D384">
            <v>0</v>
          </cell>
        </row>
        <row r="385">
          <cell r="A385" t="str">
            <v>109-006-001-0028</v>
          </cell>
          <cell r="B385" t="str">
            <v>Retention Money</v>
          </cell>
          <cell r="C385">
            <v>4</v>
          </cell>
          <cell r="D385">
            <v>0</v>
          </cell>
        </row>
        <row r="386">
          <cell r="A386" t="str">
            <v>109-006-001-0029</v>
          </cell>
          <cell r="B386" t="str">
            <v>Retention Money</v>
          </cell>
          <cell r="C386">
            <v>4</v>
          </cell>
          <cell r="D386">
            <v>0</v>
          </cell>
        </row>
        <row r="387">
          <cell r="A387" t="str">
            <v>109-006-001-0030</v>
          </cell>
          <cell r="B387" t="str">
            <v>Retention Money</v>
          </cell>
          <cell r="C387">
            <v>4</v>
          </cell>
          <cell r="D387">
            <v>0</v>
          </cell>
        </row>
        <row r="388">
          <cell r="A388" t="str">
            <v>109-006-001-0031</v>
          </cell>
          <cell r="B388" t="str">
            <v>Retention Money</v>
          </cell>
          <cell r="C388">
            <v>4</v>
          </cell>
          <cell r="D388">
            <v>0</v>
          </cell>
        </row>
        <row r="389">
          <cell r="A389" t="str">
            <v>109-006-001-0032</v>
          </cell>
          <cell r="B389" t="str">
            <v>Retention Money</v>
          </cell>
          <cell r="C389">
            <v>4</v>
          </cell>
          <cell r="D389">
            <v>0</v>
          </cell>
        </row>
        <row r="390">
          <cell r="A390" t="str">
            <v>109-006-001-0033</v>
          </cell>
          <cell r="B390" t="str">
            <v>Retention Money</v>
          </cell>
          <cell r="C390">
            <v>4</v>
          </cell>
          <cell r="D390">
            <v>0</v>
          </cell>
        </row>
        <row r="391">
          <cell r="A391" t="str">
            <v>109-006-001-0034</v>
          </cell>
          <cell r="B391" t="str">
            <v>Retention Money</v>
          </cell>
          <cell r="C391">
            <v>4</v>
          </cell>
          <cell r="D391">
            <v>0</v>
          </cell>
        </row>
        <row r="392">
          <cell r="A392" t="str">
            <v>109-006-001-0035</v>
          </cell>
          <cell r="B392" t="str">
            <v>Retention Money</v>
          </cell>
          <cell r="C392">
            <v>4</v>
          </cell>
          <cell r="D392">
            <v>0</v>
          </cell>
        </row>
        <row r="393">
          <cell r="A393" t="str">
            <v>109-006-001-0036</v>
          </cell>
          <cell r="B393" t="str">
            <v>Retention Money</v>
          </cell>
          <cell r="C393">
            <v>4</v>
          </cell>
          <cell r="D393">
            <v>0</v>
          </cell>
        </row>
        <row r="394">
          <cell r="A394" t="str">
            <v>109-006-001-0037</v>
          </cell>
          <cell r="B394" t="str">
            <v>Retention Money</v>
          </cell>
          <cell r="C394">
            <v>4</v>
          </cell>
          <cell r="D394">
            <v>0</v>
          </cell>
        </row>
        <row r="395">
          <cell r="A395" t="str">
            <v>109-006-001-0038</v>
          </cell>
          <cell r="B395" t="str">
            <v>Retention Money</v>
          </cell>
          <cell r="C395">
            <v>4</v>
          </cell>
          <cell r="D395">
            <v>0</v>
          </cell>
        </row>
        <row r="396">
          <cell r="A396" t="str">
            <v>109-006-001-0039</v>
          </cell>
          <cell r="B396" t="str">
            <v>Retention Money</v>
          </cell>
          <cell r="C396">
            <v>4</v>
          </cell>
          <cell r="D396">
            <v>0</v>
          </cell>
        </row>
        <row r="397">
          <cell r="A397" t="str">
            <v>109-006-001-0040</v>
          </cell>
          <cell r="B397" t="str">
            <v>Retention Money</v>
          </cell>
          <cell r="C397">
            <v>4</v>
          </cell>
          <cell r="D397">
            <v>0</v>
          </cell>
        </row>
        <row r="398">
          <cell r="A398" t="str">
            <v>109-006-002-0000</v>
          </cell>
          <cell r="B398" t="str">
            <v>Funds Account</v>
          </cell>
          <cell r="C398">
            <v>3</v>
          </cell>
          <cell r="D398">
            <v>-245410</v>
          </cell>
        </row>
        <row r="399">
          <cell r="A399" t="str">
            <v>109-006-002-0001</v>
          </cell>
          <cell r="B399" t="str">
            <v>Provision for Overhead Fund</v>
          </cell>
          <cell r="C399">
            <v>4</v>
          </cell>
          <cell r="D399">
            <v>0</v>
          </cell>
        </row>
        <row r="400">
          <cell r="A400" t="str">
            <v>109-006-002-0002</v>
          </cell>
          <cell r="B400" t="str">
            <v>Maintainance Cost Fund</v>
          </cell>
          <cell r="C400">
            <v>4</v>
          </cell>
          <cell r="D400">
            <v>-245410</v>
          </cell>
        </row>
        <row r="401">
          <cell r="A401" t="str">
            <v>109-006-003-0000</v>
          </cell>
          <cell r="B401" t="str">
            <v>Advance from Client</v>
          </cell>
          <cell r="C401">
            <v>3</v>
          </cell>
          <cell r="D401">
            <v>-9166122</v>
          </cell>
        </row>
        <row r="402">
          <cell r="A402" t="str">
            <v>109-006-003-0001</v>
          </cell>
          <cell r="B402" t="str">
            <v>Mobilization Advance from Client</v>
          </cell>
          <cell r="C402">
            <v>4</v>
          </cell>
          <cell r="D402">
            <v>-9166122</v>
          </cell>
        </row>
        <row r="403">
          <cell r="A403" t="str">
            <v>109-006-003-0002</v>
          </cell>
          <cell r="B403" t="str">
            <v>Secured  Advance from Client  - Attock Distt</v>
          </cell>
          <cell r="C403">
            <v>4</v>
          </cell>
          <cell r="D403">
            <v>0</v>
          </cell>
        </row>
        <row r="404">
          <cell r="A404" t="str">
            <v>109-006-003-0003</v>
          </cell>
          <cell r="B404" t="str">
            <v>Advance from Client against IPC - Attock Distt</v>
          </cell>
          <cell r="C404">
            <v>4</v>
          </cell>
          <cell r="D404">
            <v>0</v>
          </cell>
        </row>
        <row r="405">
          <cell r="A405" t="str">
            <v>109-006-004-0000</v>
          </cell>
          <cell r="B405" t="str">
            <v>Temparary Loans</v>
          </cell>
          <cell r="C405">
            <v>3</v>
          </cell>
          <cell r="D405">
            <v>0</v>
          </cell>
        </row>
        <row r="406">
          <cell r="A406" t="str">
            <v>109-006-004-0001</v>
          </cell>
          <cell r="B406" t="str">
            <v>Temparary Loans</v>
          </cell>
          <cell r="C406">
            <v>4</v>
          </cell>
          <cell r="D406">
            <v>0</v>
          </cell>
        </row>
        <row r="407">
          <cell r="A407" t="str">
            <v>109-006-005-0000</v>
          </cell>
          <cell r="B407" t="str">
            <v>Earnest Money of Contractors</v>
          </cell>
          <cell r="C407">
            <v>3</v>
          </cell>
          <cell r="D407">
            <v>-1341340</v>
          </cell>
        </row>
        <row r="408">
          <cell r="A408" t="str">
            <v>109-006-005-0001</v>
          </cell>
          <cell r="B408" t="str">
            <v>Earnest Money of JavedAli &amp; Co.</v>
          </cell>
          <cell r="C408">
            <v>4</v>
          </cell>
          <cell r="D408">
            <v>-1103477</v>
          </cell>
        </row>
        <row r="409">
          <cell r="A409" t="str">
            <v>109-006-005-0002</v>
          </cell>
          <cell r="B409" t="str">
            <v>Earnest Money of Moeen Ullah Marwat</v>
          </cell>
          <cell r="C409">
            <v>4</v>
          </cell>
          <cell r="D409">
            <v>0</v>
          </cell>
        </row>
        <row r="410">
          <cell r="A410" t="str">
            <v>109-006-005-0003</v>
          </cell>
          <cell r="B410" t="str">
            <v>Earnest Money of Faisal Steel Corporation</v>
          </cell>
          <cell r="C410">
            <v>4</v>
          </cell>
          <cell r="D410">
            <v>0</v>
          </cell>
        </row>
        <row r="411">
          <cell r="A411" t="str">
            <v>109-006-005-0004</v>
          </cell>
          <cell r="B411" t="str">
            <v>Earnest Money of Tycon Security</v>
          </cell>
          <cell r="C411">
            <v>4</v>
          </cell>
          <cell r="D411">
            <v>0</v>
          </cell>
        </row>
        <row r="412">
          <cell r="A412" t="str">
            <v>109-006-005-0005</v>
          </cell>
          <cell r="B412" t="str">
            <v>Earnest Money of</v>
          </cell>
          <cell r="C412">
            <v>4</v>
          </cell>
          <cell r="D412">
            <v>0</v>
          </cell>
        </row>
        <row r="413">
          <cell r="A413" t="str">
            <v>109-006-005-0006</v>
          </cell>
          <cell r="B413" t="str">
            <v>Earnest Money of Young Engineers</v>
          </cell>
          <cell r="C413">
            <v>4</v>
          </cell>
          <cell r="D413">
            <v>0</v>
          </cell>
        </row>
        <row r="414">
          <cell r="A414" t="str">
            <v>109-006-005-0007</v>
          </cell>
          <cell r="B414" t="str">
            <v>Earnest Money of</v>
          </cell>
          <cell r="C414">
            <v>4</v>
          </cell>
          <cell r="D414">
            <v>0</v>
          </cell>
        </row>
        <row r="415">
          <cell r="A415" t="str">
            <v>109-006-005-0008</v>
          </cell>
          <cell r="B415" t="str">
            <v>Earnest Money of Farooq Sandhu</v>
          </cell>
          <cell r="C415">
            <v>4</v>
          </cell>
          <cell r="D415">
            <v>0</v>
          </cell>
        </row>
        <row r="416">
          <cell r="A416" t="str">
            <v>109-006-005-0009</v>
          </cell>
          <cell r="B416" t="str">
            <v>Earnest Money of Nariman Construction Svc</v>
          </cell>
          <cell r="C416">
            <v>4</v>
          </cell>
          <cell r="D416">
            <v>0</v>
          </cell>
        </row>
        <row r="417">
          <cell r="A417" t="str">
            <v>109-006-005-0010</v>
          </cell>
          <cell r="B417" t="str">
            <v>Earnest Money of AKB &amp; Co.</v>
          </cell>
          <cell r="C417">
            <v>4</v>
          </cell>
          <cell r="D417">
            <v>0</v>
          </cell>
        </row>
        <row r="418">
          <cell r="A418" t="str">
            <v>109-006-005-0011</v>
          </cell>
          <cell r="B418" t="str">
            <v>Earnest Money of Zari Construction</v>
          </cell>
          <cell r="C418">
            <v>4</v>
          </cell>
          <cell r="D418">
            <v>0</v>
          </cell>
        </row>
        <row r="419">
          <cell r="A419" t="str">
            <v>109-006-005-0012</v>
          </cell>
          <cell r="B419" t="str">
            <v>Earnest Money of</v>
          </cell>
          <cell r="C419">
            <v>4</v>
          </cell>
          <cell r="D419">
            <v>0</v>
          </cell>
        </row>
        <row r="420">
          <cell r="A420" t="str">
            <v>109-006-005-0013</v>
          </cell>
          <cell r="B420" t="str">
            <v>Earnest Money of Orbit Construction</v>
          </cell>
          <cell r="C420">
            <v>4</v>
          </cell>
          <cell r="D420">
            <v>0</v>
          </cell>
        </row>
        <row r="421">
          <cell r="A421" t="str">
            <v>109-006-005-0014</v>
          </cell>
          <cell r="B421" t="str">
            <v>Earnest Money of Behram Khan</v>
          </cell>
          <cell r="C421">
            <v>4</v>
          </cell>
          <cell r="D421">
            <v>0</v>
          </cell>
        </row>
        <row r="422">
          <cell r="A422" t="str">
            <v>109-006-005-0015</v>
          </cell>
          <cell r="B422" t="str">
            <v>Earnest Money of Hamza Ali Khan</v>
          </cell>
          <cell r="C422">
            <v>4</v>
          </cell>
          <cell r="D422">
            <v>0</v>
          </cell>
        </row>
        <row r="423">
          <cell r="A423" t="str">
            <v>109-006-005-0016</v>
          </cell>
          <cell r="B423" t="str">
            <v>Earnest Money of Fair Deal Enterprises</v>
          </cell>
          <cell r="C423">
            <v>4</v>
          </cell>
          <cell r="D423">
            <v>-5124</v>
          </cell>
        </row>
        <row r="424">
          <cell r="A424" t="str">
            <v>109-006-005-0017</v>
          </cell>
          <cell r="B424" t="str">
            <v>Earnest Money of Chughtai Engineers</v>
          </cell>
          <cell r="C424">
            <v>4</v>
          </cell>
          <cell r="D424">
            <v>-232739</v>
          </cell>
        </row>
        <row r="425">
          <cell r="A425" t="str">
            <v>109-007-000-0000</v>
          </cell>
          <cell r="B425" t="str">
            <v>Provision for Taxation</v>
          </cell>
          <cell r="C425">
            <v>2</v>
          </cell>
          <cell r="D425">
            <v>0</v>
          </cell>
        </row>
        <row r="426">
          <cell r="A426" t="str">
            <v>109-007-001-0000</v>
          </cell>
          <cell r="B426" t="str">
            <v>Provision for Taxation</v>
          </cell>
          <cell r="C426">
            <v>3</v>
          </cell>
          <cell r="D426">
            <v>0</v>
          </cell>
        </row>
        <row r="427">
          <cell r="A427" t="str">
            <v>109-007-001-0001</v>
          </cell>
          <cell r="B427" t="str">
            <v>Provision for Taxation</v>
          </cell>
          <cell r="C427">
            <v>4</v>
          </cell>
          <cell r="D427">
            <v>0</v>
          </cell>
        </row>
        <row r="428">
          <cell r="A428" t="str">
            <v>109-007-001-0002</v>
          </cell>
          <cell r="C428">
            <v>3</v>
          </cell>
          <cell r="D428">
            <v>0</v>
          </cell>
        </row>
        <row r="429">
          <cell r="A429" t="str">
            <v>109-007-001-0003</v>
          </cell>
          <cell r="C429">
            <v>3</v>
          </cell>
          <cell r="D429">
            <v>0</v>
          </cell>
        </row>
        <row r="430">
          <cell r="A430" t="str">
            <v>109-007-001-0004</v>
          </cell>
          <cell r="C430">
            <v>3</v>
          </cell>
          <cell r="D430">
            <v>0</v>
          </cell>
        </row>
        <row r="431">
          <cell r="A431" t="str">
            <v>201-000-000-0000</v>
          </cell>
          <cell r="B431" t="str">
            <v>Operating Fixed  Assets</v>
          </cell>
          <cell r="C431">
            <v>1</v>
          </cell>
          <cell r="D431">
            <v>979389</v>
          </cell>
        </row>
        <row r="432">
          <cell r="A432" t="str">
            <v>201-001-000-0000</v>
          </cell>
          <cell r="B432" t="str">
            <v>Land</v>
          </cell>
          <cell r="C432">
            <v>2</v>
          </cell>
          <cell r="D432">
            <v>0</v>
          </cell>
        </row>
        <row r="433">
          <cell r="A433" t="str">
            <v>201-001-001-0000</v>
          </cell>
          <cell r="B433" t="str">
            <v>Land</v>
          </cell>
          <cell r="C433">
            <v>3</v>
          </cell>
          <cell r="D433">
            <v>0</v>
          </cell>
        </row>
        <row r="434">
          <cell r="A434" t="str">
            <v>201-001-001-0001</v>
          </cell>
          <cell r="B434" t="str">
            <v>Land</v>
          </cell>
          <cell r="C434">
            <v>4</v>
          </cell>
          <cell r="D434">
            <v>0</v>
          </cell>
        </row>
        <row r="435">
          <cell r="A435" t="str">
            <v>201-002-000-0000</v>
          </cell>
          <cell r="B435" t="str">
            <v>Building</v>
          </cell>
          <cell r="C435">
            <v>2</v>
          </cell>
          <cell r="D435">
            <v>0</v>
          </cell>
        </row>
        <row r="436">
          <cell r="A436" t="str">
            <v>201-002-001-0000</v>
          </cell>
          <cell r="B436" t="str">
            <v>Building</v>
          </cell>
          <cell r="C436">
            <v>3</v>
          </cell>
          <cell r="D436">
            <v>0</v>
          </cell>
        </row>
        <row r="437">
          <cell r="A437" t="str">
            <v>201-002-001-0001</v>
          </cell>
          <cell r="B437" t="str">
            <v>Building</v>
          </cell>
          <cell r="C437">
            <v>4</v>
          </cell>
          <cell r="D437">
            <v>0</v>
          </cell>
        </row>
        <row r="438">
          <cell r="A438" t="str">
            <v>201-003-000-0000</v>
          </cell>
          <cell r="B438" t="str">
            <v>Plant and Machinery and Equipment</v>
          </cell>
          <cell r="C438">
            <v>2</v>
          </cell>
          <cell r="D438">
            <v>204112</v>
          </cell>
        </row>
        <row r="439">
          <cell r="A439" t="str">
            <v>201-003-001-0000</v>
          </cell>
          <cell r="B439" t="str">
            <v>Plant and Machinery and Equipment</v>
          </cell>
          <cell r="C439">
            <v>3</v>
          </cell>
          <cell r="D439">
            <v>204112</v>
          </cell>
        </row>
        <row r="440">
          <cell r="A440" t="str">
            <v>201-003-001-0001</v>
          </cell>
          <cell r="B440" t="str">
            <v>Bitumen Transfer/Shifting Pump</v>
          </cell>
          <cell r="C440">
            <v>4</v>
          </cell>
          <cell r="D440">
            <v>0</v>
          </cell>
        </row>
        <row r="441">
          <cell r="A441" t="str">
            <v>201-003-001-0002</v>
          </cell>
          <cell r="B441" t="str">
            <v>Try Boilery</v>
          </cell>
          <cell r="C441">
            <v>4</v>
          </cell>
          <cell r="D441">
            <v>0</v>
          </cell>
        </row>
        <row r="442">
          <cell r="A442" t="str">
            <v>201-003-001-0003</v>
          </cell>
          <cell r="B442" t="str">
            <v>Broomer</v>
          </cell>
          <cell r="C442">
            <v>4</v>
          </cell>
          <cell r="D442">
            <v>0</v>
          </cell>
        </row>
        <row r="443">
          <cell r="A443" t="str">
            <v>201-003-001-0004</v>
          </cell>
          <cell r="B443" t="str">
            <v>Vacum Pump</v>
          </cell>
          <cell r="C443">
            <v>4</v>
          </cell>
          <cell r="D443">
            <v>0</v>
          </cell>
        </row>
        <row r="444">
          <cell r="A444" t="str">
            <v>201-003-001-0005</v>
          </cell>
          <cell r="B444" t="str">
            <v>Bitumen Exteaction</v>
          </cell>
          <cell r="C444">
            <v>4</v>
          </cell>
          <cell r="D444">
            <v>0</v>
          </cell>
        </row>
        <row r="445">
          <cell r="A445" t="str">
            <v>201-003-001-0006</v>
          </cell>
          <cell r="B445" t="str">
            <v>Abraison Machine with Motor     G1</v>
          </cell>
          <cell r="C445">
            <v>4</v>
          </cell>
          <cell r="D445">
            <v>0</v>
          </cell>
        </row>
        <row r="446">
          <cell r="A446" t="str">
            <v>201-003-001-0007</v>
          </cell>
          <cell r="B446" t="str">
            <v>Oven KBL</v>
          </cell>
          <cell r="C446">
            <v>4</v>
          </cell>
          <cell r="D446">
            <v>0</v>
          </cell>
        </row>
        <row r="447">
          <cell r="A447" t="str">
            <v>201-003-001-0008</v>
          </cell>
          <cell r="B447" t="str">
            <v>Compression test in Machine Hand</v>
          </cell>
          <cell r="C447">
            <v>4</v>
          </cell>
          <cell r="D447">
            <v>0</v>
          </cell>
        </row>
        <row r="448">
          <cell r="A448" t="str">
            <v>201-003-001-0010</v>
          </cell>
          <cell r="B448" t="str">
            <v>Coring Machine</v>
          </cell>
          <cell r="C448">
            <v>4</v>
          </cell>
          <cell r="D448">
            <v>0</v>
          </cell>
        </row>
        <row r="449">
          <cell r="A449" t="str">
            <v>201-003-001-0011</v>
          </cell>
          <cell r="B449" t="str">
            <v>Tripple Beam Balance</v>
          </cell>
          <cell r="C449">
            <v>4</v>
          </cell>
          <cell r="D449">
            <v>0</v>
          </cell>
        </row>
        <row r="450">
          <cell r="A450" t="str">
            <v>201-003-001-0012</v>
          </cell>
          <cell r="B450" t="str">
            <v>Speedy Moisture Tester</v>
          </cell>
          <cell r="C450">
            <v>4</v>
          </cell>
          <cell r="D450">
            <v>0</v>
          </cell>
        </row>
        <row r="451">
          <cell r="A451" t="str">
            <v>201-003-001-0013</v>
          </cell>
          <cell r="B451" t="str">
            <v>Lab C.B.R. comp with Proving Ring</v>
          </cell>
          <cell r="C451">
            <v>4</v>
          </cell>
          <cell r="D451">
            <v>0</v>
          </cell>
        </row>
        <row r="452">
          <cell r="A452" t="str">
            <v>201-003-001-0014</v>
          </cell>
          <cell r="B452" t="str">
            <v>Concrete Test Hammar</v>
          </cell>
          <cell r="C452">
            <v>4</v>
          </cell>
          <cell r="D452">
            <v>0</v>
          </cell>
        </row>
        <row r="453">
          <cell r="A453" t="str">
            <v>201-003-001-0015</v>
          </cell>
          <cell r="B453" t="str">
            <v>Jack Hammar</v>
          </cell>
          <cell r="C453">
            <v>4</v>
          </cell>
          <cell r="D453">
            <v>0</v>
          </cell>
        </row>
        <row r="454">
          <cell r="A454" t="str">
            <v>201-003-001-0016</v>
          </cell>
          <cell r="B454" t="str">
            <v>Stet 5 F with Stand and Sakki Total</v>
          </cell>
          <cell r="C454">
            <v>4</v>
          </cell>
          <cell r="D454">
            <v>0</v>
          </cell>
        </row>
        <row r="455">
          <cell r="A455" t="str">
            <v>201-003-001-0017</v>
          </cell>
          <cell r="B455" t="str">
            <v>Sakkia Priism Set Model KPS/IPT</v>
          </cell>
          <cell r="C455">
            <v>4</v>
          </cell>
          <cell r="D455">
            <v>0</v>
          </cell>
        </row>
        <row r="456">
          <cell r="A456" t="str">
            <v>201-003-001-0018</v>
          </cell>
          <cell r="B456" t="str">
            <v>Sakkia Automatic Level Model E-24</v>
          </cell>
          <cell r="C456">
            <v>4</v>
          </cell>
          <cell r="D456">
            <v>0</v>
          </cell>
        </row>
        <row r="457">
          <cell r="A457" t="str">
            <v>201-003-001-0019</v>
          </cell>
          <cell r="B457" t="str">
            <v>FE Loader E-342</v>
          </cell>
          <cell r="C457">
            <v>4</v>
          </cell>
          <cell r="D457">
            <v>0</v>
          </cell>
        </row>
        <row r="458">
          <cell r="A458" t="str">
            <v>201-003-001-0020</v>
          </cell>
          <cell r="B458" t="str">
            <v>Concrete Mixer E-351</v>
          </cell>
          <cell r="C458">
            <v>4</v>
          </cell>
          <cell r="D458">
            <v>0</v>
          </cell>
        </row>
        <row r="459">
          <cell r="A459" t="str">
            <v>201-003-001-0021</v>
          </cell>
          <cell r="B459" t="str">
            <v>Gen Set 301327 E-447</v>
          </cell>
          <cell r="C459">
            <v>4</v>
          </cell>
          <cell r="D459">
            <v>0</v>
          </cell>
        </row>
        <row r="460">
          <cell r="A460" t="str">
            <v>201-003-001-0022</v>
          </cell>
          <cell r="B460" t="str">
            <v>Hyd Excavator PC-20</v>
          </cell>
          <cell r="C460">
            <v>4</v>
          </cell>
          <cell r="D460">
            <v>0</v>
          </cell>
        </row>
        <row r="461">
          <cell r="A461" t="str">
            <v>201-003-001-0023</v>
          </cell>
          <cell r="B461" t="str">
            <v>Computer items</v>
          </cell>
          <cell r="C461">
            <v>4</v>
          </cell>
          <cell r="D461">
            <v>0</v>
          </cell>
        </row>
        <row r="462">
          <cell r="A462" t="str">
            <v>201-003-001-0024</v>
          </cell>
          <cell r="B462" t="str">
            <v>Water Tank No. 4</v>
          </cell>
          <cell r="C462">
            <v>4</v>
          </cell>
          <cell r="D462">
            <v>0</v>
          </cell>
        </row>
        <row r="463">
          <cell r="A463" t="str">
            <v>201-003-001-0025</v>
          </cell>
          <cell r="B463" t="str">
            <v>Road Roller PTR 20 C</v>
          </cell>
          <cell r="C463">
            <v>4</v>
          </cell>
          <cell r="D463">
            <v>0</v>
          </cell>
        </row>
        <row r="464">
          <cell r="A464" t="str">
            <v>201-003-001-0026</v>
          </cell>
          <cell r="B464" t="str">
            <v>Tractor MF-375</v>
          </cell>
          <cell r="C464">
            <v>4</v>
          </cell>
          <cell r="D464">
            <v>0</v>
          </cell>
        </row>
        <row r="465">
          <cell r="A465" t="str">
            <v>201-003-001-0027</v>
          </cell>
          <cell r="B465" t="str">
            <v>Bed Foard Water Bowzer</v>
          </cell>
          <cell r="C465">
            <v>4</v>
          </cell>
          <cell r="D465">
            <v>0</v>
          </cell>
        </row>
        <row r="466">
          <cell r="A466" t="str">
            <v>201-003-001-0028</v>
          </cell>
          <cell r="B466" t="str">
            <v>Hino Dumper Truck 836333</v>
          </cell>
          <cell r="C466">
            <v>4</v>
          </cell>
          <cell r="D466">
            <v>0</v>
          </cell>
        </row>
        <row r="467">
          <cell r="A467" t="str">
            <v>201-003-001-0029</v>
          </cell>
          <cell r="B467" t="str">
            <v>Wh Loader W-70</v>
          </cell>
          <cell r="C467">
            <v>4</v>
          </cell>
          <cell r="D467">
            <v>0</v>
          </cell>
        </row>
        <row r="468">
          <cell r="A468" t="str">
            <v>201-003-001-0030</v>
          </cell>
          <cell r="B468" t="str">
            <v>Road Roller Tandum</v>
          </cell>
          <cell r="C468">
            <v>4</v>
          </cell>
          <cell r="D468">
            <v>0</v>
          </cell>
        </row>
        <row r="469">
          <cell r="A469" t="str">
            <v>201-003-001-0031</v>
          </cell>
          <cell r="B469" t="str">
            <v>Niggata Aggregate Spreader</v>
          </cell>
          <cell r="C469">
            <v>4</v>
          </cell>
          <cell r="D469">
            <v>0</v>
          </cell>
        </row>
        <row r="470">
          <cell r="A470" t="str">
            <v>201-003-001-0032</v>
          </cell>
          <cell r="B470" t="str">
            <v>FE Loader W-70</v>
          </cell>
          <cell r="C470">
            <v>4</v>
          </cell>
          <cell r="D470">
            <v>0</v>
          </cell>
        </row>
        <row r="471">
          <cell r="A471" t="str">
            <v>201-003-001-0033</v>
          </cell>
          <cell r="B471" t="str">
            <v>Road Roller Sakai</v>
          </cell>
          <cell r="C471">
            <v>4</v>
          </cell>
          <cell r="D471">
            <v>0</v>
          </cell>
        </row>
        <row r="472">
          <cell r="A472" t="str">
            <v>201-003-001-0034</v>
          </cell>
          <cell r="B472" t="str">
            <v>Bunco Two way Road Swpr</v>
          </cell>
          <cell r="C472">
            <v>4</v>
          </cell>
          <cell r="D472">
            <v>0</v>
          </cell>
        </row>
        <row r="473">
          <cell r="A473" t="str">
            <v>201-003-001-0035</v>
          </cell>
          <cell r="B473" t="str">
            <v>Gen Set 5 KW</v>
          </cell>
          <cell r="C473">
            <v>4</v>
          </cell>
          <cell r="D473">
            <v>0</v>
          </cell>
        </row>
        <row r="474">
          <cell r="A474" t="str">
            <v>201-003-001-0036</v>
          </cell>
          <cell r="B474" t="str">
            <v>Survey Instruments</v>
          </cell>
          <cell r="C474">
            <v>4</v>
          </cell>
          <cell r="D474">
            <v>0</v>
          </cell>
        </row>
        <row r="475">
          <cell r="A475" t="str">
            <v>201-003-001-0037</v>
          </cell>
          <cell r="B475" t="str">
            <v>Lab Instruments</v>
          </cell>
          <cell r="C475">
            <v>4</v>
          </cell>
          <cell r="D475">
            <v>204112</v>
          </cell>
        </row>
        <row r="476">
          <cell r="A476" t="str">
            <v>201-004-000-0000</v>
          </cell>
          <cell r="B476" t="str">
            <v>Furniture and Fixture</v>
          </cell>
          <cell r="C476">
            <v>2</v>
          </cell>
          <cell r="D476">
            <v>22717</v>
          </cell>
        </row>
        <row r="477">
          <cell r="A477" t="str">
            <v>201-004-001-0000</v>
          </cell>
          <cell r="B477" t="str">
            <v>Furniture and Fixture</v>
          </cell>
          <cell r="C477">
            <v>3</v>
          </cell>
          <cell r="D477">
            <v>22717</v>
          </cell>
        </row>
        <row r="478">
          <cell r="A478" t="str">
            <v>201-004-001-0001</v>
          </cell>
          <cell r="B478" t="str">
            <v>Funiture &amp; fixture</v>
          </cell>
          <cell r="C478">
            <v>4</v>
          </cell>
          <cell r="D478">
            <v>0</v>
          </cell>
        </row>
        <row r="479">
          <cell r="A479" t="str">
            <v>201-004-001-0002</v>
          </cell>
          <cell r="B479" t="str">
            <v>Charpayees  (Beds)</v>
          </cell>
          <cell r="C479">
            <v>4</v>
          </cell>
          <cell r="D479">
            <v>0</v>
          </cell>
        </row>
        <row r="480">
          <cell r="A480" t="str">
            <v>201-004-001-0003</v>
          </cell>
          <cell r="B480" t="str">
            <v>Sofa Chairs and Chairs</v>
          </cell>
          <cell r="C480">
            <v>4</v>
          </cell>
          <cell r="D480">
            <v>0</v>
          </cell>
        </row>
        <row r="481">
          <cell r="A481" t="str">
            <v>201-004-001-0004</v>
          </cell>
          <cell r="B481" t="str">
            <v>Almirah/Cabnit</v>
          </cell>
          <cell r="C481">
            <v>4</v>
          </cell>
          <cell r="D481">
            <v>15660</v>
          </cell>
        </row>
        <row r="482">
          <cell r="A482" t="str">
            <v>201-004-001-0005</v>
          </cell>
          <cell r="B482" t="str">
            <v>Wooden Cabinet Draz</v>
          </cell>
          <cell r="C482">
            <v>4</v>
          </cell>
          <cell r="D482">
            <v>0</v>
          </cell>
        </row>
        <row r="483">
          <cell r="A483" t="str">
            <v>201-004-001-0006</v>
          </cell>
          <cell r="B483" t="str">
            <v>Stools</v>
          </cell>
          <cell r="C483">
            <v>4</v>
          </cell>
          <cell r="D483">
            <v>0</v>
          </cell>
        </row>
        <row r="484">
          <cell r="A484" t="str">
            <v>201-004-001-0007</v>
          </cell>
          <cell r="B484" t="str">
            <v>Partition</v>
          </cell>
          <cell r="C484">
            <v>4</v>
          </cell>
          <cell r="D484">
            <v>0</v>
          </cell>
        </row>
        <row r="485">
          <cell r="A485" t="str">
            <v>201-004-001-0008</v>
          </cell>
          <cell r="B485" t="str">
            <v>Carpets</v>
          </cell>
          <cell r="C485">
            <v>4</v>
          </cell>
          <cell r="D485">
            <v>0</v>
          </cell>
        </row>
        <row r="486">
          <cell r="A486" t="str">
            <v>201-004-001-0009</v>
          </cell>
          <cell r="B486" t="str">
            <v>Portable Site Office Cabin</v>
          </cell>
          <cell r="C486">
            <v>4</v>
          </cell>
          <cell r="D486">
            <v>0</v>
          </cell>
        </row>
        <row r="487">
          <cell r="A487" t="str">
            <v>201-004-001-0010</v>
          </cell>
          <cell r="B487" t="str">
            <v>Vertical Blinds</v>
          </cell>
          <cell r="C487">
            <v>4</v>
          </cell>
          <cell r="D487">
            <v>7057</v>
          </cell>
        </row>
        <row r="488">
          <cell r="A488" t="str">
            <v>201-005-000-0000</v>
          </cell>
          <cell r="B488" t="str">
            <v>Vehicles</v>
          </cell>
          <cell r="C488">
            <v>2</v>
          </cell>
          <cell r="D488">
            <v>0</v>
          </cell>
        </row>
        <row r="489">
          <cell r="A489" t="str">
            <v>201-005-001-0000</v>
          </cell>
          <cell r="B489" t="str">
            <v>Heavy  Vehicle</v>
          </cell>
          <cell r="C489">
            <v>3</v>
          </cell>
          <cell r="D489">
            <v>0</v>
          </cell>
        </row>
        <row r="490">
          <cell r="A490" t="str">
            <v>201-005-002-0000</v>
          </cell>
          <cell r="B490" t="str">
            <v>Light Vehicle</v>
          </cell>
          <cell r="C490">
            <v>3</v>
          </cell>
          <cell r="D490">
            <v>0</v>
          </cell>
        </row>
        <row r="491">
          <cell r="A491" t="str">
            <v>201-005-002-0001</v>
          </cell>
          <cell r="B491" t="str">
            <v>BA#836341 MITSUBISHI PAJERO</v>
          </cell>
          <cell r="C491">
            <v>4</v>
          </cell>
          <cell r="D491">
            <v>0</v>
          </cell>
        </row>
        <row r="492">
          <cell r="A492" t="str">
            <v>201-005-002-0002</v>
          </cell>
          <cell r="B492" t="str">
            <v>Cycle &amp; Other Veh</v>
          </cell>
          <cell r="C492">
            <v>4</v>
          </cell>
          <cell r="D492">
            <v>0</v>
          </cell>
        </row>
        <row r="493">
          <cell r="A493" t="str">
            <v>201-005-002-0003</v>
          </cell>
          <cell r="B493" t="str">
            <v>BA#882155 Potohar Jeep</v>
          </cell>
          <cell r="C493">
            <v>4</v>
          </cell>
          <cell r="D493">
            <v>0</v>
          </cell>
        </row>
        <row r="494">
          <cell r="A494" t="str">
            <v>201-005-002-0004</v>
          </cell>
          <cell r="B494" t="str">
            <v>BA#882156 Potohar Jeep</v>
          </cell>
          <cell r="C494">
            <v>4</v>
          </cell>
          <cell r="D494">
            <v>0</v>
          </cell>
        </row>
        <row r="495">
          <cell r="A495" t="str">
            <v>201-005-002-0005</v>
          </cell>
          <cell r="B495" t="str">
            <v>Mazda Double Cabin 882010</v>
          </cell>
          <cell r="C495">
            <v>4</v>
          </cell>
          <cell r="D495">
            <v>0</v>
          </cell>
        </row>
        <row r="496">
          <cell r="A496" t="str">
            <v>201-005-002-0006</v>
          </cell>
          <cell r="B496" t="str">
            <v>Toyota P/up 882011</v>
          </cell>
          <cell r="C496">
            <v>4</v>
          </cell>
          <cell r="D496">
            <v>0</v>
          </cell>
        </row>
        <row r="497">
          <cell r="A497" t="str">
            <v>201-005-002-0007</v>
          </cell>
          <cell r="B497" t="str">
            <v>Suzuki P/up 859943</v>
          </cell>
          <cell r="C497">
            <v>4</v>
          </cell>
          <cell r="D497">
            <v>0</v>
          </cell>
        </row>
        <row r="498">
          <cell r="A498" t="str">
            <v>201-005-002-0008</v>
          </cell>
          <cell r="B498" t="str">
            <v>Suzuki P/up 859944</v>
          </cell>
          <cell r="C498">
            <v>4</v>
          </cell>
          <cell r="D498">
            <v>0</v>
          </cell>
        </row>
        <row r="499">
          <cell r="A499" t="str">
            <v>201-005-002-0009</v>
          </cell>
          <cell r="B499" t="str">
            <v>Hyundai Shehzore BA # 882435</v>
          </cell>
          <cell r="C499">
            <v>4</v>
          </cell>
          <cell r="D499">
            <v>0</v>
          </cell>
        </row>
        <row r="500">
          <cell r="A500" t="str">
            <v>201-005-002-0010</v>
          </cell>
          <cell r="B500" t="str">
            <v>Chitral Karakorm D/Cabin</v>
          </cell>
          <cell r="C500">
            <v>4</v>
          </cell>
          <cell r="D500">
            <v>0</v>
          </cell>
        </row>
        <row r="501">
          <cell r="A501" t="str">
            <v>201-006-000-0000</v>
          </cell>
          <cell r="B501" t="str">
            <v>Office Equipments</v>
          </cell>
          <cell r="C501">
            <v>2</v>
          </cell>
          <cell r="D501">
            <v>481340</v>
          </cell>
        </row>
        <row r="502">
          <cell r="A502" t="str">
            <v>201-006-001-0000</v>
          </cell>
          <cell r="B502" t="str">
            <v>Office Equipments</v>
          </cell>
          <cell r="C502">
            <v>3</v>
          </cell>
          <cell r="D502">
            <v>481340</v>
          </cell>
        </row>
        <row r="503">
          <cell r="A503" t="str">
            <v>201-006-001-0001</v>
          </cell>
          <cell r="B503" t="str">
            <v>Master Hybrid Tel Set</v>
          </cell>
          <cell r="C503">
            <v>4</v>
          </cell>
          <cell r="D503">
            <v>0</v>
          </cell>
        </row>
        <row r="504">
          <cell r="A504" t="str">
            <v>201-006-001-0002</v>
          </cell>
          <cell r="B504" t="str">
            <v>Fax Machine Panasonic</v>
          </cell>
          <cell r="C504">
            <v>4</v>
          </cell>
          <cell r="D504">
            <v>0</v>
          </cell>
        </row>
        <row r="505">
          <cell r="A505" t="str">
            <v>201-006-001-0003</v>
          </cell>
          <cell r="B505" t="str">
            <v>Pagers</v>
          </cell>
          <cell r="C505">
            <v>4</v>
          </cell>
          <cell r="D505">
            <v>0</v>
          </cell>
        </row>
        <row r="506">
          <cell r="A506" t="str">
            <v>201-006-001-0004</v>
          </cell>
          <cell r="B506" t="str">
            <v>Mobile Phone Sets</v>
          </cell>
          <cell r="C506">
            <v>4</v>
          </cell>
          <cell r="D506">
            <v>0</v>
          </cell>
        </row>
        <row r="507">
          <cell r="A507" t="str">
            <v>201-006-001-0005</v>
          </cell>
          <cell r="B507" t="str">
            <v>Type Writer</v>
          </cell>
          <cell r="C507">
            <v>4</v>
          </cell>
          <cell r="D507">
            <v>0</v>
          </cell>
        </row>
        <row r="508">
          <cell r="A508" t="str">
            <v>201-006-001-0006</v>
          </cell>
          <cell r="B508" t="str">
            <v>Calculators</v>
          </cell>
          <cell r="C508">
            <v>4</v>
          </cell>
          <cell r="D508">
            <v>0</v>
          </cell>
        </row>
        <row r="509">
          <cell r="A509" t="str">
            <v>201-006-001-0007</v>
          </cell>
          <cell r="B509" t="str">
            <v>Clocks</v>
          </cell>
          <cell r="C509">
            <v>4</v>
          </cell>
          <cell r="D509">
            <v>0</v>
          </cell>
        </row>
        <row r="510">
          <cell r="A510" t="str">
            <v>201-006-001-0008</v>
          </cell>
          <cell r="B510" t="str">
            <v>Projector and Projector Screen</v>
          </cell>
          <cell r="C510">
            <v>4</v>
          </cell>
          <cell r="D510">
            <v>0</v>
          </cell>
        </row>
        <row r="511">
          <cell r="A511" t="str">
            <v>201-006-001-0009</v>
          </cell>
          <cell r="B511" t="str">
            <v>Fire Fighting Equipments</v>
          </cell>
          <cell r="C511">
            <v>4</v>
          </cell>
          <cell r="D511">
            <v>0</v>
          </cell>
        </row>
        <row r="512">
          <cell r="A512" t="str">
            <v>201-006-001-0010</v>
          </cell>
          <cell r="B512" t="str">
            <v>Cameras (Still)</v>
          </cell>
          <cell r="C512">
            <v>4</v>
          </cell>
          <cell r="D512">
            <v>0</v>
          </cell>
        </row>
        <row r="513">
          <cell r="A513" t="str">
            <v>201-006-001-0011</v>
          </cell>
          <cell r="B513" t="str">
            <v>Photocopier Conane</v>
          </cell>
          <cell r="C513">
            <v>4</v>
          </cell>
          <cell r="D513">
            <v>0</v>
          </cell>
        </row>
        <row r="514">
          <cell r="A514" t="str">
            <v>201-006-001-0012</v>
          </cell>
          <cell r="B514" t="str">
            <v>Site Office Cabin</v>
          </cell>
          <cell r="C514">
            <v>4</v>
          </cell>
          <cell r="D514">
            <v>0</v>
          </cell>
        </row>
        <row r="515">
          <cell r="A515" t="str">
            <v>201-006-001-0013</v>
          </cell>
          <cell r="B515" t="str">
            <v>Panasonic Fax Machine</v>
          </cell>
          <cell r="C515">
            <v>4</v>
          </cell>
          <cell r="D515">
            <v>0</v>
          </cell>
        </row>
        <row r="516">
          <cell r="A516" t="str">
            <v>201-006-001-0014</v>
          </cell>
          <cell r="B516" t="str">
            <v>Panasonic Modulum Switching System</v>
          </cell>
          <cell r="C516">
            <v>4</v>
          </cell>
          <cell r="D516">
            <v>0</v>
          </cell>
        </row>
        <row r="517">
          <cell r="A517" t="str">
            <v>201-006-001-0015</v>
          </cell>
          <cell r="B517" t="str">
            <v>VPTCL Sets</v>
          </cell>
          <cell r="C517">
            <v>4</v>
          </cell>
          <cell r="D517">
            <v>0</v>
          </cell>
        </row>
        <row r="518">
          <cell r="A518" t="str">
            <v>201-006-001-0016</v>
          </cell>
          <cell r="B518" t="str">
            <v>Lab Equipment</v>
          </cell>
          <cell r="C518">
            <v>4</v>
          </cell>
          <cell r="D518">
            <v>26340</v>
          </cell>
        </row>
        <row r="519">
          <cell r="A519" t="str">
            <v>201-006-001-0017</v>
          </cell>
          <cell r="B519" t="str">
            <v>sureying Instrument</v>
          </cell>
          <cell r="C519">
            <v>4</v>
          </cell>
          <cell r="D519">
            <v>455000</v>
          </cell>
        </row>
        <row r="520">
          <cell r="A520" t="str">
            <v>201-007-000-0000</v>
          </cell>
          <cell r="B520" t="str">
            <v>Electric and Gas Appliances</v>
          </cell>
          <cell r="C520">
            <v>2</v>
          </cell>
          <cell r="D520">
            <v>271220</v>
          </cell>
        </row>
        <row r="521">
          <cell r="A521" t="str">
            <v>201-007-001-0000</v>
          </cell>
          <cell r="B521" t="str">
            <v>Electric and Gas Appliances</v>
          </cell>
          <cell r="C521">
            <v>3</v>
          </cell>
          <cell r="D521">
            <v>271220</v>
          </cell>
        </row>
        <row r="522">
          <cell r="A522" t="str">
            <v>201-007-001-0001</v>
          </cell>
          <cell r="B522" t="str">
            <v>Air conditioners</v>
          </cell>
          <cell r="C522">
            <v>4</v>
          </cell>
          <cell r="D522">
            <v>0</v>
          </cell>
        </row>
        <row r="523">
          <cell r="A523" t="str">
            <v>201-007-001-0002</v>
          </cell>
          <cell r="B523" t="str">
            <v>Hot / cool Water cooler</v>
          </cell>
          <cell r="C523">
            <v>4</v>
          </cell>
          <cell r="D523">
            <v>0</v>
          </cell>
        </row>
        <row r="524">
          <cell r="A524" t="str">
            <v>201-007-001-0003</v>
          </cell>
          <cell r="B524" t="str">
            <v>Fans</v>
          </cell>
          <cell r="C524">
            <v>4</v>
          </cell>
          <cell r="D524">
            <v>0</v>
          </cell>
        </row>
        <row r="525">
          <cell r="A525" t="str">
            <v>201-007-001-0004</v>
          </cell>
          <cell r="B525" t="str">
            <v>Exhaust Fans</v>
          </cell>
          <cell r="C525">
            <v>4</v>
          </cell>
          <cell r="D525">
            <v>0</v>
          </cell>
        </row>
        <row r="526">
          <cell r="A526" t="str">
            <v>201-007-001-0005</v>
          </cell>
          <cell r="B526" t="str">
            <v>Water Pumps</v>
          </cell>
          <cell r="C526">
            <v>4</v>
          </cell>
          <cell r="D526">
            <v>244720</v>
          </cell>
        </row>
        <row r="527">
          <cell r="A527" t="str">
            <v>201-007-001-0006</v>
          </cell>
          <cell r="B527" t="str">
            <v>T.V</v>
          </cell>
          <cell r="C527">
            <v>4</v>
          </cell>
          <cell r="D527">
            <v>0</v>
          </cell>
        </row>
        <row r="528">
          <cell r="A528" t="str">
            <v>201-007-001-0007</v>
          </cell>
          <cell r="B528" t="str">
            <v>VCR</v>
          </cell>
          <cell r="C528">
            <v>4</v>
          </cell>
          <cell r="D528">
            <v>0</v>
          </cell>
        </row>
        <row r="529">
          <cell r="A529" t="str">
            <v>201-007-001-0008</v>
          </cell>
          <cell r="B529" t="str">
            <v>Gas Appliances</v>
          </cell>
          <cell r="C529">
            <v>4</v>
          </cell>
          <cell r="D529">
            <v>0</v>
          </cell>
        </row>
        <row r="530">
          <cell r="A530" t="str">
            <v>201-007-001-0009</v>
          </cell>
          <cell r="B530" t="str">
            <v>Refrigerators</v>
          </cell>
          <cell r="C530">
            <v>4</v>
          </cell>
          <cell r="D530">
            <v>0</v>
          </cell>
        </row>
        <row r="531">
          <cell r="A531" t="str">
            <v>201-007-001-0010</v>
          </cell>
          <cell r="B531" t="str">
            <v>Water Filter</v>
          </cell>
          <cell r="C531">
            <v>4</v>
          </cell>
          <cell r="D531">
            <v>0</v>
          </cell>
        </row>
        <row r="532">
          <cell r="A532" t="str">
            <v>201-007-001-0011</v>
          </cell>
          <cell r="B532" t="str">
            <v>Transformers</v>
          </cell>
          <cell r="C532">
            <v>4</v>
          </cell>
          <cell r="D532">
            <v>0</v>
          </cell>
        </row>
        <row r="533">
          <cell r="A533" t="str">
            <v>201-007-001-0012</v>
          </cell>
          <cell r="B533" t="str">
            <v>Desert Cooler</v>
          </cell>
          <cell r="C533">
            <v>4</v>
          </cell>
          <cell r="D533">
            <v>0</v>
          </cell>
        </row>
        <row r="534">
          <cell r="A534" t="str">
            <v>201-007-001-0013</v>
          </cell>
          <cell r="B534" t="str">
            <v>Flex Sign Board</v>
          </cell>
          <cell r="C534">
            <v>4</v>
          </cell>
          <cell r="D534">
            <v>26500</v>
          </cell>
        </row>
        <row r="535">
          <cell r="A535" t="str">
            <v>201-008-000-0000</v>
          </cell>
          <cell r="C535">
            <v>2</v>
          </cell>
          <cell r="D535">
            <v>0</v>
          </cell>
        </row>
        <row r="536">
          <cell r="A536" t="str">
            <v>201-008-000-0001</v>
          </cell>
          <cell r="C536">
            <v>2</v>
          </cell>
          <cell r="D536">
            <v>0</v>
          </cell>
        </row>
        <row r="537">
          <cell r="A537" t="str">
            <v>201-011-000-0000</v>
          </cell>
          <cell r="B537" t="str">
            <v>Computers and Peripheral Devices</v>
          </cell>
          <cell r="C537">
            <v>2</v>
          </cell>
          <cell r="D537">
            <v>0</v>
          </cell>
        </row>
        <row r="538">
          <cell r="A538" t="str">
            <v>201-011-001-0000</v>
          </cell>
          <cell r="B538" t="str">
            <v>Computers and Peripheral Devices</v>
          </cell>
          <cell r="C538">
            <v>3</v>
          </cell>
          <cell r="D538">
            <v>0</v>
          </cell>
        </row>
        <row r="539">
          <cell r="A539" t="str">
            <v>201-011-001-0001</v>
          </cell>
          <cell r="B539" t="str">
            <v>CPU + Monitors+Key Board+Mouse</v>
          </cell>
          <cell r="C539">
            <v>4</v>
          </cell>
          <cell r="D539">
            <v>0</v>
          </cell>
        </row>
        <row r="540">
          <cell r="A540" t="str">
            <v>201-011-001-0002</v>
          </cell>
          <cell r="B540" t="str">
            <v>Printers</v>
          </cell>
          <cell r="C540">
            <v>4</v>
          </cell>
          <cell r="D540">
            <v>0</v>
          </cell>
        </row>
        <row r="541">
          <cell r="A541" t="str">
            <v>201-011-001-0003</v>
          </cell>
          <cell r="B541" t="str">
            <v>UPS</v>
          </cell>
          <cell r="C541">
            <v>4</v>
          </cell>
          <cell r="D541">
            <v>0</v>
          </cell>
        </row>
        <row r="542">
          <cell r="A542" t="str">
            <v>201-011-001-0004</v>
          </cell>
          <cell r="B542" t="str">
            <v>Stablizers</v>
          </cell>
          <cell r="C542">
            <v>4</v>
          </cell>
          <cell r="D542">
            <v>0</v>
          </cell>
        </row>
        <row r="543">
          <cell r="A543" t="str">
            <v>201-011-001-0005</v>
          </cell>
          <cell r="B543" t="str">
            <v>computer items</v>
          </cell>
          <cell r="C543">
            <v>4</v>
          </cell>
          <cell r="D543">
            <v>0</v>
          </cell>
        </row>
        <row r="544">
          <cell r="A544" t="str">
            <v>202-000-000-0000</v>
          </cell>
          <cell r="B544" t="str">
            <v>Accumulated Depriciation of Operating Assets</v>
          </cell>
          <cell r="C544">
            <v>1</v>
          </cell>
          <cell r="D544">
            <v>0</v>
          </cell>
        </row>
        <row r="545">
          <cell r="A545" t="str">
            <v>202-001-000-0000</v>
          </cell>
          <cell r="B545" t="str">
            <v>Accumulated Depriciation of Operating Assets</v>
          </cell>
          <cell r="C545">
            <v>2</v>
          </cell>
          <cell r="D545">
            <v>0</v>
          </cell>
        </row>
        <row r="546">
          <cell r="A546" t="str">
            <v>202-001-001-0000</v>
          </cell>
          <cell r="B546" t="str">
            <v>Accumulated Depriciation of Operating Assets</v>
          </cell>
          <cell r="C546">
            <v>3</v>
          </cell>
          <cell r="D546">
            <v>0</v>
          </cell>
        </row>
        <row r="547">
          <cell r="A547" t="str">
            <v>202-001-001-0001</v>
          </cell>
          <cell r="B547" t="str">
            <v>Accumulated Depriciation of Operating Assets</v>
          </cell>
          <cell r="C547">
            <v>4</v>
          </cell>
          <cell r="D547">
            <v>0</v>
          </cell>
        </row>
        <row r="548">
          <cell r="A548" t="str">
            <v>203-000-000-0000</v>
          </cell>
          <cell r="B548" t="str">
            <v>Assets Subject to Finance Lease</v>
          </cell>
          <cell r="C548">
            <v>1</v>
          </cell>
          <cell r="D548">
            <v>0</v>
          </cell>
        </row>
        <row r="549">
          <cell r="A549" t="str">
            <v>203-001-000-0000</v>
          </cell>
          <cell r="B549" t="str">
            <v>Assets Subject to Finance Lease</v>
          </cell>
          <cell r="C549">
            <v>2</v>
          </cell>
          <cell r="D549">
            <v>0</v>
          </cell>
        </row>
        <row r="550">
          <cell r="A550" t="str">
            <v>203-001-001-0000</v>
          </cell>
          <cell r="B550" t="str">
            <v>Assets Subject to Finance Lease</v>
          </cell>
          <cell r="C550">
            <v>3</v>
          </cell>
          <cell r="D550">
            <v>0</v>
          </cell>
        </row>
        <row r="551">
          <cell r="A551" t="str">
            <v>203-001-001-0001</v>
          </cell>
          <cell r="B551" t="str">
            <v>Assets Subject to Finance Lease</v>
          </cell>
          <cell r="C551">
            <v>4</v>
          </cell>
          <cell r="D551">
            <v>0</v>
          </cell>
        </row>
        <row r="552">
          <cell r="A552" t="str">
            <v>204-000-000-0000</v>
          </cell>
          <cell r="B552" t="str">
            <v>Accumulated Amortisation of Assets Subect to Finan</v>
          </cell>
          <cell r="C552">
            <v>1</v>
          </cell>
          <cell r="D552">
            <v>0</v>
          </cell>
        </row>
        <row r="553">
          <cell r="A553" t="str">
            <v>204-001-000-0000</v>
          </cell>
          <cell r="B553" t="str">
            <v>Accumulated Amortisation of Assets Subect to Finan</v>
          </cell>
          <cell r="C553">
            <v>2</v>
          </cell>
          <cell r="D553">
            <v>0</v>
          </cell>
        </row>
        <row r="554">
          <cell r="A554" t="str">
            <v>204-001-001-0000</v>
          </cell>
          <cell r="B554" t="str">
            <v>Accumulated Amortisation of Assets Subect to Finan</v>
          </cell>
          <cell r="C554">
            <v>3</v>
          </cell>
          <cell r="D554">
            <v>0</v>
          </cell>
        </row>
        <row r="555">
          <cell r="A555" t="str">
            <v>205-000-000-0000</v>
          </cell>
          <cell r="B555" t="str">
            <v>Capital Work in Progress</v>
          </cell>
          <cell r="C555">
            <v>1</v>
          </cell>
          <cell r="D555">
            <v>0</v>
          </cell>
        </row>
        <row r="556">
          <cell r="A556" t="str">
            <v>205-001-000-0000</v>
          </cell>
          <cell r="B556" t="str">
            <v>Capital Work in Progress</v>
          </cell>
          <cell r="C556">
            <v>2</v>
          </cell>
          <cell r="D556">
            <v>0</v>
          </cell>
        </row>
        <row r="557">
          <cell r="A557" t="str">
            <v>205-001-001-0000</v>
          </cell>
          <cell r="B557" t="str">
            <v>Capital Work in Progress</v>
          </cell>
          <cell r="C557">
            <v>3</v>
          </cell>
          <cell r="D557">
            <v>0</v>
          </cell>
        </row>
        <row r="558">
          <cell r="A558" t="str">
            <v>206-000-000-0000</v>
          </cell>
          <cell r="B558" t="str">
            <v>Long Term Investments</v>
          </cell>
          <cell r="C558">
            <v>1</v>
          </cell>
          <cell r="D558">
            <v>0</v>
          </cell>
        </row>
        <row r="559">
          <cell r="A559" t="str">
            <v>206-001-000-0000</v>
          </cell>
          <cell r="B559" t="str">
            <v>Long Term Investments</v>
          </cell>
          <cell r="C559">
            <v>2</v>
          </cell>
          <cell r="D559">
            <v>0</v>
          </cell>
        </row>
        <row r="560">
          <cell r="A560" t="str">
            <v>206-001-001-0000</v>
          </cell>
          <cell r="B560" t="str">
            <v>Long Term Investments</v>
          </cell>
          <cell r="C560">
            <v>3</v>
          </cell>
          <cell r="D560">
            <v>0</v>
          </cell>
        </row>
        <row r="561">
          <cell r="A561" t="str">
            <v>207-000-000-0000</v>
          </cell>
          <cell r="B561" t="str">
            <v>Long Term Loans, Deposits and Deferred Cost</v>
          </cell>
          <cell r="C561">
            <v>1</v>
          </cell>
          <cell r="D561">
            <v>0</v>
          </cell>
        </row>
        <row r="562">
          <cell r="A562" t="str">
            <v>207-001-000-0000</v>
          </cell>
          <cell r="B562" t="str">
            <v>Long Term Loans, Deposits and Deferred Cost</v>
          </cell>
          <cell r="C562">
            <v>2</v>
          </cell>
          <cell r="D562">
            <v>0</v>
          </cell>
        </row>
        <row r="563">
          <cell r="A563" t="str">
            <v>207-001-001-0000</v>
          </cell>
          <cell r="B563" t="str">
            <v>Long Term Loans</v>
          </cell>
          <cell r="C563">
            <v>3</v>
          </cell>
          <cell r="D563">
            <v>0</v>
          </cell>
        </row>
        <row r="564">
          <cell r="A564" t="str">
            <v>207-001-002-0000</v>
          </cell>
          <cell r="B564" t="str">
            <v>Long Term Deposits</v>
          </cell>
          <cell r="C564">
            <v>3</v>
          </cell>
          <cell r="D564">
            <v>0</v>
          </cell>
        </row>
        <row r="565">
          <cell r="A565" t="str">
            <v>207-001-003-0000</v>
          </cell>
          <cell r="B565" t="str">
            <v>Deferred  Cost</v>
          </cell>
          <cell r="C565">
            <v>3</v>
          </cell>
          <cell r="D565">
            <v>0</v>
          </cell>
        </row>
        <row r="566">
          <cell r="A566" t="str">
            <v>207-001-003-0001</v>
          </cell>
          <cell r="B566" t="str">
            <v>Deferred  Cost</v>
          </cell>
          <cell r="C566">
            <v>4</v>
          </cell>
          <cell r="D566">
            <v>0</v>
          </cell>
        </row>
        <row r="567">
          <cell r="A567" t="str">
            <v>208-000-000-0000</v>
          </cell>
          <cell r="B567" t="str">
            <v>Stores, Spares and Losse Tools</v>
          </cell>
          <cell r="C567">
            <v>1</v>
          </cell>
          <cell r="D567">
            <v>0</v>
          </cell>
        </row>
        <row r="568">
          <cell r="A568" t="str">
            <v>208-001-000-0000</v>
          </cell>
          <cell r="B568" t="str">
            <v>Stores, Spares and Losse Tools</v>
          </cell>
          <cell r="C568">
            <v>2</v>
          </cell>
          <cell r="D568">
            <v>0</v>
          </cell>
        </row>
        <row r="569">
          <cell r="A569" t="str">
            <v>208-001-001-0000</v>
          </cell>
          <cell r="B569" t="str">
            <v>Stores, Spares and Losse Tools</v>
          </cell>
          <cell r="C569">
            <v>3</v>
          </cell>
          <cell r="D569">
            <v>0</v>
          </cell>
        </row>
        <row r="570">
          <cell r="A570" t="str">
            <v>208-001-001-0001</v>
          </cell>
          <cell r="B570" t="str">
            <v>Stores / Construction Material</v>
          </cell>
          <cell r="C570">
            <v>4</v>
          </cell>
          <cell r="D570">
            <v>0</v>
          </cell>
        </row>
        <row r="571">
          <cell r="A571" t="str">
            <v>208-001-001-0002</v>
          </cell>
          <cell r="B571" t="str">
            <v>Spares</v>
          </cell>
          <cell r="C571">
            <v>4</v>
          </cell>
          <cell r="D571">
            <v>0</v>
          </cell>
        </row>
        <row r="572">
          <cell r="A572" t="str">
            <v>209-000-000-0000</v>
          </cell>
          <cell r="B572" t="str">
            <v>Stock in Trade</v>
          </cell>
          <cell r="C572">
            <v>1</v>
          </cell>
          <cell r="D572">
            <v>0</v>
          </cell>
        </row>
        <row r="573">
          <cell r="A573" t="str">
            <v>209-001-000-0000</v>
          </cell>
          <cell r="B573" t="str">
            <v>Stock in Trade</v>
          </cell>
          <cell r="C573">
            <v>2</v>
          </cell>
          <cell r="D573">
            <v>0</v>
          </cell>
        </row>
        <row r="574">
          <cell r="A574" t="str">
            <v>209-001-001-0000</v>
          </cell>
          <cell r="B574" t="str">
            <v>Stock in Trade</v>
          </cell>
          <cell r="C574">
            <v>3</v>
          </cell>
          <cell r="D574">
            <v>0</v>
          </cell>
        </row>
        <row r="575">
          <cell r="A575" t="str">
            <v>210-000-000-0000</v>
          </cell>
          <cell r="B575" t="str">
            <v>Work in progress</v>
          </cell>
          <cell r="C575">
            <v>1</v>
          </cell>
          <cell r="D575">
            <v>0</v>
          </cell>
        </row>
        <row r="576">
          <cell r="A576" t="str">
            <v>210-001-000-0000</v>
          </cell>
          <cell r="B576" t="str">
            <v>Work in progress</v>
          </cell>
          <cell r="C576">
            <v>2</v>
          </cell>
          <cell r="D576">
            <v>0</v>
          </cell>
        </row>
        <row r="577">
          <cell r="A577" t="str">
            <v>210-001-001-0000</v>
          </cell>
          <cell r="B577" t="str">
            <v>Work in progress</v>
          </cell>
          <cell r="C577">
            <v>3</v>
          </cell>
          <cell r="D577">
            <v>0</v>
          </cell>
        </row>
        <row r="578">
          <cell r="A578" t="str">
            <v>211-000-000-0000</v>
          </cell>
          <cell r="B578" t="str">
            <v>Contract Receivable / Trade Debts</v>
          </cell>
          <cell r="C578">
            <v>1</v>
          </cell>
          <cell r="D578">
            <v>47325508.540000007</v>
          </cell>
        </row>
        <row r="579">
          <cell r="A579" t="str">
            <v>211-001-000-0000</v>
          </cell>
          <cell r="B579" t="str">
            <v>Contract Receivable / Trade Debts</v>
          </cell>
          <cell r="C579">
            <v>2</v>
          </cell>
          <cell r="D579">
            <v>0</v>
          </cell>
        </row>
        <row r="580">
          <cell r="A580" t="str">
            <v>211-001-001-0000</v>
          </cell>
          <cell r="B580" t="str">
            <v>Contract Receivable / Trade Debts</v>
          </cell>
          <cell r="C580">
            <v>3</v>
          </cell>
          <cell r="D580">
            <v>0</v>
          </cell>
        </row>
        <row r="581">
          <cell r="A581" t="str">
            <v>211-001-001-0001</v>
          </cell>
          <cell r="B581" t="str">
            <v>Contract Receivable  from client</v>
          </cell>
          <cell r="C581">
            <v>4</v>
          </cell>
          <cell r="D581">
            <v>0</v>
          </cell>
        </row>
        <row r="582">
          <cell r="A582" t="str">
            <v>211-002-000-0000</v>
          </cell>
          <cell r="B582" t="str">
            <v>Receivable against workdone</v>
          </cell>
          <cell r="C582">
            <v>2</v>
          </cell>
          <cell r="D582">
            <v>47325508.539999999</v>
          </cell>
        </row>
        <row r="583">
          <cell r="A583" t="str">
            <v>211-002-001-0000</v>
          </cell>
          <cell r="B583" t="str">
            <v>Receivable against workdone</v>
          </cell>
          <cell r="C583">
            <v>3</v>
          </cell>
          <cell r="D583">
            <v>47325508.539999999</v>
          </cell>
        </row>
        <row r="584">
          <cell r="A584" t="str">
            <v>211-002-001-0001</v>
          </cell>
          <cell r="B584" t="str">
            <v>Receivable against workdone</v>
          </cell>
          <cell r="C584">
            <v>4</v>
          </cell>
          <cell r="D584">
            <v>47325508.539999999</v>
          </cell>
        </row>
        <row r="585">
          <cell r="A585" t="str">
            <v>212-000-000-0000</v>
          </cell>
          <cell r="B585" t="str">
            <v>Loans, Advances, Deposits, Prepayments and Other R</v>
          </cell>
          <cell r="C585">
            <v>1</v>
          </cell>
          <cell r="D585">
            <v>394297</v>
          </cell>
        </row>
        <row r="586">
          <cell r="A586" t="str">
            <v>212-001-000-0000</v>
          </cell>
          <cell r="B586" t="str">
            <v>Loans</v>
          </cell>
          <cell r="C586">
            <v>2</v>
          </cell>
          <cell r="D586">
            <v>0</v>
          </cell>
        </row>
        <row r="587">
          <cell r="A587" t="str">
            <v>212-001-001-0000</v>
          </cell>
          <cell r="B587" t="str">
            <v>Loans  toIntra/ Associated Projects</v>
          </cell>
          <cell r="C587">
            <v>3</v>
          </cell>
          <cell r="D587">
            <v>0</v>
          </cell>
        </row>
        <row r="588">
          <cell r="A588" t="str">
            <v>212-001-001-0001</v>
          </cell>
          <cell r="B588" t="str">
            <v>Loan to LRRP Project</v>
          </cell>
          <cell r="C588">
            <v>4</v>
          </cell>
          <cell r="D588">
            <v>0</v>
          </cell>
        </row>
        <row r="589">
          <cell r="A589" t="str">
            <v>212-001-001-0002</v>
          </cell>
          <cell r="B589" t="str">
            <v>abc</v>
          </cell>
          <cell r="C589">
            <v>4</v>
          </cell>
          <cell r="D589">
            <v>0</v>
          </cell>
        </row>
        <row r="590">
          <cell r="A590" t="str">
            <v>212-001-001-0003</v>
          </cell>
          <cell r="B590" t="str">
            <v>abc</v>
          </cell>
          <cell r="C590">
            <v>4</v>
          </cell>
          <cell r="D590">
            <v>0</v>
          </cell>
        </row>
        <row r="591">
          <cell r="A591" t="str">
            <v>212-001-001-0004</v>
          </cell>
          <cell r="B591" t="str">
            <v>abc</v>
          </cell>
          <cell r="C591">
            <v>4</v>
          </cell>
          <cell r="D591">
            <v>0</v>
          </cell>
        </row>
        <row r="592">
          <cell r="A592" t="str">
            <v>212-001-001-0005</v>
          </cell>
          <cell r="B592" t="str">
            <v>abc</v>
          </cell>
          <cell r="C592">
            <v>4</v>
          </cell>
          <cell r="D592">
            <v>0</v>
          </cell>
        </row>
        <row r="593">
          <cell r="A593" t="str">
            <v>212-001-001-0006</v>
          </cell>
          <cell r="B593" t="str">
            <v>abc</v>
          </cell>
          <cell r="C593">
            <v>4</v>
          </cell>
          <cell r="D593">
            <v>0</v>
          </cell>
        </row>
        <row r="594">
          <cell r="A594" t="str">
            <v>212-001-001-0007</v>
          </cell>
          <cell r="B594" t="str">
            <v>abc</v>
          </cell>
          <cell r="C594">
            <v>4</v>
          </cell>
          <cell r="D594">
            <v>0</v>
          </cell>
        </row>
        <row r="595">
          <cell r="A595" t="str">
            <v>212-001-001-0008</v>
          </cell>
          <cell r="B595" t="str">
            <v>abc</v>
          </cell>
          <cell r="C595">
            <v>4</v>
          </cell>
          <cell r="D595">
            <v>0</v>
          </cell>
        </row>
        <row r="596">
          <cell r="A596" t="str">
            <v>212-001-001-0009</v>
          </cell>
          <cell r="B596" t="str">
            <v>abc</v>
          </cell>
          <cell r="C596">
            <v>4</v>
          </cell>
          <cell r="D596">
            <v>0</v>
          </cell>
        </row>
        <row r="597">
          <cell r="A597" t="str">
            <v>212-001-001-0010</v>
          </cell>
          <cell r="B597" t="str">
            <v>abc</v>
          </cell>
          <cell r="C597">
            <v>4</v>
          </cell>
          <cell r="D597">
            <v>0</v>
          </cell>
        </row>
        <row r="598">
          <cell r="A598" t="str">
            <v>212-001-001-0011</v>
          </cell>
          <cell r="B598" t="str">
            <v>abc</v>
          </cell>
          <cell r="C598">
            <v>4</v>
          </cell>
          <cell r="D598">
            <v>0</v>
          </cell>
        </row>
        <row r="599">
          <cell r="A599" t="str">
            <v>212-001-002-0000</v>
          </cell>
          <cell r="B599" t="str">
            <v>Loan To Army Officers</v>
          </cell>
          <cell r="C599">
            <v>3</v>
          </cell>
          <cell r="D599">
            <v>0</v>
          </cell>
        </row>
        <row r="600">
          <cell r="A600" t="str">
            <v>212-001-003-0000</v>
          </cell>
          <cell r="B600" t="str">
            <v>Loan to Civil Staff</v>
          </cell>
          <cell r="C600">
            <v>3</v>
          </cell>
          <cell r="D600">
            <v>0</v>
          </cell>
        </row>
        <row r="601">
          <cell r="A601" t="str">
            <v>212-001-004-0000</v>
          </cell>
          <cell r="B601" t="str">
            <v>Loan to JCOs' staff</v>
          </cell>
          <cell r="C601">
            <v>3</v>
          </cell>
          <cell r="D601">
            <v>0</v>
          </cell>
        </row>
        <row r="602">
          <cell r="A602" t="str">
            <v>212-002-000-0000</v>
          </cell>
          <cell r="B602" t="str">
            <v>Advance to Employees against Salaries</v>
          </cell>
          <cell r="C602">
            <v>2</v>
          </cell>
          <cell r="D602">
            <v>0</v>
          </cell>
        </row>
        <row r="603">
          <cell r="A603" t="str">
            <v>212-002-001-0000</v>
          </cell>
          <cell r="B603" t="str">
            <v>Advance to Army Officers</v>
          </cell>
          <cell r="C603">
            <v>3</v>
          </cell>
          <cell r="D603">
            <v>0</v>
          </cell>
        </row>
        <row r="604">
          <cell r="A604" t="str">
            <v>212-002-002-0000</v>
          </cell>
          <cell r="B604" t="str">
            <v>Advance to Civil staff</v>
          </cell>
          <cell r="C604">
            <v>3</v>
          </cell>
          <cell r="D604">
            <v>0</v>
          </cell>
        </row>
        <row r="605">
          <cell r="A605" t="str">
            <v>212-002-003-0000</v>
          </cell>
          <cell r="B605" t="str">
            <v>Advance to JCOs' Staff</v>
          </cell>
          <cell r="C605">
            <v>3</v>
          </cell>
          <cell r="D605">
            <v>0</v>
          </cell>
        </row>
        <row r="606">
          <cell r="A606" t="str">
            <v>212-003-000-0000</v>
          </cell>
          <cell r="B606" t="str">
            <v>Advance to Employees against Expenses</v>
          </cell>
          <cell r="C606">
            <v>2</v>
          </cell>
          <cell r="D606">
            <v>0</v>
          </cell>
        </row>
        <row r="607">
          <cell r="A607" t="str">
            <v>212-003-001-0000</v>
          </cell>
          <cell r="B607" t="str">
            <v>Advance to Army Officers</v>
          </cell>
          <cell r="C607">
            <v>3</v>
          </cell>
          <cell r="D607">
            <v>0</v>
          </cell>
        </row>
        <row r="608">
          <cell r="A608" t="str">
            <v>212-003-002-0000</v>
          </cell>
          <cell r="B608" t="str">
            <v>Advance to Civil staff</v>
          </cell>
          <cell r="C608">
            <v>3</v>
          </cell>
          <cell r="D608">
            <v>0</v>
          </cell>
        </row>
        <row r="609">
          <cell r="A609" t="str">
            <v>212-003-003-0000</v>
          </cell>
          <cell r="B609" t="str">
            <v>Advance to JCOs' Staff</v>
          </cell>
          <cell r="C609">
            <v>3</v>
          </cell>
          <cell r="D609">
            <v>0</v>
          </cell>
        </row>
        <row r="610">
          <cell r="A610" t="str">
            <v>212-004-000-0000</v>
          </cell>
          <cell r="B610" t="str">
            <v>Advance to Associated Projects</v>
          </cell>
          <cell r="C610">
            <v>2</v>
          </cell>
          <cell r="D610">
            <v>0</v>
          </cell>
        </row>
        <row r="611">
          <cell r="A611" t="str">
            <v>212-004-001-0000</v>
          </cell>
          <cell r="B611" t="str">
            <v>Advance to Associated Projects</v>
          </cell>
          <cell r="C611">
            <v>3</v>
          </cell>
          <cell r="D611">
            <v>0</v>
          </cell>
        </row>
        <row r="612">
          <cell r="A612" t="str">
            <v>212-005-000-0000</v>
          </cell>
          <cell r="B612" t="str">
            <v>Advance to Contractors</v>
          </cell>
          <cell r="C612">
            <v>2</v>
          </cell>
          <cell r="D612">
            <v>0</v>
          </cell>
        </row>
        <row r="613">
          <cell r="A613" t="str">
            <v>212-005-001-0000</v>
          </cell>
          <cell r="B613" t="str">
            <v>Advance to Contractors</v>
          </cell>
          <cell r="C613">
            <v>3</v>
          </cell>
          <cell r="D613">
            <v>0</v>
          </cell>
        </row>
        <row r="614">
          <cell r="A614" t="str">
            <v>212-005-001-0001</v>
          </cell>
          <cell r="B614" t="str">
            <v>Advance to Contractors to abc</v>
          </cell>
          <cell r="C614">
            <v>4</v>
          </cell>
          <cell r="D614">
            <v>0</v>
          </cell>
        </row>
        <row r="615">
          <cell r="A615" t="str">
            <v>212-006-000-0000</v>
          </cell>
          <cell r="B615" t="str">
            <v>Moblization Advances</v>
          </cell>
          <cell r="C615">
            <v>2</v>
          </cell>
          <cell r="D615">
            <v>0</v>
          </cell>
        </row>
        <row r="616">
          <cell r="A616" t="str">
            <v>212-006-001-0000</v>
          </cell>
          <cell r="B616" t="str">
            <v>Moblization Advances</v>
          </cell>
          <cell r="C616">
            <v>3</v>
          </cell>
          <cell r="D616">
            <v>0</v>
          </cell>
        </row>
        <row r="617">
          <cell r="A617" t="str">
            <v>212-006-001-0001</v>
          </cell>
          <cell r="B617" t="str">
            <v>Moblization Advances to abc</v>
          </cell>
          <cell r="C617">
            <v>4</v>
          </cell>
          <cell r="D617">
            <v>0</v>
          </cell>
        </row>
        <row r="618">
          <cell r="A618" t="str">
            <v>212-006-001-0002</v>
          </cell>
          <cell r="B618" t="str">
            <v>Moblization Advances to abc</v>
          </cell>
          <cell r="C618">
            <v>4</v>
          </cell>
          <cell r="D618">
            <v>0</v>
          </cell>
        </row>
        <row r="619">
          <cell r="A619" t="str">
            <v>212-006-001-0003</v>
          </cell>
          <cell r="B619" t="str">
            <v>Moblization Advances to abc</v>
          </cell>
          <cell r="C619">
            <v>4</v>
          </cell>
          <cell r="D619">
            <v>0</v>
          </cell>
        </row>
        <row r="620">
          <cell r="A620" t="str">
            <v>212-007-000-0000</v>
          </cell>
          <cell r="B620" t="str">
            <v>Deposits</v>
          </cell>
          <cell r="C620">
            <v>2</v>
          </cell>
          <cell r="D620">
            <v>0</v>
          </cell>
        </row>
        <row r="621">
          <cell r="A621" t="str">
            <v>212-007-001-0000</v>
          </cell>
          <cell r="B621" t="str">
            <v>Deposits - Utilities</v>
          </cell>
          <cell r="C621">
            <v>3</v>
          </cell>
          <cell r="D621">
            <v>0</v>
          </cell>
        </row>
        <row r="622">
          <cell r="A622" t="str">
            <v>212-007-001-0001</v>
          </cell>
          <cell r="B622" t="str">
            <v>Telephone Security Deposits</v>
          </cell>
          <cell r="C622">
            <v>4</v>
          </cell>
          <cell r="D622">
            <v>0</v>
          </cell>
        </row>
        <row r="623">
          <cell r="A623" t="str">
            <v>212-007-001-0002</v>
          </cell>
          <cell r="B623" t="str">
            <v>Electricity Security Deposits</v>
          </cell>
          <cell r="C623">
            <v>4</v>
          </cell>
          <cell r="D623">
            <v>0</v>
          </cell>
        </row>
        <row r="624">
          <cell r="A624" t="str">
            <v>212-007-001-0003</v>
          </cell>
          <cell r="B624" t="str">
            <v>Mobilephone Security Deposits</v>
          </cell>
          <cell r="C624">
            <v>4</v>
          </cell>
          <cell r="D624">
            <v>0</v>
          </cell>
        </row>
        <row r="625">
          <cell r="A625" t="str">
            <v>212-007-001-0004</v>
          </cell>
          <cell r="B625" t="str">
            <v>Gas Security Deposits</v>
          </cell>
          <cell r="C625">
            <v>4</v>
          </cell>
          <cell r="D625">
            <v>0</v>
          </cell>
        </row>
        <row r="626">
          <cell r="A626" t="str">
            <v>212-007-002-0000</v>
          </cell>
          <cell r="B626" t="str">
            <v>Security Deposit/Earenist Money with Clints</v>
          </cell>
          <cell r="C626">
            <v>3</v>
          </cell>
          <cell r="D626">
            <v>0</v>
          </cell>
        </row>
        <row r="627">
          <cell r="A627" t="str">
            <v>212-007-002-0001</v>
          </cell>
          <cell r="B627" t="str">
            <v>Security Deposit/Earenist Money with Clints</v>
          </cell>
          <cell r="C627">
            <v>4</v>
          </cell>
          <cell r="D627">
            <v>0</v>
          </cell>
        </row>
        <row r="628">
          <cell r="A628" t="str">
            <v>212-008-000-0000</v>
          </cell>
          <cell r="B628" t="str">
            <v>Prepayments</v>
          </cell>
          <cell r="C628">
            <v>2</v>
          </cell>
          <cell r="D628">
            <v>0</v>
          </cell>
        </row>
        <row r="629">
          <cell r="A629" t="str">
            <v>212-008-001-0000</v>
          </cell>
          <cell r="B629" t="str">
            <v>Income Tax Deducted at Soruce</v>
          </cell>
          <cell r="C629">
            <v>3</v>
          </cell>
          <cell r="D629">
            <v>0</v>
          </cell>
        </row>
        <row r="630">
          <cell r="A630" t="str">
            <v>212-008-001-0001</v>
          </cell>
          <cell r="B630" t="str">
            <v>Income Tax Deducted at Soruce</v>
          </cell>
          <cell r="C630">
            <v>4</v>
          </cell>
          <cell r="D630">
            <v>0</v>
          </cell>
        </row>
        <row r="631">
          <cell r="A631" t="str">
            <v>212-008-002-0000</v>
          </cell>
          <cell r="B631" t="str">
            <v>Letter of Credits</v>
          </cell>
          <cell r="C631">
            <v>3</v>
          </cell>
          <cell r="D631">
            <v>0</v>
          </cell>
        </row>
        <row r="632">
          <cell r="A632" t="str">
            <v>212-008-003-0000</v>
          </cell>
          <cell r="B632" t="str">
            <v>Bank Guarantee</v>
          </cell>
          <cell r="C632">
            <v>3</v>
          </cell>
          <cell r="D632">
            <v>0</v>
          </cell>
        </row>
        <row r="633">
          <cell r="A633" t="str">
            <v>212-008-004-0000</v>
          </cell>
          <cell r="B633" t="str">
            <v>Retention Money Receivable from Client</v>
          </cell>
          <cell r="C633">
            <v>3</v>
          </cell>
          <cell r="D633">
            <v>0</v>
          </cell>
        </row>
        <row r="634">
          <cell r="A634" t="str">
            <v>212-008-004-0001</v>
          </cell>
          <cell r="B634" t="str">
            <v>Retention Money from Client - Attock Distt</v>
          </cell>
          <cell r="C634">
            <v>4</v>
          </cell>
          <cell r="D634">
            <v>0</v>
          </cell>
        </row>
        <row r="635">
          <cell r="A635" t="str">
            <v>212-009-000-0000</v>
          </cell>
          <cell r="B635" t="str">
            <v>Other Receivables</v>
          </cell>
          <cell r="C635">
            <v>2</v>
          </cell>
          <cell r="D635">
            <v>0</v>
          </cell>
        </row>
        <row r="636">
          <cell r="A636" t="str">
            <v>212-009-001-0000</v>
          </cell>
          <cell r="B636" t="str">
            <v>Other Receivables</v>
          </cell>
          <cell r="C636">
            <v>3</v>
          </cell>
          <cell r="D636">
            <v>0</v>
          </cell>
        </row>
        <row r="637">
          <cell r="A637" t="str">
            <v>212-009-001-0001</v>
          </cell>
          <cell r="B637" t="str">
            <v>Other Receivables</v>
          </cell>
          <cell r="C637">
            <v>4</v>
          </cell>
          <cell r="D637">
            <v>0</v>
          </cell>
        </row>
        <row r="638">
          <cell r="A638" t="str">
            <v>212-009-001-0002</v>
          </cell>
          <cell r="B638" t="str">
            <v>Bank Profit Receivables</v>
          </cell>
          <cell r="C638">
            <v>4</v>
          </cell>
          <cell r="D638">
            <v>0</v>
          </cell>
        </row>
        <row r="639">
          <cell r="A639" t="str">
            <v>212-010-000-0000</v>
          </cell>
          <cell r="B639" t="str">
            <v>Short Term Investment</v>
          </cell>
          <cell r="C639">
            <v>2</v>
          </cell>
          <cell r="D639">
            <v>0</v>
          </cell>
        </row>
        <row r="640">
          <cell r="A640" t="str">
            <v>212-010-001-0000</v>
          </cell>
          <cell r="B640" t="str">
            <v>Short Term Investment</v>
          </cell>
          <cell r="C640">
            <v>3</v>
          </cell>
          <cell r="D640">
            <v>0</v>
          </cell>
        </row>
        <row r="641">
          <cell r="A641" t="str">
            <v>212-011-000-0000</v>
          </cell>
          <cell r="B641" t="str">
            <v>Cash and Bank Balances</v>
          </cell>
          <cell r="C641">
            <v>2</v>
          </cell>
          <cell r="D641">
            <v>289166</v>
          </cell>
        </row>
        <row r="642">
          <cell r="A642" t="str">
            <v>212-011-001-0000</v>
          </cell>
          <cell r="B642" t="str">
            <v>Cash at Bank in PLS Accounts</v>
          </cell>
          <cell r="C642">
            <v>3</v>
          </cell>
          <cell r="D642">
            <v>289166</v>
          </cell>
        </row>
        <row r="643">
          <cell r="A643" t="str">
            <v>212-011-001-0001</v>
          </cell>
          <cell r="B643" t="str">
            <v>Bank A/C# NIDA 22-4 DHA Rehbar</v>
          </cell>
          <cell r="C643">
            <v>4</v>
          </cell>
          <cell r="D643">
            <v>289166</v>
          </cell>
        </row>
        <row r="644">
          <cell r="A644" t="str">
            <v>212-011-001-0002</v>
          </cell>
          <cell r="B644" t="str">
            <v>Bank A/C# NIDA 23-3 OFC Project</v>
          </cell>
          <cell r="C644">
            <v>4</v>
          </cell>
          <cell r="D644">
            <v>0</v>
          </cell>
        </row>
        <row r="645">
          <cell r="A645" t="str">
            <v>212-011-001-0003</v>
          </cell>
          <cell r="B645" t="str">
            <v>Bank A/C# NIDA 15-3 Revolving Fund Acct.</v>
          </cell>
          <cell r="C645">
            <v>4</v>
          </cell>
          <cell r="D645">
            <v>0</v>
          </cell>
        </row>
        <row r="646">
          <cell r="A646" t="str">
            <v>212-011-001-0004</v>
          </cell>
          <cell r="B646" t="str">
            <v>Bank A/C# NIDA-21-5 Lhr City Roads</v>
          </cell>
          <cell r="C646">
            <v>4</v>
          </cell>
          <cell r="D646">
            <v>0</v>
          </cell>
        </row>
        <row r="647">
          <cell r="A647" t="str">
            <v>212-011-001-0005</v>
          </cell>
          <cell r="B647" t="str">
            <v>DHA Rahber Account</v>
          </cell>
          <cell r="C647">
            <v>4</v>
          </cell>
          <cell r="D647">
            <v>0</v>
          </cell>
        </row>
        <row r="648">
          <cell r="A648" t="str">
            <v>212-011-001-0006</v>
          </cell>
          <cell r="B648" t="str">
            <v>OFC Project Account</v>
          </cell>
          <cell r="C648">
            <v>4</v>
          </cell>
          <cell r="D648">
            <v>0</v>
          </cell>
        </row>
        <row r="649">
          <cell r="A649" t="str">
            <v>212-011-002-0000</v>
          </cell>
          <cell r="B649" t="str">
            <v>Cash at bank in saving accounts</v>
          </cell>
          <cell r="C649">
            <v>3</v>
          </cell>
          <cell r="D649">
            <v>0</v>
          </cell>
        </row>
        <row r="650">
          <cell r="A650" t="str">
            <v>212-011-003-0000</v>
          </cell>
          <cell r="B650" t="str">
            <v>Cash at bank in current accounts</v>
          </cell>
          <cell r="C650">
            <v>3</v>
          </cell>
          <cell r="D650">
            <v>0</v>
          </cell>
        </row>
        <row r="651">
          <cell r="A651" t="str">
            <v>212-011-004-0000</v>
          </cell>
          <cell r="B651" t="str">
            <v>Cash at bank in term deposits accounts</v>
          </cell>
          <cell r="C651">
            <v>3</v>
          </cell>
          <cell r="D651">
            <v>0</v>
          </cell>
        </row>
        <row r="652">
          <cell r="A652" t="str">
            <v>212-012-000-0000</v>
          </cell>
          <cell r="B652" t="str">
            <v>Cash in Hand</v>
          </cell>
          <cell r="C652">
            <v>2</v>
          </cell>
          <cell r="D652">
            <v>105131</v>
          </cell>
        </row>
        <row r="653">
          <cell r="A653" t="str">
            <v>212-012-001-0000</v>
          </cell>
          <cell r="B653" t="str">
            <v>Cash Account</v>
          </cell>
          <cell r="C653">
            <v>3</v>
          </cell>
          <cell r="D653">
            <v>105131</v>
          </cell>
        </row>
        <row r="654">
          <cell r="A654" t="str">
            <v>212-012-001-0001</v>
          </cell>
          <cell r="B654" t="str">
            <v>Cash in Hand DHA Rahber</v>
          </cell>
          <cell r="C654">
            <v>4</v>
          </cell>
          <cell r="D654">
            <v>105131</v>
          </cell>
        </row>
        <row r="655">
          <cell r="A655" t="str">
            <v>212-012-001-0002</v>
          </cell>
          <cell r="B655" t="str">
            <v>Cash  IN HAND OFC</v>
          </cell>
          <cell r="C655">
            <v>4</v>
          </cell>
          <cell r="D655">
            <v>0</v>
          </cell>
        </row>
        <row r="656">
          <cell r="A656" t="str">
            <v>301-000-000-0000</v>
          </cell>
          <cell r="B656" t="str">
            <v>Project Revenue</v>
          </cell>
          <cell r="C656">
            <v>1</v>
          </cell>
          <cell r="D656">
            <v>-84153000</v>
          </cell>
        </row>
        <row r="657">
          <cell r="A657" t="str">
            <v>301-001-000-0000</v>
          </cell>
          <cell r="B657" t="str">
            <v>Contract Revenue / Work Done Construction Project</v>
          </cell>
          <cell r="C657">
            <v>2</v>
          </cell>
          <cell r="D657">
            <v>-84153000</v>
          </cell>
        </row>
        <row r="658">
          <cell r="A658" t="str">
            <v>301-001-001-0000</v>
          </cell>
          <cell r="B658" t="str">
            <v>Contract Revenue / Work Done Construction Project</v>
          </cell>
          <cell r="C658">
            <v>3</v>
          </cell>
          <cell r="D658">
            <v>-84153000</v>
          </cell>
        </row>
        <row r="659">
          <cell r="A659" t="str">
            <v>301-001-001-0001</v>
          </cell>
          <cell r="B659" t="str">
            <v>Revenue against Work done</v>
          </cell>
          <cell r="C659">
            <v>4</v>
          </cell>
          <cell r="D659">
            <v>-84153000</v>
          </cell>
        </row>
        <row r="660">
          <cell r="A660" t="str">
            <v>301-001-001-0002</v>
          </cell>
          <cell r="B660" t="str">
            <v>Const.Material Recovery</v>
          </cell>
          <cell r="C660">
            <v>4</v>
          </cell>
          <cell r="D660">
            <v>0</v>
          </cell>
        </row>
        <row r="661">
          <cell r="A661" t="str">
            <v>301-001-001-0003</v>
          </cell>
          <cell r="B661" t="str">
            <v>Recovery Pipe</v>
          </cell>
          <cell r="C661">
            <v>4</v>
          </cell>
          <cell r="D661">
            <v>0</v>
          </cell>
        </row>
        <row r="662">
          <cell r="A662" t="str">
            <v>301-001-001-0004</v>
          </cell>
          <cell r="C662">
            <v>4</v>
          </cell>
          <cell r="D662">
            <v>0</v>
          </cell>
        </row>
        <row r="663">
          <cell r="A663" t="str">
            <v>301-002-000-0000</v>
          </cell>
          <cell r="B663" t="str">
            <v>Toll  Receipts</v>
          </cell>
          <cell r="C663">
            <v>2</v>
          </cell>
          <cell r="D663">
            <v>0</v>
          </cell>
        </row>
        <row r="664">
          <cell r="A664" t="str">
            <v>301-002-001-0000</v>
          </cell>
          <cell r="B664" t="str">
            <v>20 % Share of GBS Toll Collection/Receipts</v>
          </cell>
          <cell r="C664">
            <v>3</v>
          </cell>
          <cell r="D664">
            <v>0</v>
          </cell>
        </row>
        <row r="665">
          <cell r="A665" t="str">
            <v>301-002-002-0000</v>
          </cell>
          <cell r="B665" t="str">
            <v>Toll Palaza  Receipts</v>
          </cell>
          <cell r="C665">
            <v>3</v>
          </cell>
          <cell r="D665">
            <v>0</v>
          </cell>
        </row>
        <row r="666">
          <cell r="A666" t="str">
            <v>302-000-000-0000</v>
          </cell>
          <cell r="B666" t="str">
            <v>Sales</v>
          </cell>
          <cell r="C666">
            <v>1</v>
          </cell>
          <cell r="D666">
            <v>0</v>
          </cell>
        </row>
        <row r="667">
          <cell r="A667" t="str">
            <v>302-001-000-0000</v>
          </cell>
          <cell r="B667" t="str">
            <v>Sales</v>
          </cell>
          <cell r="C667">
            <v>2</v>
          </cell>
          <cell r="D667">
            <v>0</v>
          </cell>
        </row>
        <row r="668">
          <cell r="A668" t="str">
            <v>302-001-001-0000</v>
          </cell>
          <cell r="B668" t="str">
            <v>Sales of Pipes</v>
          </cell>
          <cell r="C668">
            <v>3</v>
          </cell>
          <cell r="D668">
            <v>0</v>
          </cell>
        </row>
        <row r="669">
          <cell r="A669" t="str">
            <v>302-001-002-0000</v>
          </cell>
          <cell r="B669" t="str">
            <v>Sales of Slabs</v>
          </cell>
          <cell r="C669">
            <v>3</v>
          </cell>
          <cell r="D669">
            <v>0</v>
          </cell>
        </row>
        <row r="670">
          <cell r="A670" t="str">
            <v>302-001-003-0000</v>
          </cell>
          <cell r="B670" t="str">
            <v>Sales of Kerb Stones</v>
          </cell>
          <cell r="C670">
            <v>3</v>
          </cell>
          <cell r="D670">
            <v>0</v>
          </cell>
        </row>
        <row r="671">
          <cell r="A671" t="str">
            <v>302-001-004-0000</v>
          </cell>
          <cell r="B671" t="str">
            <v>Sales of Asphalt Materials</v>
          </cell>
          <cell r="C671">
            <v>3</v>
          </cell>
          <cell r="D671">
            <v>0</v>
          </cell>
        </row>
        <row r="672">
          <cell r="A672" t="str">
            <v>303-000-000-0000</v>
          </cell>
          <cell r="B672" t="str">
            <v>Lease Hiring Receipts</v>
          </cell>
          <cell r="C672">
            <v>1</v>
          </cell>
          <cell r="D672">
            <v>0</v>
          </cell>
        </row>
        <row r="673">
          <cell r="A673" t="str">
            <v>303-001-000-0000</v>
          </cell>
          <cell r="B673" t="str">
            <v>Lease Hiring Receipts</v>
          </cell>
          <cell r="C673">
            <v>2</v>
          </cell>
          <cell r="D673">
            <v>0</v>
          </cell>
        </row>
        <row r="674">
          <cell r="A674" t="str">
            <v>303-001-001-0000</v>
          </cell>
          <cell r="B674" t="str">
            <v>Asphalt Plant Lease Hiring Receipts</v>
          </cell>
          <cell r="C674">
            <v>3</v>
          </cell>
          <cell r="D674">
            <v>0</v>
          </cell>
        </row>
        <row r="675">
          <cell r="A675" t="str">
            <v>401-000-000-0000</v>
          </cell>
          <cell r="B675" t="str">
            <v>Contract Cost / Cost of Project</v>
          </cell>
          <cell r="C675">
            <v>1</v>
          </cell>
          <cell r="D675">
            <v>0</v>
          </cell>
        </row>
        <row r="676">
          <cell r="A676" t="str">
            <v>401-001-000-0000</v>
          </cell>
          <cell r="B676" t="str">
            <v>Opening Stock</v>
          </cell>
          <cell r="C676">
            <v>2</v>
          </cell>
          <cell r="D676">
            <v>0</v>
          </cell>
        </row>
        <row r="677">
          <cell r="A677" t="str">
            <v>401-001-001-0000</v>
          </cell>
          <cell r="B677" t="str">
            <v>Opening Stock</v>
          </cell>
          <cell r="C677">
            <v>3</v>
          </cell>
          <cell r="D677">
            <v>0</v>
          </cell>
        </row>
        <row r="678">
          <cell r="A678" t="str">
            <v>402-000-000-0000</v>
          </cell>
          <cell r="B678" t="str">
            <v>Store / Construction Material</v>
          </cell>
          <cell r="C678">
            <v>1</v>
          </cell>
          <cell r="D678">
            <v>3395717.04</v>
          </cell>
        </row>
        <row r="679">
          <cell r="A679" t="str">
            <v>402-001-000-0000</v>
          </cell>
          <cell r="B679" t="str">
            <v>Store / Construction Material</v>
          </cell>
          <cell r="C679">
            <v>2</v>
          </cell>
          <cell r="D679">
            <v>3395717.04</v>
          </cell>
        </row>
        <row r="680">
          <cell r="A680" t="str">
            <v>402-001-001-0000</v>
          </cell>
          <cell r="B680" t="str">
            <v>Store / Construction Material</v>
          </cell>
          <cell r="C680">
            <v>3</v>
          </cell>
          <cell r="D680">
            <v>3395717.04</v>
          </cell>
        </row>
        <row r="681">
          <cell r="A681" t="str">
            <v>402-001-001-0001</v>
          </cell>
          <cell r="B681" t="str">
            <v>Bricks</v>
          </cell>
          <cell r="C681">
            <v>4</v>
          </cell>
          <cell r="D681">
            <v>0</v>
          </cell>
        </row>
        <row r="682">
          <cell r="A682" t="str">
            <v>402-001-001-0002</v>
          </cell>
          <cell r="B682" t="str">
            <v>Steel Rods</v>
          </cell>
          <cell r="C682">
            <v>4</v>
          </cell>
          <cell r="D682">
            <v>0</v>
          </cell>
        </row>
        <row r="683">
          <cell r="A683" t="str">
            <v>402-001-001-0003</v>
          </cell>
          <cell r="B683" t="str">
            <v>Cement</v>
          </cell>
          <cell r="C683">
            <v>4</v>
          </cell>
          <cell r="D683">
            <v>0</v>
          </cell>
        </row>
        <row r="684">
          <cell r="A684" t="str">
            <v>402-001-001-0004</v>
          </cell>
          <cell r="B684" t="str">
            <v>Bitumen</v>
          </cell>
          <cell r="C684">
            <v>4</v>
          </cell>
          <cell r="D684">
            <v>0</v>
          </cell>
        </row>
        <row r="685">
          <cell r="A685" t="str">
            <v>402-001-001-0005</v>
          </cell>
          <cell r="B685" t="str">
            <v>Crush</v>
          </cell>
          <cell r="C685">
            <v>4</v>
          </cell>
          <cell r="D685">
            <v>24637</v>
          </cell>
        </row>
        <row r="686">
          <cell r="A686" t="str">
            <v>402-001-001-0006</v>
          </cell>
          <cell r="B686" t="str">
            <v>Pipes</v>
          </cell>
          <cell r="C686">
            <v>4</v>
          </cell>
          <cell r="D686">
            <v>0</v>
          </cell>
        </row>
        <row r="687">
          <cell r="A687" t="str">
            <v>402-001-001-0007</v>
          </cell>
          <cell r="B687" t="str">
            <v>PVC Pipes and Accessories</v>
          </cell>
          <cell r="C687">
            <v>4</v>
          </cell>
          <cell r="D687">
            <v>0</v>
          </cell>
        </row>
        <row r="688">
          <cell r="A688" t="str">
            <v>402-001-001-0008</v>
          </cell>
          <cell r="B688" t="str">
            <v>Slabs</v>
          </cell>
          <cell r="C688">
            <v>4</v>
          </cell>
          <cell r="D688">
            <v>0</v>
          </cell>
        </row>
        <row r="689">
          <cell r="A689" t="str">
            <v>402-001-001-0009</v>
          </cell>
          <cell r="B689" t="str">
            <v>Sand</v>
          </cell>
          <cell r="C689">
            <v>4</v>
          </cell>
          <cell r="D689">
            <v>2841489</v>
          </cell>
        </row>
        <row r="690">
          <cell r="A690" t="str">
            <v>402-001-001-0010</v>
          </cell>
          <cell r="B690" t="str">
            <v>Sub base Material</v>
          </cell>
          <cell r="C690">
            <v>4</v>
          </cell>
          <cell r="D690">
            <v>351062.2</v>
          </cell>
        </row>
        <row r="691">
          <cell r="A691" t="str">
            <v>402-001-001-0011</v>
          </cell>
          <cell r="B691" t="str">
            <v>Stone dust</v>
          </cell>
          <cell r="C691">
            <v>4</v>
          </cell>
          <cell r="D691">
            <v>21657.68</v>
          </cell>
        </row>
        <row r="692">
          <cell r="A692" t="str">
            <v>402-001-001-0012</v>
          </cell>
          <cell r="B692" t="str">
            <v>Tuff Pavers</v>
          </cell>
          <cell r="C692">
            <v>4</v>
          </cell>
          <cell r="D692">
            <v>0</v>
          </cell>
        </row>
        <row r="693">
          <cell r="A693" t="str">
            <v>402-001-001-0013</v>
          </cell>
          <cell r="B693" t="str">
            <v>Fire Wood</v>
          </cell>
          <cell r="C693">
            <v>4</v>
          </cell>
          <cell r="D693">
            <v>0</v>
          </cell>
        </row>
        <row r="694">
          <cell r="A694" t="str">
            <v>402-001-001-0014</v>
          </cell>
          <cell r="B694" t="str">
            <v>Base Material</v>
          </cell>
          <cell r="C694">
            <v>4</v>
          </cell>
          <cell r="D694">
            <v>156871.16</v>
          </cell>
        </row>
        <row r="695">
          <cell r="A695" t="str">
            <v>402-001-001-0015</v>
          </cell>
          <cell r="B695" t="str">
            <v>Oil and Lubricants</v>
          </cell>
          <cell r="C695">
            <v>4</v>
          </cell>
          <cell r="D695">
            <v>0</v>
          </cell>
        </row>
        <row r="696">
          <cell r="A696" t="str">
            <v>402-001-001-0016</v>
          </cell>
          <cell r="B696" t="str">
            <v>Stores and Spares</v>
          </cell>
          <cell r="C696">
            <v>4</v>
          </cell>
          <cell r="D696">
            <v>0</v>
          </cell>
        </row>
        <row r="697">
          <cell r="A697" t="str">
            <v>402-001-001-0017</v>
          </cell>
          <cell r="B697" t="str">
            <v>Loose Tools</v>
          </cell>
          <cell r="C697">
            <v>4</v>
          </cell>
          <cell r="D697">
            <v>0</v>
          </cell>
        </row>
        <row r="698">
          <cell r="A698" t="str">
            <v>402-001-001-0018</v>
          </cell>
          <cell r="B698" t="str">
            <v>vertical blinds</v>
          </cell>
          <cell r="C698">
            <v>4</v>
          </cell>
          <cell r="D698">
            <v>0</v>
          </cell>
        </row>
        <row r="699">
          <cell r="A699" t="str">
            <v>402-001-001-0019</v>
          </cell>
          <cell r="B699" t="str">
            <v>Traffic Signals Accessories</v>
          </cell>
          <cell r="C699">
            <v>4</v>
          </cell>
          <cell r="D699">
            <v>0</v>
          </cell>
        </row>
        <row r="700">
          <cell r="A700" t="str">
            <v>402-001-001-0020</v>
          </cell>
          <cell r="B700" t="str">
            <v>Split Unit A/C</v>
          </cell>
          <cell r="C700">
            <v>4</v>
          </cell>
          <cell r="D700">
            <v>0</v>
          </cell>
        </row>
        <row r="701">
          <cell r="A701" t="str">
            <v>402-001-001-0021</v>
          </cell>
          <cell r="B701" t="str">
            <v>Gully Gratings</v>
          </cell>
          <cell r="C701">
            <v>4</v>
          </cell>
          <cell r="D701">
            <v>0</v>
          </cell>
        </row>
        <row r="702">
          <cell r="A702" t="str">
            <v>402-001-001-0022</v>
          </cell>
          <cell r="B702" t="str">
            <v>Tubelar Poles (Steel)</v>
          </cell>
          <cell r="C702">
            <v>4</v>
          </cell>
          <cell r="D702">
            <v>0</v>
          </cell>
        </row>
        <row r="703">
          <cell r="A703" t="str">
            <v>402-001-001-0023</v>
          </cell>
          <cell r="B703" t="str">
            <v>Kerb Stones</v>
          </cell>
          <cell r="C703">
            <v>4</v>
          </cell>
          <cell r="D703">
            <v>0</v>
          </cell>
        </row>
        <row r="704">
          <cell r="A704" t="str">
            <v>402-001-001-0024</v>
          </cell>
          <cell r="B704" t="str">
            <v>Street Sign Boards</v>
          </cell>
          <cell r="C704">
            <v>4</v>
          </cell>
          <cell r="D704">
            <v>0</v>
          </cell>
        </row>
        <row r="705">
          <cell r="A705" t="str">
            <v>402-001-001-0025</v>
          </cell>
          <cell r="B705" t="str">
            <v>adf</v>
          </cell>
          <cell r="C705">
            <v>4</v>
          </cell>
          <cell r="D705">
            <v>0</v>
          </cell>
        </row>
        <row r="706">
          <cell r="A706" t="str">
            <v>402-001-001-0026</v>
          </cell>
          <cell r="B706" t="str">
            <v>Man Hole Covers</v>
          </cell>
          <cell r="C706">
            <v>4</v>
          </cell>
          <cell r="D706">
            <v>0</v>
          </cell>
        </row>
        <row r="707">
          <cell r="A707" t="str">
            <v>402-001-001-0027</v>
          </cell>
          <cell r="B707" t="str">
            <v>Earth Filling Material</v>
          </cell>
          <cell r="C707">
            <v>4</v>
          </cell>
          <cell r="D707">
            <v>0</v>
          </cell>
        </row>
        <row r="708">
          <cell r="A708" t="str">
            <v>402-001-001-0028</v>
          </cell>
          <cell r="B708" t="str">
            <v>Fiber Glass</v>
          </cell>
          <cell r="C708">
            <v>4</v>
          </cell>
          <cell r="D708">
            <v>0</v>
          </cell>
        </row>
        <row r="709">
          <cell r="A709" t="str">
            <v>402-001-001-0029</v>
          </cell>
          <cell r="B709" t="str">
            <v>Kassu</v>
          </cell>
          <cell r="C709">
            <v>4</v>
          </cell>
          <cell r="D709">
            <v>0</v>
          </cell>
        </row>
        <row r="710">
          <cell r="A710" t="str">
            <v>402-001-001-0030</v>
          </cell>
          <cell r="B710" t="str">
            <v>Tiles</v>
          </cell>
          <cell r="C710">
            <v>4</v>
          </cell>
          <cell r="D710">
            <v>0</v>
          </cell>
        </row>
        <row r="711">
          <cell r="A711" t="str">
            <v>402-001-001-0031</v>
          </cell>
          <cell r="B711" t="str">
            <v>Medium Curing-70 (Bitumen)</v>
          </cell>
          <cell r="C711">
            <v>4</v>
          </cell>
          <cell r="D711">
            <v>0</v>
          </cell>
        </row>
        <row r="712">
          <cell r="A712" t="str">
            <v>402-001-001-0032</v>
          </cell>
          <cell r="B712" t="str">
            <v>Rapid Curing-70 (Bitumen)</v>
          </cell>
          <cell r="C712">
            <v>4</v>
          </cell>
          <cell r="D712">
            <v>0</v>
          </cell>
        </row>
        <row r="713">
          <cell r="A713" t="str">
            <v>403-000-000-0000</v>
          </cell>
          <cell r="B713" t="str">
            <v>Closing Stock</v>
          </cell>
          <cell r="C713">
            <v>1</v>
          </cell>
          <cell r="D713">
            <v>0</v>
          </cell>
        </row>
        <row r="714">
          <cell r="A714" t="str">
            <v>403-001-000-0000</v>
          </cell>
          <cell r="B714" t="str">
            <v>Closing Stock</v>
          </cell>
          <cell r="C714">
            <v>2</v>
          </cell>
          <cell r="D714">
            <v>0</v>
          </cell>
        </row>
        <row r="715">
          <cell r="A715" t="str">
            <v>403-001-001-0000</v>
          </cell>
          <cell r="B715" t="str">
            <v>Closing Stock</v>
          </cell>
          <cell r="C715">
            <v>3</v>
          </cell>
          <cell r="D715">
            <v>0</v>
          </cell>
        </row>
        <row r="716">
          <cell r="A716" t="str">
            <v>404-000-000-0000</v>
          </cell>
          <cell r="B716" t="str">
            <v>Direct Labour</v>
          </cell>
          <cell r="C716">
            <v>1</v>
          </cell>
          <cell r="D716">
            <v>0</v>
          </cell>
        </row>
        <row r="717">
          <cell r="A717" t="str">
            <v>404-001-000-0000</v>
          </cell>
          <cell r="B717" t="str">
            <v>Muster Rolls</v>
          </cell>
          <cell r="C717">
            <v>2</v>
          </cell>
          <cell r="D717">
            <v>0</v>
          </cell>
        </row>
        <row r="718">
          <cell r="A718" t="str">
            <v>404-001-001-0000</v>
          </cell>
          <cell r="B718" t="str">
            <v>Muster Rolls</v>
          </cell>
          <cell r="C718">
            <v>3</v>
          </cell>
          <cell r="D718">
            <v>0</v>
          </cell>
        </row>
        <row r="719">
          <cell r="A719" t="str">
            <v>404-001-001-0001</v>
          </cell>
          <cell r="B719" t="str">
            <v>Muster Rolls Regular Labour</v>
          </cell>
          <cell r="C719">
            <v>4</v>
          </cell>
          <cell r="D719">
            <v>0</v>
          </cell>
        </row>
        <row r="720">
          <cell r="A720" t="str">
            <v>404-001-001-0002</v>
          </cell>
          <cell r="B720" t="str">
            <v>Muster Rolls Casual Labour</v>
          </cell>
          <cell r="C720">
            <v>4</v>
          </cell>
          <cell r="D720">
            <v>0</v>
          </cell>
        </row>
        <row r="721">
          <cell r="A721" t="str">
            <v>405-000-000-0000</v>
          </cell>
          <cell r="B721" t="str">
            <v>Overheads</v>
          </cell>
          <cell r="C721">
            <v>1</v>
          </cell>
          <cell r="D721">
            <v>0</v>
          </cell>
        </row>
        <row r="722">
          <cell r="A722" t="str">
            <v>405-001-000-0000</v>
          </cell>
          <cell r="B722" t="str">
            <v>Salaries and Benefits</v>
          </cell>
          <cell r="C722">
            <v>2</v>
          </cell>
          <cell r="D722">
            <v>0</v>
          </cell>
        </row>
        <row r="723">
          <cell r="A723" t="str">
            <v>405-001-001-0000</v>
          </cell>
          <cell r="B723" t="str">
            <v>Salaries and Benefits Army Officers</v>
          </cell>
          <cell r="C723">
            <v>3</v>
          </cell>
          <cell r="D723">
            <v>0</v>
          </cell>
        </row>
        <row r="724">
          <cell r="A724" t="str">
            <v>405-001-002-0000</v>
          </cell>
          <cell r="B724" t="str">
            <v>Salaries and Benefits Civilian Staff</v>
          </cell>
          <cell r="C724">
            <v>3</v>
          </cell>
          <cell r="D724">
            <v>0</v>
          </cell>
        </row>
        <row r="725">
          <cell r="A725" t="str">
            <v>405-001-002-0001</v>
          </cell>
          <cell r="B725" t="str">
            <v>Salaries Civilian Staff</v>
          </cell>
          <cell r="C725">
            <v>4</v>
          </cell>
          <cell r="D725">
            <v>0</v>
          </cell>
        </row>
        <row r="726">
          <cell r="A726" t="str">
            <v>405-001-002-0002</v>
          </cell>
          <cell r="B726" t="str">
            <v>Benefits Civilian Staff</v>
          </cell>
          <cell r="C726">
            <v>4</v>
          </cell>
          <cell r="D726">
            <v>0</v>
          </cell>
        </row>
        <row r="727">
          <cell r="A727" t="str">
            <v>405-001-002-0003</v>
          </cell>
          <cell r="B727" t="str">
            <v>Overtime Civilian Staff</v>
          </cell>
          <cell r="C727">
            <v>4</v>
          </cell>
          <cell r="D727">
            <v>0</v>
          </cell>
        </row>
        <row r="728">
          <cell r="A728" t="str">
            <v>405-001-002-0004</v>
          </cell>
          <cell r="B728" t="str">
            <v>Medical Civilian Staff</v>
          </cell>
          <cell r="C728">
            <v>4</v>
          </cell>
          <cell r="D728">
            <v>0</v>
          </cell>
        </row>
        <row r="729">
          <cell r="A729" t="str">
            <v>405-001-003-0000</v>
          </cell>
          <cell r="B729" t="str">
            <v>Salaries and Benefits JCO's/OR's Staff</v>
          </cell>
          <cell r="C729">
            <v>3</v>
          </cell>
          <cell r="D729">
            <v>0</v>
          </cell>
        </row>
        <row r="730">
          <cell r="A730" t="str">
            <v>405-002-000-0000</v>
          </cell>
          <cell r="B730" t="str">
            <v>Uniform to Staff</v>
          </cell>
          <cell r="C730">
            <v>2</v>
          </cell>
          <cell r="D730">
            <v>0</v>
          </cell>
        </row>
        <row r="731">
          <cell r="A731" t="str">
            <v>405-002-001-0000</v>
          </cell>
          <cell r="B731" t="str">
            <v>Uniform to Staff</v>
          </cell>
          <cell r="C731">
            <v>3</v>
          </cell>
          <cell r="D731">
            <v>0</v>
          </cell>
        </row>
        <row r="732">
          <cell r="A732" t="str">
            <v>405-003-000-0000</v>
          </cell>
          <cell r="B732" t="str">
            <v>Rent, Rates and Taxes</v>
          </cell>
          <cell r="C732">
            <v>2</v>
          </cell>
          <cell r="D732">
            <v>0</v>
          </cell>
        </row>
        <row r="733">
          <cell r="A733" t="str">
            <v>405-003-001-0000</v>
          </cell>
          <cell r="B733" t="str">
            <v>Rent, Rates and Taxes</v>
          </cell>
          <cell r="C733">
            <v>3</v>
          </cell>
          <cell r="D733">
            <v>0</v>
          </cell>
        </row>
        <row r="734">
          <cell r="A734" t="str">
            <v>405-004-000-0000</v>
          </cell>
          <cell r="B734" t="str">
            <v>Travelling and Conveyance</v>
          </cell>
          <cell r="C734">
            <v>2</v>
          </cell>
          <cell r="D734">
            <v>0</v>
          </cell>
        </row>
        <row r="735">
          <cell r="A735" t="str">
            <v>405-004-001-0000</v>
          </cell>
          <cell r="B735" t="str">
            <v>Travelling and Conveyance</v>
          </cell>
          <cell r="C735">
            <v>3</v>
          </cell>
          <cell r="D735">
            <v>0</v>
          </cell>
        </row>
        <row r="736">
          <cell r="A736" t="str">
            <v>405-004-001-0003</v>
          </cell>
          <cell r="B736" t="str">
            <v>Travelling and Conveyance Civilian Staff</v>
          </cell>
          <cell r="C736">
            <v>4</v>
          </cell>
          <cell r="D736">
            <v>0</v>
          </cell>
        </row>
        <row r="737">
          <cell r="A737" t="str">
            <v>405-005-000-0000</v>
          </cell>
          <cell r="B737" t="str">
            <v>Vehicle Running Expenses</v>
          </cell>
          <cell r="C737">
            <v>2</v>
          </cell>
          <cell r="D737">
            <v>0</v>
          </cell>
        </row>
        <row r="738">
          <cell r="A738" t="str">
            <v>405-005-001-0000</v>
          </cell>
          <cell r="B738" t="str">
            <v>Plant and Machinery Running Expenses</v>
          </cell>
          <cell r="C738">
            <v>3</v>
          </cell>
          <cell r="D738">
            <v>0</v>
          </cell>
        </row>
        <row r="739">
          <cell r="A739" t="str">
            <v>405-005-001-0001</v>
          </cell>
          <cell r="B739" t="str">
            <v>Plant and Machinery Running Expenses</v>
          </cell>
          <cell r="C739">
            <v>4</v>
          </cell>
          <cell r="D739">
            <v>0</v>
          </cell>
        </row>
        <row r="740">
          <cell r="A740" t="str">
            <v>405-005-002-0000</v>
          </cell>
          <cell r="B740" t="str">
            <v>Light Vehicls Running Expenses</v>
          </cell>
          <cell r="C740">
            <v>3</v>
          </cell>
          <cell r="D740">
            <v>0</v>
          </cell>
        </row>
        <row r="741">
          <cell r="A741" t="str">
            <v>405-005-002-0001</v>
          </cell>
          <cell r="B741" t="str">
            <v>Light Vehicls Running Expenses</v>
          </cell>
          <cell r="C741">
            <v>4</v>
          </cell>
          <cell r="D741">
            <v>0</v>
          </cell>
        </row>
        <row r="742">
          <cell r="A742" t="str">
            <v>405-006-000-0000</v>
          </cell>
          <cell r="B742" t="str">
            <v>Repair and Maintenance</v>
          </cell>
          <cell r="C742">
            <v>2</v>
          </cell>
          <cell r="D742">
            <v>0</v>
          </cell>
        </row>
        <row r="743">
          <cell r="A743" t="str">
            <v>405-006-001-0000</v>
          </cell>
          <cell r="B743" t="str">
            <v>Plant and Machinery Repair and Maintainance</v>
          </cell>
          <cell r="C743">
            <v>3</v>
          </cell>
          <cell r="D743">
            <v>0</v>
          </cell>
        </row>
        <row r="744">
          <cell r="A744" t="str">
            <v>405-006-001-0001</v>
          </cell>
          <cell r="B744" t="str">
            <v>Plant and Machinery Repair and Maintainance</v>
          </cell>
          <cell r="C744">
            <v>4</v>
          </cell>
          <cell r="D744">
            <v>0</v>
          </cell>
        </row>
        <row r="745">
          <cell r="A745" t="str">
            <v>405-006-002-0000</v>
          </cell>
          <cell r="B745" t="str">
            <v>Light Vehicles Repair and Maintainance</v>
          </cell>
          <cell r="C745">
            <v>3</v>
          </cell>
          <cell r="D745">
            <v>0</v>
          </cell>
        </row>
        <row r="746">
          <cell r="A746" t="str">
            <v>405-006-002-0001</v>
          </cell>
          <cell r="B746" t="str">
            <v>Light Vehicles Repair and Maintainance</v>
          </cell>
          <cell r="C746">
            <v>4</v>
          </cell>
          <cell r="D746">
            <v>0</v>
          </cell>
        </row>
        <row r="747">
          <cell r="A747" t="str">
            <v>405-006-016-0000</v>
          </cell>
          <cell r="B747" t="str">
            <v>Project Maintainance Cost</v>
          </cell>
          <cell r="C747">
            <v>3</v>
          </cell>
          <cell r="D747">
            <v>0</v>
          </cell>
        </row>
        <row r="748">
          <cell r="A748" t="str">
            <v>405-006-016-0001</v>
          </cell>
          <cell r="B748" t="str">
            <v>Project Maintainance Cost</v>
          </cell>
          <cell r="C748">
            <v>4</v>
          </cell>
          <cell r="D748">
            <v>0</v>
          </cell>
        </row>
        <row r="749">
          <cell r="A749" t="str">
            <v>405-007-000-0000</v>
          </cell>
          <cell r="B749" t="str">
            <v>Printing and Stationery</v>
          </cell>
          <cell r="C749">
            <v>2</v>
          </cell>
          <cell r="D749">
            <v>0</v>
          </cell>
        </row>
        <row r="750">
          <cell r="A750" t="str">
            <v>405-007-001-0000</v>
          </cell>
          <cell r="B750" t="str">
            <v>Printing and Stationery</v>
          </cell>
          <cell r="C750">
            <v>3</v>
          </cell>
          <cell r="D750">
            <v>0</v>
          </cell>
        </row>
        <row r="751">
          <cell r="A751" t="str">
            <v>405-007-001-0001</v>
          </cell>
          <cell r="B751" t="str">
            <v>Printing and Stationery</v>
          </cell>
          <cell r="C751">
            <v>4</v>
          </cell>
          <cell r="D751">
            <v>0</v>
          </cell>
        </row>
        <row r="752">
          <cell r="A752" t="str">
            <v>405-008-000-0000</v>
          </cell>
          <cell r="B752" t="str">
            <v>Electric, Water and Gas Charges</v>
          </cell>
          <cell r="C752">
            <v>2</v>
          </cell>
          <cell r="D752">
            <v>0</v>
          </cell>
        </row>
        <row r="753">
          <cell r="A753" t="str">
            <v>405-008-001-0000</v>
          </cell>
          <cell r="B753" t="str">
            <v>Electricity</v>
          </cell>
          <cell r="C753">
            <v>3</v>
          </cell>
          <cell r="D753">
            <v>0</v>
          </cell>
        </row>
        <row r="754">
          <cell r="A754" t="str">
            <v>405-008-001-0001</v>
          </cell>
          <cell r="B754" t="str">
            <v>Electricity Charges</v>
          </cell>
          <cell r="C754">
            <v>4</v>
          </cell>
          <cell r="D754">
            <v>0</v>
          </cell>
        </row>
        <row r="755">
          <cell r="A755" t="str">
            <v>405-008-002-0000</v>
          </cell>
          <cell r="B755" t="str">
            <v>Water charges</v>
          </cell>
          <cell r="C755">
            <v>3</v>
          </cell>
          <cell r="D755">
            <v>0</v>
          </cell>
        </row>
        <row r="756">
          <cell r="A756" t="str">
            <v>405-008-003-0000</v>
          </cell>
          <cell r="B756" t="str">
            <v>Gas charges</v>
          </cell>
          <cell r="C756">
            <v>3</v>
          </cell>
          <cell r="D756">
            <v>0</v>
          </cell>
        </row>
        <row r="757">
          <cell r="A757" t="str">
            <v>405-008-003-0001</v>
          </cell>
          <cell r="B757" t="str">
            <v>Gas  Charges</v>
          </cell>
          <cell r="C757">
            <v>4</v>
          </cell>
          <cell r="D757">
            <v>0</v>
          </cell>
        </row>
        <row r="758">
          <cell r="A758" t="str">
            <v>405-014-000-0000</v>
          </cell>
          <cell r="B758" t="str">
            <v>Insurance Expenses</v>
          </cell>
          <cell r="C758">
            <v>2</v>
          </cell>
          <cell r="D758">
            <v>0</v>
          </cell>
        </row>
        <row r="759">
          <cell r="A759" t="str">
            <v>405-014-001-0000</v>
          </cell>
          <cell r="B759" t="str">
            <v>Insurance Expenses</v>
          </cell>
          <cell r="C759">
            <v>3</v>
          </cell>
          <cell r="D759">
            <v>0</v>
          </cell>
        </row>
        <row r="760">
          <cell r="A760" t="str">
            <v>405-014-001-0001</v>
          </cell>
          <cell r="B760" t="str">
            <v>Insurance Expenses</v>
          </cell>
          <cell r="C760">
            <v>4</v>
          </cell>
          <cell r="D760">
            <v>0</v>
          </cell>
        </row>
        <row r="761">
          <cell r="A761" t="str">
            <v>405-020-000-0000</v>
          </cell>
          <cell r="B761" t="str">
            <v>Transportation, Carriage and Freight Expenses</v>
          </cell>
          <cell r="C761">
            <v>2</v>
          </cell>
          <cell r="D761">
            <v>0</v>
          </cell>
        </row>
        <row r="762">
          <cell r="A762" t="str">
            <v>405-020-001-0000</v>
          </cell>
          <cell r="B762" t="str">
            <v>Transportation, Carriage and Freight Expenses</v>
          </cell>
          <cell r="C762">
            <v>3</v>
          </cell>
          <cell r="D762">
            <v>0</v>
          </cell>
        </row>
        <row r="763">
          <cell r="A763" t="str">
            <v>405-020-001-0001</v>
          </cell>
          <cell r="B763" t="str">
            <v>Transportation Expenses</v>
          </cell>
          <cell r="C763">
            <v>4</v>
          </cell>
          <cell r="D763">
            <v>0</v>
          </cell>
        </row>
        <row r="764">
          <cell r="A764" t="str">
            <v>405-020-001-0002</v>
          </cell>
          <cell r="B764" t="str">
            <v>Carriage and Freight Expenses</v>
          </cell>
          <cell r="C764">
            <v>4</v>
          </cell>
          <cell r="D764">
            <v>0</v>
          </cell>
        </row>
        <row r="765">
          <cell r="A765" t="str">
            <v>405-020-001-0003</v>
          </cell>
          <cell r="B765" t="str">
            <v>Loading and Unloading</v>
          </cell>
          <cell r="C765">
            <v>4</v>
          </cell>
          <cell r="D765">
            <v>0</v>
          </cell>
        </row>
        <row r="766">
          <cell r="A766" t="str">
            <v>405-021-000-0000</v>
          </cell>
          <cell r="B766" t="str">
            <v>Hiring Charges</v>
          </cell>
          <cell r="C766">
            <v>2</v>
          </cell>
          <cell r="D766">
            <v>0</v>
          </cell>
        </row>
        <row r="767">
          <cell r="A767" t="str">
            <v>405-021-001-0000</v>
          </cell>
          <cell r="B767" t="str">
            <v>Heavy Vehicle Hiring charges</v>
          </cell>
          <cell r="C767">
            <v>3</v>
          </cell>
          <cell r="D767">
            <v>0</v>
          </cell>
        </row>
        <row r="768">
          <cell r="A768" t="str">
            <v>405-021-001-0001</v>
          </cell>
          <cell r="B768" t="str">
            <v>Heavy Vehicle Hiring charges</v>
          </cell>
          <cell r="C768">
            <v>4</v>
          </cell>
          <cell r="D768">
            <v>0</v>
          </cell>
        </row>
        <row r="769">
          <cell r="A769" t="str">
            <v>405-021-002-0000</v>
          </cell>
          <cell r="B769" t="str">
            <v>Light Vehicle Hiring charges</v>
          </cell>
          <cell r="C769">
            <v>3</v>
          </cell>
          <cell r="D769">
            <v>0</v>
          </cell>
        </row>
        <row r="770">
          <cell r="A770" t="str">
            <v>405-021-002-0001</v>
          </cell>
          <cell r="B770" t="str">
            <v>Light Vehicle Hiring charges</v>
          </cell>
          <cell r="C770">
            <v>4</v>
          </cell>
          <cell r="D770">
            <v>0</v>
          </cell>
        </row>
        <row r="771">
          <cell r="A771" t="str">
            <v>405-021-003-0000</v>
          </cell>
          <cell r="B771" t="str">
            <v>Plant and Machinery Hiring charges</v>
          </cell>
          <cell r="C771">
            <v>3</v>
          </cell>
          <cell r="D771">
            <v>0</v>
          </cell>
        </row>
        <row r="772">
          <cell r="A772" t="str">
            <v>405-021-003-0001</v>
          </cell>
          <cell r="B772" t="str">
            <v>Plant and Machinery Hiring charges</v>
          </cell>
          <cell r="C772">
            <v>4</v>
          </cell>
          <cell r="D772">
            <v>0</v>
          </cell>
        </row>
        <row r="773">
          <cell r="A773" t="str">
            <v>405-021-004-0000</v>
          </cell>
          <cell r="B773" t="str">
            <v>Equipment Hiring Charges</v>
          </cell>
          <cell r="C773">
            <v>3</v>
          </cell>
          <cell r="D773">
            <v>0</v>
          </cell>
        </row>
        <row r="774">
          <cell r="A774" t="str">
            <v>405-021-004-0001</v>
          </cell>
          <cell r="B774" t="str">
            <v>Equipment Hiring Charges</v>
          </cell>
          <cell r="C774">
            <v>4</v>
          </cell>
          <cell r="D774">
            <v>0</v>
          </cell>
        </row>
        <row r="775">
          <cell r="A775" t="str">
            <v>405-022-000-0000</v>
          </cell>
          <cell r="B775" t="str">
            <v>Lease Rent</v>
          </cell>
          <cell r="C775">
            <v>2</v>
          </cell>
          <cell r="D775">
            <v>0</v>
          </cell>
        </row>
        <row r="776">
          <cell r="A776" t="str">
            <v>405-022-001-0000</v>
          </cell>
          <cell r="B776" t="str">
            <v>Lease Rent</v>
          </cell>
          <cell r="C776">
            <v>3</v>
          </cell>
          <cell r="D776">
            <v>0</v>
          </cell>
        </row>
        <row r="777">
          <cell r="A777" t="str">
            <v>405-022-001-0001</v>
          </cell>
          <cell r="B777" t="str">
            <v>Land Lease Rent Charges</v>
          </cell>
          <cell r="C777">
            <v>4</v>
          </cell>
          <cell r="D777">
            <v>0</v>
          </cell>
        </row>
        <row r="778">
          <cell r="A778" t="str">
            <v>405-023-000-0000</v>
          </cell>
          <cell r="B778" t="str">
            <v>Depreciation of Operating Fixed Assets</v>
          </cell>
          <cell r="C778">
            <v>2</v>
          </cell>
          <cell r="D778">
            <v>0</v>
          </cell>
        </row>
        <row r="779">
          <cell r="A779" t="str">
            <v>405-023-001-0000</v>
          </cell>
          <cell r="B779" t="str">
            <v>Depreciation of Operating Fixed Assets</v>
          </cell>
          <cell r="C779">
            <v>3</v>
          </cell>
          <cell r="D779">
            <v>0</v>
          </cell>
        </row>
        <row r="780">
          <cell r="A780" t="str">
            <v>405-023-001-0001</v>
          </cell>
          <cell r="B780" t="str">
            <v>Depreciation of Operating Fixed Assets</v>
          </cell>
          <cell r="C780">
            <v>4</v>
          </cell>
          <cell r="D780">
            <v>0</v>
          </cell>
        </row>
        <row r="781">
          <cell r="A781" t="str">
            <v>405-024-000-0000</v>
          </cell>
          <cell r="B781" t="str">
            <v>Amortisation of Lease Assets</v>
          </cell>
          <cell r="C781">
            <v>2</v>
          </cell>
          <cell r="D781">
            <v>0</v>
          </cell>
        </row>
        <row r="782">
          <cell r="A782" t="str">
            <v>405-024-001-0000</v>
          </cell>
          <cell r="B782" t="str">
            <v>Amortisation of Lease Assets</v>
          </cell>
          <cell r="C782">
            <v>3</v>
          </cell>
          <cell r="D782">
            <v>0</v>
          </cell>
        </row>
        <row r="783">
          <cell r="A783" t="str">
            <v>405-025-000-0000</v>
          </cell>
          <cell r="B783" t="str">
            <v>Amortisation of deferred cost</v>
          </cell>
          <cell r="C783">
            <v>2</v>
          </cell>
          <cell r="D783">
            <v>0</v>
          </cell>
        </row>
        <row r="784">
          <cell r="A784" t="str">
            <v>405-025-001-0000</v>
          </cell>
          <cell r="B784" t="str">
            <v>Amortisation of deferred cost</v>
          </cell>
          <cell r="C784">
            <v>3</v>
          </cell>
          <cell r="D784">
            <v>0</v>
          </cell>
        </row>
        <row r="785">
          <cell r="A785" t="str">
            <v>405-026-000-0000</v>
          </cell>
          <cell r="B785" t="str">
            <v>Miscellaneous Expenses</v>
          </cell>
          <cell r="C785">
            <v>2</v>
          </cell>
          <cell r="D785">
            <v>0</v>
          </cell>
        </row>
        <row r="786">
          <cell r="A786" t="str">
            <v>405-026-001-0000</v>
          </cell>
          <cell r="B786" t="str">
            <v>Miscellaneous Expenses</v>
          </cell>
          <cell r="C786">
            <v>3</v>
          </cell>
          <cell r="D786">
            <v>0</v>
          </cell>
        </row>
        <row r="787">
          <cell r="A787" t="str">
            <v>406-000-000-0000</v>
          </cell>
          <cell r="B787" t="str">
            <v>Contractors Cost / Work done by contractors</v>
          </cell>
          <cell r="C787">
            <v>1</v>
          </cell>
          <cell r="D787">
            <v>54938714</v>
          </cell>
        </row>
        <row r="788">
          <cell r="A788" t="str">
            <v>406-001-000-0000</v>
          </cell>
          <cell r="B788" t="str">
            <v>Contractors Cost / Work done by contractors</v>
          </cell>
          <cell r="C788">
            <v>2</v>
          </cell>
          <cell r="D788">
            <v>54938714</v>
          </cell>
        </row>
        <row r="789">
          <cell r="A789" t="str">
            <v>406-001-001-0000</v>
          </cell>
          <cell r="B789" t="str">
            <v>Contractors Cost / Work done by contractors</v>
          </cell>
          <cell r="C789">
            <v>3</v>
          </cell>
          <cell r="D789">
            <v>54938714</v>
          </cell>
        </row>
        <row r="790">
          <cell r="A790" t="str">
            <v>406-001-001-0001</v>
          </cell>
          <cell r="B790" t="str">
            <v>Work done DHA Rahber</v>
          </cell>
          <cell r="C790">
            <v>4</v>
          </cell>
          <cell r="D790">
            <v>0</v>
          </cell>
        </row>
        <row r="791">
          <cell r="A791" t="str">
            <v>406-001-001-0002</v>
          </cell>
          <cell r="B791" t="str">
            <v>Work done OFC Project</v>
          </cell>
          <cell r="C791">
            <v>4</v>
          </cell>
          <cell r="D791">
            <v>0</v>
          </cell>
        </row>
        <row r="792">
          <cell r="A792" t="str">
            <v>406-001-001-0003</v>
          </cell>
          <cell r="B792" t="str">
            <v xml:space="preserve"> Work done faisal steel coporation</v>
          </cell>
          <cell r="C792">
            <v>4</v>
          </cell>
          <cell r="D792">
            <v>0</v>
          </cell>
        </row>
        <row r="793">
          <cell r="A793" t="str">
            <v>406-001-001-0004</v>
          </cell>
          <cell r="B793" t="str">
            <v xml:space="preserve"> Work done  Javaid Ali &amp; Co</v>
          </cell>
          <cell r="C793">
            <v>4</v>
          </cell>
          <cell r="D793">
            <v>40286000</v>
          </cell>
        </row>
        <row r="794">
          <cell r="A794" t="str">
            <v>406-001-001-0005</v>
          </cell>
          <cell r="B794" t="str">
            <v>abc Work done</v>
          </cell>
          <cell r="C794">
            <v>4</v>
          </cell>
          <cell r="D794">
            <v>0</v>
          </cell>
        </row>
        <row r="795">
          <cell r="A795" t="str">
            <v>406-001-001-0006</v>
          </cell>
          <cell r="B795" t="str">
            <v>Work done Young Engrs</v>
          </cell>
          <cell r="C795">
            <v>4</v>
          </cell>
          <cell r="D795">
            <v>0</v>
          </cell>
        </row>
        <row r="796">
          <cell r="A796" t="str">
            <v>406-001-001-0007</v>
          </cell>
          <cell r="B796" t="str">
            <v xml:space="preserve"> Work done Asif Builders</v>
          </cell>
          <cell r="C796">
            <v>4</v>
          </cell>
          <cell r="D796">
            <v>5375000</v>
          </cell>
        </row>
        <row r="797">
          <cell r="A797" t="str">
            <v>406-001-001-0008</v>
          </cell>
          <cell r="B797" t="str">
            <v xml:space="preserve"> Work done Tycon security</v>
          </cell>
          <cell r="C797">
            <v>4</v>
          </cell>
          <cell r="D797">
            <v>0</v>
          </cell>
        </row>
        <row r="798">
          <cell r="A798" t="str">
            <v>406-001-001-0009</v>
          </cell>
          <cell r="B798" t="str">
            <v>Work done   Moeen Ullah marwat</v>
          </cell>
          <cell r="C798">
            <v>4</v>
          </cell>
          <cell r="D798">
            <v>0</v>
          </cell>
        </row>
        <row r="799">
          <cell r="A799" t="str">
            <v>406-001-001-0010</v>
          </cell>
          <cell r="B799" t="str">
            <v>Work done Farooq sandu</v>
          </cell>
          <cell r="C799">
            <v>4</v>
          </cell>
          <cell r="D799">
            <v>0</v>
          </cell>
        </row>
        <row r="800">
          <cell r="A800" t="str">
            <v>406-001-001-0011</v>
          </cell>
          <cell r="B800" t="str">
            <v xml:space="preserve"> Work done M/S Zahir Shah &amp; Khan</v>
          </cell>
          <cell r="C800">
            <v>4</v>
          </cell>
          <cell r="D800">
            <v>0</v>
          </cell>
        </row>
        <row r="801">
          <cell r="A801" t="str">
            <v>406-001-001-0012</v>
          </cell>
          <cell r="B801" t="str">
            <v>work done M/S Nariman Construction</v>
          </cell>
          <cell r="C801">
            <v>4</v>
          </cell>
          <cell r="D801">
            <v>0</v>
          </cell>
        </row>
        <row r="802">
          <cell r="A802" t="str">
            <v>406-001-001-0013</v>
          </cell>
          <cell r="B802" t="str">
            <v>Work done M/S Behram Khan &amp; Co</v>
          </cell>
          <cell r="C802">
            <v>4</v>
          </cell>
          <cell r="D802">
            <v>0</v>
          </cell>
        </row>
        <row r="803">
          <cell r="A803" t="str">
            <v>406-001-001-0014</v>
          </cell>
          <cell r="B803" t="str">
            <v>abc Work done</v>
          </cell>
          <cell r="C803">
            <v>4</v>
          </cell>
          <cell r="D803">
            <v>0</v>
          </cell>
        </row>
        <row r="804">
          <cell r="A804" t="str">
            <v>406-001-001-0015</v>
          </cell>
          <cell r="B804" t="str">
            <v xml:space="preserve"> Work done Hamza ali Khan</v>
          </cell>
          <cell r="C804">
            <v>4</v>
          </cell>
          <cell r="D804">
            <v>0</v>
          </cell>
        </row>
        <row r="805">
          <cell r="A805" t="str">
            <v>406-001-001-0016</v>
          </cell>
          <cell r="B805" t="str">
            <v>work done Fair Deal Enterprises</v>
          </cell>
          <cell r="C805">
            <v>4</v>
          </cell>
          <cell r="D805">
            <v>246182</v>
          </cell>
        </row>
        <row r="806">
          <cell r="A806" t="str">
            <v>406-001-001-0017</v>
          </cell>
          <cell r="B806" t="str">
            <v>Work done  Zari Construcion</v>
          </cell>
          <cell r="C806">
            <v>4</v>
          </cell>
          <cell r="D806">
            <v>0</v>
          </cell>
        </row>
        <row r="807">
          <cell r="A807" t="str">
            <v>406-001-001-0018</v>
          </cell>
          <cell r="B807" t="str">
            <v xml:space="preserve"> Work done  AKB &amp; CO</v>
          </cell>
          <cell r="C807">
            <v>4</v>
          </cell>
          <cell r="D807">
            <v>0</v>
          </cell>
        </row>
        <row r="808">
          <cell r="A808" t="str">
            <v>406-001-001-0019</v>
          </cell>
          <cell r="B808" t="str">
            <v xml:space="preserve"> Work done Orbit construction</v>
          </cell>
          <cell r="C808">
            <v>4</v>
          </cell>
          <cell r="D808">
            <v>0</v>
          </cell>
        </row>
        <row r="809">
          <cell r="A809" t="str">
            <v>406-001-001-0020</v>
          </cell>
          <cell r="B809" t="str">
            <v xml:space="preserve"> Work done M.H.Associates</v>
          </cell>
          <cell r="C809">
            <v>4</v>
          </cell>
          <cell r="D809">
            <v>1381532</v>
          </cell>
        </row>
        <row r="810">
          <cell r="A810" t="str">
            <v>406-001-001-0021</v>
          </cell>
          <cell r="B810" t="str">
            <v xml:space="preserve"> Work done Hamza Ali</v>
          </cell>
          <cell r="C810">
            <v>4</v>
          </cell>
          <cell r="D810">
            <v>0</v>
          </cell>
        </row>
        <row r="811">
          <cell r="A811" t="str">
            <v>406-001-001-0022</v>
          </cell>
          <cell r="B811" t="str">
            <v xml:space="preserve"> Work done D&amp;P Advertising</v>
          </cell>
          <cell r="C811">
            <v>4</v>
          </cell>
          <cell r="D811">
            <v>0</v>
          </cell>
        </row>
        <row r="812">
          <cell r="A812" t="str">
            <v>406-001-001-0023</v>
          </cell>
          <cell r="B812" t="str">
            <v xml:space="preserve"> Work done Chughtai Engineers</v>
          </cell>
          <cell r="C812">
            <v>4</v>
          </cell>
          <cell r="D812">
            <v>7650000</v>
          </cell>
        </row>
        <row r="813">
          <cell r="A813" t="str">
            <v>406-001-001-0024</v>
          </cell>
          <cell r="B813" t="str">
            <v xml:space="preserve"> Work done Muzzam Construction Co</v>
          </cell>
          <cell r="C813">
            <v>4</v>
          </cell>
          <cell r="D813">
            <v>0</v>
          </cell>
        </row>
        <row r="814">
          <cell r="A814" t="str">
            <v>406-001-001-0025</v>
          </cell>
          <cell r="B814" t="str">
            <v>abc Work done</v>
          </cell>
          <cell r="C814">
            <v>4</v>
          </cell>
          <cell r="D814">
            <v>0</v>
          </cell>
        </row>
        <row r="815">
          <cell r="A815" t="str">
            <v>406-001-001-0026</v>
          </cell>
          <cell r="B815" t="str">
            <v>abc Work done</v>
          </cell>
          <cell r="C815">
            <v>4</v>
          </cell>
          <cell r="D815">
            <v>0</v>
          </cell>
        </row>
        <row r="816">
          <cell r="A816" t="str">
            <v>406-001-001-0027</v>
          </cell>
          <cell r="B816" t="str">
            <v>abc Work done</v>
          </cell>
          <cell r="C816">
            <v>4</v>
          </cell>
          <cell r="D816">
            <v>0</v>
          </cell>
        </row>
        <row r="817">
          <cell r="A817" t="str">
            <v>406-001-001-0028</v>
          </cell>
          <cell r="B817" t="str">
            <v>abc Work done</v>
          </cell>
          <cell r="C817">
            <v>4</v>
          </cell>
          <cell r="D817">
            <v>0</v>
          </cell>
        </row>
        <row r="818">
          <cell r="A818" t="str">
            <v>406-001-001-0029</v>
          </cell>
          <cell r="B818" t="str">
            <v>abc Work done</v>
          </cell>
          <cell r="C818">
            <v>4</v>
          </cell>
          <cell r="D818">
            <v>0</v>
          </cell>
        </row>
        <row r="819">
          <cell r="A819" t="str">
            <v>406-001-001-0030</v>
          </cell>
          <cell r="B819" t="str">
            <v>abc Work done</v>
          </cell>
          <cell r="C819">
            <v>4</v>
          </cell>
          <cell r="D819">
            <v>0</v>
          </cell>
        </row>
        <row r="820">
          <cell r="A820" t="str">
            <v>406-001-001-0031</v>
          </cell>
          <cell r="B820" t="str">
            <v>abc Work done</v>
          </cell>
          <cell r="C820">
            <v>4</v>
          </cell>
          <cell r="D820">
            <v>0</v>
          </cell>
        </row>
        <row r="821">
          <cell r="A821" t="str">
            <v>406-001-001-0032</v>
          </cell>
          <cell r="B821" t="str">
            <v>abc Work done</v>
          </cell>
          <cell r="C821">
            <v>4</v>
          </cell>
          <cell r="D821">
            <v>0</v>
          </cell>
        </row>
        <row r="822">
          <cell r="A822" t="str">
            <v>406-001-001-0033</v>
          </cell>
          <cell r="B822" t="str">
            <v>abc Work done</v>
          </cell>
          <cell r="C822">
            <v>4</v>
          </cell>
          <cell r="D822">
            <v>0</v>
          </cell>
        </row>
        <row r="823">
          <cell r="A823" t="str">
            <v>406-001-001-0034</v>
          </cell>
          <cell r="B823" t="str">
            <v>abc Work done</v>
          </cell>
          <cell r="C823">
            <v>4</v>
          </cell>
          <cell r="D823">
            <v>0</v>
          </cell>
        </row>
        <row r="824">
          <cell r="A824" t="str">
            <v>406-001-001-0035</v>
          </cell>
          <cell r="B824" t="str">
            <v>abc Work done</v>
          </cell>
          <cell r="C824">
            <v>4</v>
          </cell>
          <cell r="D824">
            <v>0</v>
          </cell>
        </row>
        <row r="825">
          <cell r="A825" t="str">
            <v>406-001-001-0036</v>
          </cell>
          <cell r="B825" t="str">
            <v>abc Work done</v>
          </cell>
          <cell r="C825">
            <v>4</v>
          </cell>
          <cell r="D825">
            <v>0</v>
          </cell>
        </row>
        <row r="826">
          <cell r="A826" t="str">
            <v>406-001-001-0037</v>
          </cell>
          <cell r="B826" t="str">
            <v>abc Work done</v>
          </cell>
          <cell r="C826">
            <v>4</v>
          </cell>
          <cell r="D826">
            <v>0</v>
          </cell>
        </row>
        <row r="827">
          <cell r="A827" t="str">
            <v>406-001-001-0038</v>
          </cell>
          <cell r="B827" t="str">
            <v>abc Work done</v>
          </cell>
          <cell r="C827">
            <v>4</v>
          </cell>
          <cell r="D827">
            <v>0</v>
          </cell>
        </row>
        <row r="828">
          <cell r="A828" t="str">
            <v>406-001-001-0039</v>
          </cell>
          <cell r="B828" t="str">
            <v>abc Work done</v>
          </cell>
          <cell r="C828">
            <v>4</v>
          </cell>
          <cell r="D828">
            <v>0</v>
          </cell>
        </row>
        <row r="829">
          <cell r="A829" t="str">
            <v>406-001-001-0040</v>
          </cell>
          <cell r="B829" t="str">
            <v>abc Work done</v>
          </cell>
          <cell r="C829">
            <v>4</v>
          </cell>
          <cell r="D829">
            <v>0</v>
          </cell>
        </row>
        <row r="830">
          <cell r="A830" t="str">
            <v>406-001-001-0041</v>
          </cell>
          <cell r="B830" t="str">
            <v>abc Work done</v>
          </cell>
          <cell r="C830">
            <v>4</v>
          </cell>
          <cell r="D830">
            <v>0</v>
          </cell>
        </row>
        <row r="831">
          <cell r="A831" t="str">
            <v>406-001-001-0042</v>
          </cell>
          <cell r="B831" t="str">
            <v>abc Work done</v>
          </cell>
          <cell r="C831">
            <v>4</v>
          </cell>
          <cell r="D831">
            <v>0</v>
          </cell>
        </row>
        <row r="832">
          <cell r="A832" t="str">
            <v>406-001-001-0043</v>
          </cell>
          <cell r="B832" t="str">
            <v>abc Work done</v>
          </cell>
          <cell r="C832">
            <v>4</v>
          </cell>
          <cell r="D832">
            <v>0</v>
          </cell>
        </row>
        <row r="833">
          <cell r="A833" t="str">
            <v>406-001-001-0044</v>
          </cell>
          <cell r="B833" t="str">
            <v>abc Work done</v>
          </cell>
          <cell r="C833">
            <v>4</v>
          </cell>
          <cell r="D833">
            <v>0</v>
          </cell>
        </row>
        <row r="834">
          <cell r="A834" t="str">
            <v>406-001-001-0045</v>
          </cell>
          <cell r="B834" t="str">
            <v>abc Work done</v>
          </cell>
          <cell r="C834">
            <v>4</v>
          </cell>
          <cell r="D834">
            <v>0</v>
          </cell>
        </row>
        <row r="835">
          <cell r="A835" t="str">
            <v>406-001-001-0046</v>
          </cell>
          <cell r="B835" t="str">
            <v>abc Work done</v>
          </cell>
          <cell r="C835">
            <v>4</v>
          </cell>
          <cell r="D835">
            <v>0</v>
          </cell>
        </row>
        <row r="836">
          <cell r="A836" t="str">
            <v>406-001-001-0049</v>
          </cell>
          <cell r="B836" t="str">
            <v>abc Work done</v>
          </cell>
          <cell r="C836">
            <v>4</v>
          </cell>
          <cell r="D836">
            <v>0</v>
          </cell>
        </row>
        <row r="837">
          <cell r="A837" t="str">
            <v>406-001-001-0050</v>
          </cell>
          <cell r="B837" t="str">
            <v>abc Work done</v>
          </cell>
          <cell r="C837">
            <v>4</v>
          </cell>
          <cell r="D837">
            <v>0</v>
          </cell>
        </row>
        <row r="838">
          <cell r="A838" t="str">
            <v>407-000-000-0000</v>
          </cell>
          <cell r="B838" t="str">
            <v>Work in Progress</v>
          </cell>
          <cell r="C838">
            <v>1</v>
          </cell>
          <cell r="D838">
            <v>0</v>
          </cell>
        </row>
        <row r="839">
          <cell r="A839" t="str">
            <v>407-001-000-0000</v>
          </cell>
          <cell r="B839" t="str">
            <v>Work in Progress</v>
          </cell>
          <cell r="C839">
            <v>2</v>
          </cell>
          <cell r="D839">
            <v>0</v>
          </cell>
        </row>
        <row r="840">
          <cell r="A840" t="str">
            <v>407-001-001-0000</v>
          </cell>
          <cell r="B840" t="str">
            <v>Work in Progress</v>
          </cell>
          <cell r="C840">
            <v>3</v>
          </cell>
          <cell r="D840">
            <v>0</v>
          </cell>
        </row>
        <row r="841">
          <cell r="A841" t="str">
            <v>408-000-000-0000</v>
          </cell>
          <cell r="B841" t="str">
            <v>Work in process</v>
          </cell>
          <cell r="C841">
            <v>1</v>
          </cell>
          <cell r="D841">
            <v>0</v>
          </cell>
        </row>
        <row r="842">
          <cell r="A842" t="str">
            <v>408-001-000-0000</v>
          </cell>
          <cell r="B842" t="str">
            <v>Work in process</v>
          </cell>
          <cell r="C842">
            <v>2</v>
          </cell>
          <cell r="D842">
            <v>0</v>
          </cell>
        </row>
        <row r="843">
          <cell r="A843" t="str">
            <v>408-001-001-0000</v>
          </cell>
          <cell r="B843" t="str">
            <v>Work in process</v>
          </cell>
          <cell r="C843">
            <v>3</v>
          </cell>
          <cell r="D843">
            <v>0</v>
          </cell>
        </row>
        <row r="844">
          <cell r="A844" t="str">
            <v>409-000-000-0000</v>
          </cell>
          <cell r="B844" t="str">
            <v>Finished Goods</v>
          </cell>
          <cell r="C844">
            <v>1</v>
          </cell>
          <cell r="D844">
            <v>0</v>
          </cell>
        </row>
        <row r="845">
          <cell r="A845" t="str">
            <v>409-001-000-0000</v>
          </cell>
          <cell r="B845" t="str">
            <v>Finished Goods</v>
          </cell>
          <cell r="C845">
            <v>2</v>
          </cell>
          <cell r="D845">
            <v>0</v>
          </cell>
        </row>
        <row r="846">
          <cell r="A846" t="str">
            <v>409-001-001-0000</v>
          </cell>
          <cell r="B846" t="str">
            <v>Finished Goods</v>
          </cell>
          <cell r="C846">
            <v>3</v>
          </cell>
          <cell r="D846">
            <v>0</v>
          </cell>
        </row>
        <row r="847">
          <cell r="A847" t="str">
            <v>500-000-000-0000</v>
          </cell>
          <cell r="B847" t="str">
            <v>Administrative and General Expanses</v>
          </cell>
          <cell r="C847">
            <v>1</v>
          </cell>
          <cell r="D847">
            <v>27455501.960000001</v>
          </cell>
        </row>
        <row r="848">
          <cell r="A848" t="str">
            <v>500-001-000-0000</v>
          </cell>
          <cell r="B848" t="str">
            <v>Salaries and benefits</v>
          </cell>
          <cell r="C848">
            <v>2</v>
          </cell>
          <cell r="D848">
            <v>2426731</v>
          </cell>
        </row>
        <row r="849">
          <cell r="A849" t="str">
            <v>500-001-001-0000</v>
          </cell>
          <cell r="B849" t="str">
            <v>Salaries and Benefits Army Officeres</v>
          </cell>
          <cell r="C849">
            <v>3</v>
          </cell>
          <cell r="D849">
            <v>0</v>
          </cell>
        </row>
        <row r="850">
          <cell r="A850" t="str">
            <v>500-001-002-0000</v>
          </cell>
          <cell r="B850" t="str">
            <v>Salaries and Benefits Civilian Staff</v>
          </cell>
          <cell r="C850">
            <v>3</v>
          </cell>
          <cell r="D850">
            <v>2426731</v>
          </cell>
        </row>
        <row r="851">
          <cell r="A851" t="str">
            <v>500-001-002-0001</v>
          </cell>
          <cell r="B851" t="str">
            <v>Salaries Civilian Staff DHA Rahber</v>
          </cell>
          <cell r="C851">
            <v>4</v>
          </cell>
          <cell r="D851">
            <v>2028730</v>
          </cell>
        </row>
        <row r="852">
          <cell r="A852" t="str">
            <v>500-001-002-0002</v>
          </cell>
          <cell r="B852" t="str">
            <v>Monettary Award</v>
          </cell>
          <cell r="C852">
            <v>4</v>
          </cell>
          <cell r="D852">
            <v>312717</v>
          </cell>
        </row>
        <row r="853">
          <cell r="A853" t="str">
            <v>500-001-002-0003</v>
          </cell>
          <cell r="B853" t="str">
            <v>salaries civilian Staff</v>
          </cell>
          <cell r="C853">
            <v>4</v>
          </cell>
          <cell r="D853">
            <v>0</v>
          </cell>
        </row>
        <row r="854">
          <cell r="A854" t="str">
            <v>500-001-002-0004</v>
          </cell>
          <cell r="B854" t="str">
            <v>Medical Civilian Staff</v>
          </cell>
          <cell r="C854">
            <v>4</v>
          </cell>
          <cell r="D854">
            <v>0</v>
          </cell>
        </row>
        <row r="855">
          <cell r="A855" t="str">
            <v>500-001-002-0005</v>
          </cell>
          <cell r="B855" t="str">
            <v>Salaries Civilian Staff OFC Project</v>
          </cell>
          <cell r="C855">
            <v>4</v>
          </cell>
          <cell r="D855">
            <v>0</v>
          </cell>
        </row>
        <row r="856">
          <cell r="A856" t="str">
            <v>500-001-002-0006</v>
          </cell>
          <cell r="B856" t="str">
            <v>Benefits to Civilian/Army Staff/Offcrs</v>
          </cell>
          <cell r="C856">
            <v>4</v>
          </cell>
          <cell r="D856">
            <v>0</v>
          </cell>
        </row>
        <row r="857">
          <cell r="A857" t="str">
            <v>500-001-002-0007</v>
          </cell>
          <cell r="B857" t="str">
            <v>Salary Army officers DHA</v>
          </cell>
          <cell r="C857">
            <v>4</v>
          </cell>
          <cell r="D857">
            <v>85284</v>
          </cell>
        </row>
        <row r="858">
          <cell r="A858" t="str">
            <v>500-001-003-0000</v>
          </cell>
          <cell r="B858" t="str">
            <v>Salaries and Benefits JCO's/OR Staff</v>
          </cell>
          <cell r="C858">
            <v>3</v>
          </cell>
          <cell r="D858">
            <v>0</v>
          </cell>
        </row>
        <row r="859">
          <cell r="A859" t="str">
            <v>500-002-000-0000</v>
          </cell>
          <cell r="B859" t="str">
            <v>Uniform to Staff</v>
          </cell>
          <cell r="C859">
            <v>2</v>
          </cell>
          <cell r="D859">
            <v>0</v>
          </cell>
        </row>
        <row r="860">
          <cell r="A860" t="str">
            <v>500-002-001-0000</v>
          </cell>
          <cell r="B860" t="str">
            <v>Uniform to Staff</v>
          </cell>
          <cell r="C860">
            <v>3</v>
          </cell>
          <cell r="D860">
            <v>0</v>
          </cell>
        </row>
        <row r="861">
          <cell r="A861" t="str">
            <v>500-002-001-0002</v>
          </cell>
          <cell r="B861" t="str">
            <v>Uniform Civilin Staff</v>
          </cell>
          <cell r="C861">
            <v>4</v>
          </cell>
          <cell r="D861">
            <v>0</v>
          </cell>
        </row>
        <row r="862">
          <cell r="A862" t="str">
            <v>500-003-000-0000</v>
          </cell>
          <cell r="B862" t="str">
            <v>Rent, Rates and taxes</v>
          </cell>
          <cell r="C862">
            <v>2</v>
          </cell>
          <cell r="D862">
            <v>0</v>
          </cell>
        </row>
        <row r="863">
          <cell r="A863" t="str">
            <v>500-003-001-0000</v>
          </cell>
          <cell r="B863" t="str">
            <v>Rent, Rates and taxes</v>
          </cell>
          <cell r="C863">
            <v>3</v>
          </cell>
          <cell r="D863">
            <v>0</v>
          </cell>
        </row>
        <row r="864">
          <cell r="A864" t="str">
            <v>500-003-001-0001</v>
          </cell>
          <cell r="B864" t="str">
            <v>Rent</v>
          </cell>
          <cell r="C864">
            <v>4</v>
          </cell>
          <cell r="D864">
            <v>0</v>
          </cell>
        </row>
        <row r="865">
          <cell r="A865" t="str">
            <v>500-003-001-0002</v>
          </cell>
          <cell r="B865" t="str">
            <v>Rates and Taxes</v>
          </cell>
          <cell r="C865">
            <v>4</v>
          </cell>
          <cell r="D865">
            <v>0</v>
          </cell>
        </row>
        <row r="866">
          <cell r="A866" t="str">
            <v>500-004-000-0000</v>
          </cell>
          <cell r="B866" t="str">
            <v>Travelling and Conveyance</v>
          </cell>
          <cell r="C866">
            <v>2</v>
          </cell>
          <cell r="D866">
            <v>15585</v>
          </cell>
        </row>
        <row r="867">
          <cell r="A867" t="str">
            <v>500-004-001-0000</v>
          </cell>
          <cell r="B867" t="str">
            <v>Travelling and Conveyance</v>
          </cell>
          <cell r="C867">
            <v>3</v>
          </cell>
          <cell r="D867">
            <v>15585</v>
          </cell>
        </row>
        <row r="868">
          <cell r="A868" t="str">
            <v>500-004-001-0001</v>
          </cell>
          <cell r="B868" t="str">
            <v>Travelling and Conveyance to Staff</v>
          </cell>
          <cell r="C868">
            <v>4</v>
          </cell>
          <cell r="D868">
            <v>15585</v>
          </cell>
        </row>
        <row r="869">
          <cell r="A869" t="str">
            <v>500-005-000-0000</v>
          </cell>
          <cell r="B869" t="str">
            <v>Vehicle Running Expenses</v>
          </cell>
          <cell r="C869">
            <v>2</v>
          </cell>
          <cell r="D869">
            <v>6814634</v>
          </cell>
        </row>
        <row r="870">
          <cell r="A870" t="str">
            <v>500-005-001-0000</v>
          </cell>
          <cell r="B870" t="str">
            <v>Light Vehicls Running Expenses</v>
          </cell>
          <cell r="C870">
            <v>3</v>
          </cell>
          <cell r="D870">
            <v>6814634</v>
          </cell>
        </row>
        <row r="871">
          <cell r="A871" t="str">
            <v>500-005-001-0001</v>
          </cell>
          <cell r="B871" t="str">
            <v>Light Vehicls Running Expenses</v>
          </cell>
          <cell r="C871">
            <v>4</v>
          </cell>
          <cell r="D871">
            <v>6814634</v>
          </cell>
        </row>
        <row r="872">
          <cell r="A872" t="str">
            <v>500-006-000-0000</v>
          </cell>
          <cell r="B872" t="str">
            <v>Repair and Maintainance</v>
          </cell>
          <cell r="C872">
            <v>2</v>
          </cell>
          <cell r="D872">
            <v>266997</v>
          </cell>
        </row>
        <row r="873">
          <cell r="A873" t="str">
            <v>500-006-001-0000</v>
          </cell>
          <cell r="B873" t="str">
            <v>Light Vehicles Repair and Maintainance</v>
          </cell>
          <cell r="C873">
            <v>3</v>
          </cell>
          <cell r="D873">
            <v>266997</v>
          </cell>
        </row>
        <row r="874">
          <cell r="A874" t="str">
            <v>500-006-001-0001</v>
          </cell>
          <cell r="B874" t="str">
            <v>Light Vehicles Repair and Maintainance</v>
          </cell>
          <cell r="C874">
            <v>4</v>
          </cell>
          <cell r="D874">
            <v>266997</v>
          </cell>
        </row>
        <row r="875">
          <cell r="A875" t="str">
            <v>500-006-002-0000</v>
          </cell>
          <cell r="B875" t="str">
            <v>Computer Repair and Maintainance</v>
          </cell>
          <cell r="C875">
            <v>3</v>
          </cell>
          <cell r="D875">
            <v>0</v>
          </cell>
        </row>
        <row r="876">
          <cell r="A876" t="str">
            <v>500-006-002-0001</v>
          </cell>
          <cell r="B876" t="str">
            <v>Computer Repair and Maintainance</v>
          </cell>
          <cell r="C876">
            <v>4</v>
          </cell>
          <cell r="D876">
            <v>0</v>
          </cell>
        </row>
        <row r="877">
          <cell r="A877" t="str">
            <v>500-006-002-0002</v>
          </cell>
          <cell r="B877" t="str">
            <v>UPS Repair &amp; Maintenance</v>
          </cell>
          <cell r="C877">
            <v>4</v>
          </cell>
          <cell r="D877">
            <v>0</v>
          </cell>
        </row>
        <row r="878">
          <cell r="A878" t="str">
            <v>500-006-003-0000</v>
          </cell>
          <cell r="B878" t="str">
            <v>Fax, Telephones and  Exchange Repair and Maintaina</v>
          </cell>
          <cell r="C878">
            <v>3</v>
          </cell>
          <cell r="D878">
            <v>0</v>
          </cell>
        </row>
        <row r="879">
          <cell r="A879" t="str">
            <v>500-006-003-0001</v>
          </cell>
          <cell r="B879" t="str">
            <v>Fax, Telephones and  Exchange Repair and Maintaina</v>
          </cell>
          <cell r="C879">
            <v>4</v>
          </cell>
          <cell r="D879">
            <v>0</v>
          </cell>
        </row>
        <row r="880">
          <cell r="A880" t="str">
            <v>500-006-004-0000</v>
          </cell>
          <cell r="B880" t="str">
            <v>Electric  Repair and Maintainance</v>
          </cell>
          <cell r="C880">
            <v>3</v>
          </cell>
          <cell r="D880">
            <v>0</v>
          </cell>
        </row>
        <row r="881">
          <cell r="A881" t="str">
            <v>500-006-004-0001</v>
          </cell>
          <cell r="B881" t="str">
            <v>Electric  Repair and Maintainance</v>
          </cell>
          <cell r="C881">
            <v>4</v>
          </cell>
          <cell r="D881">
            <v>0</v>
          </cell>
        </row>
        <row r="882">
          <cell r="A882" t="str">
            <v>500-006-005-0000</v>
          </cell>
          <cell r="B882" t="str">
            <v>Building Rapair and Maintenance</v>
          </cell>
          <cell r="C882">
            <v>3</v>
          </cell>
          <cell r="D882">
            <v>0</v>
          </cell>
        </row>
        <row r="883">
          <cell r="A883" t="str">
            <v>500-006-005-0001</v>
          </cell>
          <cell r="B883" t="str">
            <v>Building Rapair and Maintenance</v>
          </cell>
          <cell r="C883">
            <v>4</v>
          </cell>
          <cell r="D883">
            <v>0</v>
          </cell>
        </row>
        <row r="884">
          <cell r="A884" t="str">
            <v>500-006-006-0000</v>
          </cell>
          <cell r="B884" t="str">
            <v>Furniture &amp; Fixture Repair &amp; Maintenance</v>
          </cell>
          <cell r="C884">
            <v>3</v>
          </cell>
          <cell r="D884">
            <v>0</v>
          </cell>
        </row>
        <row r="885">
          <cell r="A885" t="str">
            <v>500-006-006-0001</v>
          </cell>
          <cell r="B885" t="str">
            <v>Furniture &amp; Fixture Repair &amp; Maintenance</v>
          </cell>
          <cell r="C885">
            <v>4</v>
          </cell>
          <cell r="D885">
            <v>0</v>
          </cell>
        </row>
        <row r="886">
          <cell r="A886" t="str">
            <v>500-007-000-0000</v>
          </cell>
          <cell r="B886" t="str">
            <v>Printing and Stationery</v>
          </cell>
          <cell r="C886">
            <v>2</v>
          </cell>
          <cell r="D886">
            <v>103986</v>
          </cell>
        </row>
        <row r="887">
          <cell r="A887" t="str">
            <v>500-007-001-0000</v>
          </cell>
          <cell r="B887" t="str">
            <v>Printing and Stationery</v>
          </cell>
          <cell r="C887">
            <v>3</v>
          </cell>
          <cell r="D887">
            <v>103986</v>
          </cell>
        </row>
        <row r="888">
          <cell r="A888" t="str">
            <v>500-007-001-0001</v>
          </cell>
          <cell r="B888" t="str">
            <v>Printing Expenses</v>
          </cell>
          <cell r="C888">
            <v>4</v>
          </cell>
          <cell r="D888">
            <v>4165</v>
          </cell>
        </row>
        <row r="889">
          <cell r="A889" t="str">
            <v>500-007-001-0002</v>
          </cell>
          <cell r="B889" t="str">
            <v>Stationery Expenses</v>
          </cell>
          <cell r="C889">
            <v>4</v>
          </cell>
          <cell r="D889">
            <v>95971</v>
          </cell>
        </row>
        <row r="890">
          <cell r="A890" t="str">
            <v>500-007-001-0003</v>
          </cell>
          <cell r="B890" t="str">
            <v>Computer stationery/Items</v>
          </cell>
          <cell r="C890">
            <v>4</v>
          </cell>
          <cell r="D890">
            <v>0</v>
          </cell>
        </row>
        <row r="891">
          <cell r="A891" t="str">
            <v>500-007-001-0004</v>
          </cell>
          <cell r="B891" t="str">
            <v>Photocopies Expenses</v>
          </cell>
          <cell r="C891">
            <v>4</v>
          </cell>
          <cell r="D891">
            <v>0</v>
          </cell>
        </row>
        <row r="892">
          <cell r="A892" t="str">
            <v>500-007-001-0005</v>
          </cell>
          <cell r="B892" t="str">
            <v>Photocopier Expenses</v>
          </cell>
          <cell r="C892">
            <v>4</v>
          </cell>
          <cell r="D892">
            <v>0</v>
          </cell>
        </row>
        <row r="893">
          <cell r="A893" t="str">
            <v>500-007-001-0006</v>
          </cell>
          <cell r="B893" t="str">
            <v>Furniture purchase</v>
          </cell>
          <cell r="C893">
            <v>4</v>
          </cell>
          <cell r="D893">
            <v>3850</v>
          </cell>
        </row>
        <row r="894">
          <cell r="A894" t="str">
            <v>500-008-000-0000</v>
          </cell>
          <cell r="B894" t="str">
            <v>Electric, Water and Gas Charges</v>
          </cell>
          <cell r="C894">
            <v>2</v>
          </cell>
          <cell r="D894">
            <v>600</v>
          </cell>
        </row>
        <row r="895">
          <cell r="A895" t="str">
            <v>500-008-001-0000</v>
          </cell>
          <cell r="B895" t="str">
            <v>Electricity</v>
          </cell>
          <cell r="C895">
            <v>3</v>
          </cell>
          <cell r="D895">
            <v>0</v>
          </cell>
        </row>
        <row r="896">
          <cell r="A896" t="str">
            <v>500-008-001-0001</v>
          </cell>
          <cell r="B896" t="str">
            <v>Electricity  Charges</v>
          </cell>
          <cell r="C896">
            <v>4</v>
          </cell>
          <cell r="D896">
            <v>0</v>
          </cell>
        </row>
        <row r="897">
          <cell r="A897" t="str">
            <v>500-008-002-0000</v>
          </cell>
          <cell r="B897" t="str">
            <v>Water charges</v>
          </cell>
          <cell r="C897">
            <v>3</v>
          </cell>
          <cell r="D897">
            <v>0</v>
          </cell>
        </row>
        <row r="898">
          <cell r="A898" t="str">
            <v>500-008-002-0001</v>
          </cell>
          <cell r="B898" t="str">
            <v>Water  Charges</v>
          </cell>
          <cell r="C898">
            <v>4</v>
          </cell>
          <cell r="D898">
            <v>0</v>
          </cell>
        </row>
        <row r="899">
          <cell r="A899" t="str">
            <v>500-008-003-0000</v>
          </cell>
          <cell r="B899" t="str">
            <v>Gas charges</v>
          </cell>
          <cell r="C899">
            <v>3</v>
          </cell>
          <cell r="D899">
            <v>600</v>
          </cell>
        </row>
        <row r="900">
          <cell r="A900" t="str">
            <v>500-008-003-0001</v>
          </cell>
          <cell r="B900" t="str">
            <v>Gas charges</v>
          </cell>
          <cell r="C900">
            <v>4</v>
          </cell>
          <cell r="D900">
            <v>600</v>
          </cell>
        </row>
        <row r="901">
          <cell r="A901" t="str">
            <v>500-009-000-0000</v>
          </cell>
          <cell r="B901" t="str">
            <v>Communication Charges</v>
          </cell>
          <cell r="C901">
            <v>2</v>
          </cell>
          <cell r="D901">
            <v>58261</v>
          </cell>
        </row>
        <row r="902">
          <cell r="A902" t="str">
            <v>500-009-001-0000</v>
          </cell>
          <cell r="B902" t="str">
            <v>Telephone charges</v>
          </cell>
          <cell r="C902">
            <v>3</v>
          </cell>
          <cell r="D902">
            <v>21662</v>
          </cell>
        </row>
        <row r="903">
          <cell r="A903" t="str">
            <v>500-009-001-0001</v>
          </cell>
          <cell r="B903" t="str">
            <v>Telephone charges</v>
          </cell>
          <cell r="C903">
            <v>4</v>
          </cell>
          <cell r="D903">
            <v>21662</v>
          </cell>
        </row>
        <row r="904">
          <cell r="A904" t="str">
            <v>500-009-001-0002</v>
          </cell>
          <cell r="B904" t="str">
            <v>Telephone</v>
          </cell>
          <cell r="C904">
            <v>4</v>
          </cell>
          <cell r="D904">
            <v>0</v>
          </cell>
        </row>
        <row r="905">
          <cell r="A905" t="str">
            <v>500-009-001-0003</v>
          </cell>
          <cell r="B905" t="str">
            <v>Telephone charges Tel 66663636</v>
          </cell>
          <cell r="C905">
            <v>4</v>
          </cell>
          <cell r="D905">
            <v>0</v>
          </cell>
        </row>
        <row r="906">
          <cell r="A906" t="str">
            <v>500-009-002-0000</v>
          </cell>
          <cell r="B906" t="str">
            <v>Mobile Phone Charges</v>
          </cell>
          <cell r="C906">
            <v>3</v>
          </cell>
          <cell r="D906">
            <v>24099</v>
          </cell>
        </row>
        <row r="907">
          <cell r="A907" t="str">
            <v>500-009-002-0001</v>
          </cell>
          <cell r="B907" t="str">
            <v>Mobile Phone Charges</v>
          </cell>
          <cell r="C907">
            <v>4</v>
          </cell>
          <cell r="D907">
            <v>24099</v>
          </cell>
        </row>
        <row r="908">
          <cell r="A908" t="str">
            <v>500-009-002-0002</v>
          </cell>
          <cell r="B908" t="str">
            <v>Mobile Phone Charges OFC</v>
          </cell>
          <cell r="C908">
            <v>4</v>
          </cell>
          <cell r="D908">
            <v>0</v>
          </cell>
        </row>
        <row r="909">
          <cell r="A909" t="str">
            <v>500-009-002-0003</v>
          </cell>
          <cell r="B909" t="str">
            <v>Mobile Phone</v>
          </cell>
          <cell r="C909">
            <v>2</v>
          </cell>
          <cell r="D909">
            <v>0</v>
          </cell>
        </row>
        <row r="910">
          <cell r="A910" t="str">
            <v>500-009-003-0000</v>
          </cell>
          <cell r="B910" t="str">
            <v>Fax charges</v>
          </cell>
          <cell r="C910">
            <v>3</v>
          </cell>
          <cell r="D910">
            <v>0</v>
          </cell>
        </row>
        <row r="911">
          <cell r="A911" t="str">
            <v>500-009-003-0001</v>
          </cell>
          <cell r="B911" t="str">
            <v>Fax charges</v>
          </cell>
          <cell r="C911">
            <v>4</v>
          </cell>
          <cell r="D911">
            <v>0</v>
          </cell>
        </row>
        <row r="912">
          <cell r="A912" t="str">
            <v>500-009-004-0000</v>
          </cell>
          <cell r="B912" t="str">
            <v>Telex and telegram</v>
          </cell>
          <cell r="C912">
            <v>3</v>
          </cell>
          <cell r="D912">
            <v>0</v>
          </cell>
        </row>
        <row r="913">
          <cell r="A913" t="str">
            <v>500-009-004-0001</v>
          </cell>
          <cell r="B913" t="str">
            <v>Telex and telegram</v>
          </cell>
          <cell r="C913">
            <v>4</v>
          </cell>
          <cell r="D913">
            <v>0</v>
          </cell>
        </row>
        <row r="914">
          <cell r="A914" t="str">
            <v>500-009-005-0000</v>
          </cell>
          <cell r="B914" t="str">
            <v>Postage</v>
          </cell>
          <cell r="C914">
            <v>3</v>
          </cell>
          <cell r="D914">
            <v>0</v>
          </cell>
        </row>
        <row r="915">
          <cell r="A915" t="str">
            <v>500-009-005-0001</v>
          </cell>
          <cell r="B915" t="str">
            <v>Postage</v>
          </cell>
          <cell r="C915">
            <v>4</v>
          </cell>
          <cell r="D915">
            <v>0</v>
          </cell>
        </row>
        <row r="916">
          <cell r="A916" t="str">
            <v>500-009-006-0000</v>
          </cell>
          <cell r="B916" t="str">
            <v>Pager</v>
          </cell>
          <cell r="C916">
            <v>3</v>
          </cell>
          <cell r="D916">
            <v>0</v>
          </cell>
        </row>
        <row r="917">
          <cell r="A917" t="str">
            <v>500-009-006-0001</v>
          </cell>
          <cell r="B917" t="str">
            <v>Pager</v>
          </cell>
          <cell r="C917">
            <v>4</v>
          </cell>
          <cell r="D917">
            <v>0</v>
          </cell>
        </row>
        <row r="918">
          <cell r="A918" t="str">
            <v>500-009-007-0000</v>
          </cell>
          <cell r="B918" t="str">
            <v>Internet charges</v>
          </cell>
          <cell r="C918">
            <v>3</v>
          </cell>
          <cell r="D918">
            <v>0</v>
          </cell>
        </row>
        <row r="919">
          <cell r="A919" t="str">
            <v>500-009-007-0001</v>
          </cell>
          <cell r="B919" t="str">
            <v>Internet charges</v>
          </cell>
          <cell r="C919">
            <v>4</v>
          </cell>
          <cell r="D919">
            <v>0</v>
          </cell>
        </row>
        <row r="920">
          <cell r="A920" t="str">
            <v>500-009-008-0000</v>
          </cell>
          <cell r="B920" t="str">
            <v>Wireless Charges</v>
          </cell>
          <cell r="C920">
            <v>3</v>
          </cell>
          <cell r="D920">
            <v>12500</v>
          </cell>
        </row>
        <row r="921">
          <cell r="A921" t="str">
            <v>500-009-008-0001</v>
          </cell>
          <cell r="B921" t="str">
            <v>Wireless Charges</v>
          </cell>
          <cell r="C921">
            <v>4</v>
          </cell>
          <cell r="D921">
            <v>12500</v>
          </cell>
        </row>
        <row r="922">
          <cell r="A922" t="str">
            <v>500-009-009-0000</v>
          </cell>
          <cell r="B922" t="str">
            <v>Wireless telephone Charges</v>
          </cell>
          <cell r="C922">
            <v>3</v>
          </cell>
          <cell r="D922">
            <v>0</v>
          </cell>
        </row>
        <row r="923">
          <cell r="A923" t="str">
            <v>500-009-009-0001</v>
          </cell>
          <cell r="B923" t="str">
            <v>Wireless telephone Charges no442424442</v>
          </cell>
          <cell r="C923">
            <v>4</v>
          </cell>
          <cell r="D923">
            <v>0</v>
          </cell>
        </row>
        <row r="924">
          <cell r="A924" t="str">
            <v>500-009-009-0002</v>
          </cell>
          <cell r="B924" t="str">
            <v>Wireless telephone Charges no442424444</v>
          </cell>
          <cell r="C924">
            <v>4</v>
          </cell>
          <cell r="D924">
            <v>0</v>
          </cell>
        </row>
        <row r="925">
          <cell r="A925" t="str">
            <v>500-010-000-0000</v>
          </cell>
          <cell r="B925" t="str">
            <v>Entertainment</v>
          </cell>
          <cell r="C925">
            <v>2</v>
          </cell>
          <cell r="D925">
            <v>17681</v>
          </cell>
        </row>
        <row r="926">
          <cell r="A926" t="str">
            <v>500-010-001-0000</v>
          </cell>
          <cell r="B926" t="str">
            <v>Entertainment</v>
          </cell>
          <cell r="C926">
            <v>3</v>
          </cell>
          <cell r="D926">
            <v>17681</v>
          </cell>
        </row>
        <row r="927">
          <cell r="A927" t="str">
            <v>500-010-001-0001</v>
          </cell>
          <cell r="B927" t="str">
            <v>Entertainment</v>
          </cell>
          <cell r="C927">
            <v>4</v>
          </cell>
          <cell r="D927">
            <v>17681</v>
          </cell>
        </row>
        <row r="928">
          <cell r="A928" t="str">
            <v>500-011-000-0000</v>
          </cell>
          <cell r="B928" t="str">
            <v>Legal and Professional Charges</v>
          </cell>
          <cell r="C928">
            <v>2</v>
          </cell>
          <cell r="D928">
            <v>0</v>
          </cell>
        </row>
        <row r="929">
          <cell r="A929" t="str">
            <v>500-011-001-0000</v>
          </cell>
          <cell r="B929" t="str">
            <v>Legal and Professional Charges</v>
          </cell>
          <cell r="C929">
            <v>3</v>
          </cell>
          <cell r="D929">
            <v>0</v>
          </cell>
        </row>
        <row r="930">
          <cell r="A930" t="str">
            <v>500-011-001-0001</v>
          </cell>
          <cell r="B930" t="str">
            <v>Legal and Professional Charges</v>
          </cell>
          <cell r="C930">
            <v>4</v>
          </cell>
          <cell r="D930">
            <v>0</v>
          </cell>
        </row>
        <row r="931">
          <cell r="A931" t="str">
            <v>500-012-000-0000</v>
          </cell>
          <cell r="B931" t="str">
            <v>Auditors Remuneration</v>
          </cell>
          <cell r="C931">
            <v>2</v>
          </cell>
          <cell r="D931">
            <v>0</v>
          </cell>
        </row>
        <row r="932">
          <cell r="A932" t="str">
            <v>500-012-001-0000</v>
          </cell>
          <cell r="B932" t="str">
            <v>Auditors Remuneration</v>
          </cell>
          <cell r="C932">
            <v>3</v>
          </cell>
          <cell r="D932">
            <v>0</v>
          </cell>
        </row>
        <row r="933">
          <cell r="A933" t="str">
            <v>500-012-001-0001</v>
          </cell>
          <cell r="B933" t="str">
            <v>Auditors Remuneration</v>
          </cell>
          <cell r="C933">
            <v>4</v>
          </cell>
          <cell r="D933">
            <v>0</v>
          </cell>
        </row>
        <row r="934">
          <cell r="A934" t="str">
            <v>500-013-000-0000</v>
          </cell>
          <cell r="B934" t="str">
            <v>Fee and Subscription</v>
          </cell>
          <cell r="C934">
            <v>2</v>
          </cell>
          <cell r="D934">
            <v>0</v>
          </cell>
        </row>
        <row r="935">
          <cell r="A935" t="str">
            <v>500-013-001-0000</v>
          </cell>
          <cell r="B935" t="str">
            <v>Fee and Subscription</v>
          </cell>
          <cell r="C935">
            <v>3</v>
          </cell>
          <cell r="D935">
            <v>0</v>
          </cell>
        </row>
        <row r="936">
          <cell r="A936" t="str">
            <v>500-013-001-0001</v>
          </cell>
          <cell r="B936" t="str">
            <v>Engineering Civil Works, Lahore</v>
          </cell>
          <cell r="C936">
            <v>4</v>
          </cell>
          <cell r="D936">
            <v>0</v>
          </cell>
        </row>
        <row r="937">
          <cell r="A937" t="str">
            <v>500-013-001-0002</v>
          </cell>
          <cell r="B937" t="str">
            <v>TMAFC</v>
          </cell>
          <cell r="C937">
            <v>4</v>
          </cell>
          <cell r="D937">
            <v>0</v>
          </cell>
        </row>
        <row r="938">
          <cell r="A938" t="str">
            <v>500-013-001-0003</v>
          </cell>
          <cell r="B938" t="str">
            <v>Highway Division</v>
          </cell>
          <cell r="C938">
            <v>4</v>
          </cell>
          <cell r="D938">
            <v>0</v>
          </cell>
        </row>
        <row r="939">
          <cell r="A939" t="str">
            <v>500-014-000-0000</v>
          </cell>
          <cell r="B939" t="str">
            <v>Insurance Expenses</v>
          </cell>
          <cell r="C939">
            <v>2</v>
          </cell>
          <cell r="D939">
            <v>0</v>
          </cell>
        </row>
        <row r="940">
          <cell r="A940" t="str">
            <v>500-014-001-0000</v>
          </cell>
          <cell r="B940" t="str">
            <v>Insurance Expenses</v>
          </cell>
          <cell r="C940">
            <v>3</v>
          </cell>
          <cell r="D940">
            <v>0</v>
          </cell>
        </row>
        <row r="941">
          <cell r="A941" t="str">
            <v>500-014-001-0001</v>
          </cell>
          <cell r="B941" t="str">
            <v>Insurance Expenses</v>
          </cell>
          <cell r="C941">
            <v>4</v>
          </cell>
          <cell r="D941">
            <v>0</v>
          </cell>
        </row>
        <row r="942">
          <cell r="A942" t="str">
            <v>500-015-000-0000</v>
          </cell>
          <cell r="B942" t="str">
            <v>Security Guard Expenses</v>
          </cell>
          <cell r="C942">
            <v>2</v>
          </cell>
          <cell r="D942">
            <v>0</v>
          </cell>
        </row>
        <row r="943">
          <cell r="A943" t="str">
            <v>500-015-001-0000</v>
          </cell>
          <cell r="B943" t="str">
            <v>Security Guard Expenses</v>
          </cell>
          <cell r="C943">
            <v>3</v>
          </cell>
          <cell r="D943">
            <v>0</v>
          </cell>
        </row>
        <row r="944">
          <cell r="A944" t="str">
            <v>500-015-001-0001</v>
          </cell>
          <cell r="B944" t="str">
            <v>Security Guard Expenses</v>
          </cell>
          <cell r="C944">
            <v>4</v>
          </cell>
          <cell r="D944">
            <v>0</v>
          </cell>
        </row>
        <row r="945">
          <cell r="A945" t="str">
            <v>500-016-000-0000</v>
          </cell>
          <cell r="B945" t="str">
            <v>News paper and periodicals</v>
          </cell>
          <cell r="C945">
            <v>2</v>
          </cell>
          <cell r="D945">
            <v>14316</v>
          </cell>
        </row>
        <row r="946">
          <cell r="A946" t="str">
            <v>500-016-001-0000</v>
          </cell>
          <cell r="B946" t="str">
            <v>News paper and periodicals</v>
          </cell>
          <cell r="C946">
            <v>3</v>
          </cell>
          <cell r="D946">
            <v>14316</v>
          </cell>
        </row>
        <row r="947">
          <cell r="A947" t="str">
            <v>500-016-001-0001</v>
          </cell>
          <cell r="B947" t="str">
            <v>Newspapers</v>
          </cell>
          <cell r="C947">
            <v>4</v>
          </cell>
          <cell r="D947">
            <v>216</v>
          </cell>
        </row>
        <row r="948">
          <cell r="A948" t="str">
            <v>500-016-001-0002</v>
          </cell>
          <cell r="B948" t="str">
            <v>Consultancy Expense</v>
          </cell>
          <cell r="C948">
            <v>4</v>
          </cell>
          <cell r="D948">
            <v>14100</v>
          </cell>
        </row>
        <row r="949">
          <cell r="A949" t="str">
            <v>500-017-000-0000</v>
          </cell>
          <cell r="B949" t="str">
            <v>Charity and donation</v>
          </cell>
          <cell r="C949">
            <v>2</v>
          </cell>
          <cell r="D949">
            <v>0</v>
          </cell>
        </row>
        <row r="950">
          <cell r="A950" t="str">
            <v>500-017-001-0000</v>
          </cell>
          <cell r="B950" t="str">
            <v>Charity and donation</v>
          </cell>
          <cell r="C950">
            <v>3</v>
          </cell>
          <cell r="D950">
            <v>0</v>
          </cell>
        </row>
        <row r="951">
          <cell r="A951" t="str">
            <v>500-017-001-0001</v>
          </cell>
          <cell r="B951" t="str">
            <v>Donations</v>
          </cell>
          <cell r="C951">
            <v>4</v>
          </cell>
          <cell r="D951">
            <v>0</v>
          </cell>
        </row>
        <row r="952">
          <cell r="A952" t="str">
            <v>500-018-000-0000</v>
          </cell>
          <cell r="B952" t="str">
            <v>Advertisement expenses</v>
          </cell>
          <cell r="C952">
            <v>2</v>
          </cell>
          <cell r="D952">
            <v>0</v>
          </cell>
        </row>
        <row r="953">
          <cell r="A953" t="str">
            <v>500-018-001-0000</v>
          </cell>
          <cell r="B953" t="str">
            <v>Advertisement expenses</v>
          </cell>
          <cell r="C953">
            <v>3</v>
          </cell>
          <cell r="D953">
            <v>0</v>
          </cell>
        </row>
        <row r="954">
          <cell r="A954" t="str">
            <v>500-018-001-0001</v>
          </cell>
          <cell r="B954" t="str">
            <v>Advertisement Newspapers</v>
          </cell>
          <cell r="C954">
            <v>4</v>
          </cell>
          <cell r="D954">
            <v>0</v>
          </cell>
        </row>
        <row r="955">
          <cell r="A955" t="str">
            <v>500-018-001-0002</v>
          </cell>
          <cell r="B955" t="str">
            <v>Advertisment for Publicity</v>
          </cell>
          <cell r="C955">
            <v>4</v>
          </cell>
          <cell r="D955">
            <v>0</v>
          </cell>
        </row>
        <row r="956">
          <cell r="A956" t="str">
            <v>500-019-000-0000</v>
          </cell>
          <cell r="B956" t="str">
            <v>Research, Development and Planning</v>
          </cell>
          <cell r="C956">
            <v>2</v>
          </cell>
          <cell r="D956">
            <v>0</v>
          </cell>
        </row>
        <row r="957">
          <cell r="A957" t="str">
            <v>500-019-001-0000</v>
          </cell>
          <cell r="B957" t="str">
            <v>Research, Development and Planning</v>
          </cell>
          <cell r="C957">
            <v>3</v>
          </cell>
          <cell r="D957">
            <v>0</v>
          </cell>
        </row>
        <row r="958">
          <cell r="A958" t="str">
            <v>500-019-001-0001</v>
          </cell>
          <cell r="B958" t="str">
            <v>Documentions Expenses</v>
          </cell>
          <cell r="C958">
            <v>4</v>
          </cell>
          <cell r="D958">
            <v>0</v>
          </cell>
        </row>
        <row r="959">
          <cell r="A959" t="str">
            <v>500-020-000-0000</v>
          </cell>
          <cell r="B959" t="str">
            <v>Transportation, Carriage and Freight Expenses</v>
          </cell>
          <cell r="C959">
            <v>2</v>
          </cell>
          <cell r="D959">
            <v>16397749.959999999</v>
          </cell>
        </row>
        <row r="960">
          <cell r="A960" t="str">
            <v>500-020-001-0000</v>
          </cell>
          <cell r="B960" t="str">
            <v>Transportation, Carriage and Freight Expenses</v>
          </cell>
          <cell r="C960">
            <v>3</v>
          </cell>
          <cell r="D960">
            <v>16397749.959999999</v>
          </cell>
        </row>
        <row r="961">
          <cell r="A961" t="str">
            <v>500-020-001-0001</v>
          </cell>
          <cell r="B961" t="str">
            <v>Transportation Expenses</v>
          </cell>
          <cell r="C961">
            <v>4</v>
          </cell>
          <cell r="D961">
            <v>16271647.959999999</v>
          </cell>
        </row>
        <row r="962">
          <cell r="A962" t="str">
            <v>500-020-001-0002</v>
          </cell>
          <cell r="B962" t="str">
            <v>Carriage and Freight Expenses</v>
          </cell>
          <cell r="C962">
            <v>4</v>
          </cell>
          <cell r="D962">
            <v>1000</v>
          </cell>
        </row>
        <row r="963">
          <cell r="A963" t="str">
            <v>500-020-001-0003</v>
          </cell>
          <cell r="B963" t="str">
            <v>Loading, Unloading</v>
          </cell>
          <cell r="C963">
            <v>4</v>
          </cell>
          <cell r="D963">
            <v>125102</v>
          </cell>
        </row>
        <row r="964">
          <cell r="A964" t="str">
            <v>500-021-000-0000</v>
          </cell>
          <cell r="B964" t="str">
            <v>Hiring Charges</v>
          </cell>
          <cell r="C964">
            <v>2</v>
          </cell>
          <cell r="D964">
            <v>1267952</v>
          </cell>
        </row>
        <row r="965">
          <cell r="A965" t="str">
            <v>500-021-001-0000</v>
          </cell>
          <cell r="B965" t="str">
            <v>Light Vehicle Hiring charges</v>
          </cell>
          <cell r="C965">
            <v>3</v>
          </cell>
          <cell r="D965">
            <v>1267952</v>
          </cell>
        </row>
        <row r="966">
          <cell r="A966" t="str">
            <v>500-021-001-0001</v>
          </cell>
          <cell r="B966" t="str">
            <v>Water Bowzer Hiring</v>
          </cell>
          <cell r="C966">
            <v>4</v>
          </cell>
          <cell r="D966">
            <v>534245</v>
          </cell>
        </row>
        <row r="967">
          <cell r="A967" t="str">
            <v>500-021-001-0002</v>
          </cell>
          <cell r="B967" t="str">
            <v>Tractor Hiring Charges</v>
          </cell>
          <cell r="C967">
            <v>4</v>
          </cell>
          <cell r="D967">
            <v>710217</v>
          </cell>
        </row>
        <row r="968">
          <cell r="A968" t="str">
            <v>500-021-001-0003</v>
          </cell>
          <cell r="B968" t="str">
            <v>Vehicle Hiring charges</v>
          </cell>
          <cell r="C968">
            <v>4</v>
          </cell>
          <cell r="D968">
            <v>0</v>
          </cell>
        </row>
        <row r="969">
          <cell r="A969" t="str">
            <v>500-021-001-0004</v>
          </cell>
          <cell r="B969" t="str">
            <v>Machinery hiring charges</v>
          </cell>
          <cell r="C969">
            <v>4</v>
          </cell>
          <cell r="D969">
            <v>0</v>
          </cell>
        </row>
        <row r="970">
          <cell r="A970" t="str">
            <v>500-021-001-0005</v>
          </cell>
          <cell r="B970" t="str">
            <v>Compector Hiring Charges</v>
          </cell>
          <cell r="C970">
            <v>4</v>
          </cell>
          <cell r="D970">
            <v>6500</v>
          </cell>
        </row>
        <row r="971">
          <cell r="A971" t="str">
            <v>500-021-001-0006</v>
          </cell>
          <cell r="B971" t="str">
            <v>Hiring of Testing of Lab</v>
          </cell>
          <cell r="C971">
            <v>4</v>
          </cell>
          <cell r="D971">
            <v>16990</v>
          </cell>
        </row>
        <row r="972">
          <cell r="A972" t="str">
            <v>500-022-000-0000</v>
          </cell>
          <cell r="B972" t="str">
            <v>Lease Rent</v>
          </cell>
          <cell r="C972">
            <v>2</v>
          </cell>
          <cell r="D972">
            <v>0</v>
          </cell>
        </row>
        <row r="973">
          <cell r="A973" t="str">
            <v>500-022-001-0000</v>
          </cell>
          <cell r="B973" t="str">
            <v>Lease Rent</v>
          </cell>
          <cell r="C973">
            <v>3</v>
          </cell>
          <cell r="D973">
            <v>0</v>
          </cell>
        </row>
        <row r="974">
          <cell r="A974" t="str">
            <v>500-022-001-0001</v>
          </cell>
          <cell r="B974" t="str">
            <v>Land Lease Rent Charges</v>
          </cell>
          <cell r="C974">
            <v>4</v>
          </cell>
          <cell r="D974">
            <v>0</v>
          </cell>
        </row>
        <row r="975">
          <cell r="A975" t="str">
            <v>500-023-000-0000</v>
          </cell>
          <cell r="B975" t="str">
            <v>Depreciation of Operating Fixed  Assets</v>
          </cell>
          <cell r="C975">
            <v>2</v>
          </cell>
          <cell r="D975">
            <v>0</v>
          </cell>
        </row>
        <row r="976">
          <cell r="A976" t="str">
            <v>500-023-001-0000</v>
          </cell>
          <cell r="B976" t="str">
            <v>Depreciation of Operating Fixed  Assets</v>
          </cell>
          <cell r="C976">
            <v>3</v>
          </cell>
          <cell r="D976">
            <v>0</v>
          </cell>
        </row>
        <row r="977">
          <cell r="A977" t="str">
            <v>500-023-001-0001</v>
          </cell>
          <cell r="B977" t="str">
            <v>Depreciation of Operating Fixed  Assets</v>
          </cell>
          <cell r="C977">
            <v>4</v>
          </cell>
          <cell r="D977">
            <v>0</v>
          </cell>
        </row>
        <row r="978">
          <cell r="A978" t="str">
            <v>500-024-000-0000</v>
          </cell>
          <cell r="B978" t="str">
            <v>Amortisation of Lease Assets</v>
          </cell>
          <cell r="C978">
            <v>2</v>
          </cell>
          <cell r="D978">
            <v>0</v>
          </cell>
        </row>
        <row r="979">
          <cell r="A979" t="str">
            <v>500-024-001-0000</v>
          </cell>
          <cell r="B979" t="str">
            <v>Amortisation of Lease Assets</v>
          </cell>
          <cell r="C979">
            <v>3</v>
          </cell>
          <cell r="D979">
            <v>0</v>
          </cell>
        </row>
        <row r="980">
          <cell r="A980" t="str">
            <v>500-025-000-0000</v>
          </cell>
          <cell r="B980" t="str">
            <v>Written Off Receiveable</v>
          </cell>
          <cell r="C980">
            <v>2</v>
          </cell>
          <cell r="D980">
            <v>0</v>
          </cell>
        </row>
        <row r="981">
          <cell r="A981" t="str">
            <v>500-025-001-0000</v>
          </cell>
          <cell r="B981" t="str">
            <v>Written Off Receiveable</v>
          </cell>
          <cell r="C981">
            <v>3</v>
          </cell>
          <cell r="D981">
            <v>0</v>
          </cell>
        </row>
        <row r="982">
          <cell r="A982" t="str">
            <v>500-025-001-0001</v>
          </cell>
          <cell r="B982" t="str">
            <v>Written Off Trade Debts/Contract Receiveable</v>
          </cell>
          <cell r="C982">
            <v>4</v>
          </cell>
          <cell r="D982">
            <v>0</v>
          </cell>
        </row>
        <row r="983">
          <cell r="A983" t="str">
            <v>500-026-000-0000</v>
          </cell>
          <cell r="B983" t="str">
            <v>Miscellaneous Expenses</v>
          </cell>
          <cell r="C983">
            <v>2</v>
          </cell>
          <cell r="D983">
            <v>42724</v>
          </cell>
        </row>
        <row r="984">
          <cell r="A984" t="str">
            <v>500-026-001-0000</v>
          </cell>
          <cell r="B984" t="str">
            <v>Miscellaneous Expenses</v>
          </cell>
          <cell r="C984">
            <v>3</v>
          </cell>
          <cell r="D984">
            <v>42724</v>
          </cell>
        </row>
        <row r="985">
          <cell r="A985" t="str">
            <v>500-026-001-0001</v>
          </cell>
          <cell r="B985" t="str">
            <v>Miscellaneous Expenses</v>
          </cell>
          <cell r="C985">
            <v>4</v>
          </cell>
          <cell r="D985">
            <v>42724</v>
          </cell>
        </row>
        <row r="986">
          <cell r="A986" t="str">
            <v>500-026-001-0002</v>
          </cell>
          <cell r="B986" t="str">
            <v>Expenses</v>
          </cell>
          <cell r="C986">
            <v>4</v>
          </cell>
          <cell r="D986">
            <v>0</v>
          </cell>
        </row>
        <row r="987">
          <cell r="A987" t="str">
            <v>500-027-000-0000</v>
          </cell>
          <cell r="B987" t="str">
            <v>Office Requisits Expense</v>
          </cell>
          <cell r="C987">
            <v>2</v>
          </cell>
          <cell r="D987">
            <v>28285</v>
          </cell>
        </row>
        <row r="988">
          <cell r="A988" t="str">
            <v>500-027-001-0000</v>
          </cell>
          <cell r="B988" t="str">
            <v>Office Requisits Expense</v>
          </cell>
          <cell r="C988">
            <v>3</v>
          </cell>
          <cell r="D988">
            <v>28285</v>
          </cell>
        </row>
        <row r="989">
          <cell r="A989" t="str">
            <v>500-027-001-0001</v>
          </cell>
          <cell r="B989" t="str">
            <v>Office Requists Expense</v>
          </cell>
          <cell r="C989">
            <v>4</v>
          </cell>
          <cell r="D989">
            <v>28285</v>
          </cell>
        </row>
        <row r="990">
          <cell r="A990" t="str">
            <v>500-027-001-0002</v>
          </cell>
          <cell r="B990" t="str">
            <v>Office Requists abc</v>
          </cell>
          <cell r="C990">
            <v>4</v>
          </cell>
          <cell r="D990">
            <v>0</v>
          </cell>
        </row>
        <row r="991">
          <cell r="A991" t="str">
            <v>600-000-000-0000</v>
          </cell>
          <cell r="B991" t="str">
            <v>Other Income</v>
          </cell>
          <cell r="C991">
            <v>1</v>
          </cell>
          <cell r="D991">
            <v>-11207</v>
          </cell>
        </row>
        <row r="992">
          <cell r="A992" t="str">
            <v>600-001-000-0000</v>
          </cell>
          <cell r="B992" t="str">
            <v>Other Income</v>
          </cell>
          <cell r="C992">
            <v>2</v>
          </cell>
          <cell r="D992">
            <v>0</v>
          </cell>
        </row>
        <row r="993">
          <cell r="A993" t="str">
            <v>600-001-001-0000</v>
          </cell>
          <cell r="B993" t="str">
            <v>Other Income</v>
          </cell>
          <cell r="C993">
            <v>3</v>
          </cell>
          <cell r="D993">
            <v>0</v>
          </cell>
        </row>
        <row r="994">
          <cell r="A994" t="str">
            <v>600-001-001-0001</v>
          </cell>
          <cell r="B994" t="str">
            <v>Other Income</v>
          </cell>
          <cell r="C994">
            <v>4</v>
          </cell>
          <cell r="D994">
            <v>0</v>
          </cell>
        </row>
        <row r="995">
          <cell r="A995" t="str">
            <v>600-002-000-0000</v>
          </cell>
          <cell r="B995" t="str">
            <v>Income on Sale / Disposal of Fixed Assets</v>
          </cell>
          <cell r="C995">
            <v>2</v>
          </cell>
          <cell r="D995">
            <v>0</v>
          </cell>
        </row>
        <row r="996">
          <cell r="A996" t="str">
            <v>600-002-001-0000</v>
          </cell>
          <cell r="B996" t="str">
            <v>Income on Sale / Disposal of Fixed Assets</v>
          </cell>
          <cell r="C996">
            <v>3</v>
          </cell>
          <cell r="D996">
            <v>0</v>
          </cell>
        </row>
        <row r="997">
          <cell r="A997" t="str">
            <v>600-002-001-0001</v>
          </cell>
          <cell r="B997" t="str">
            <v>Income on Sale / Disposal of Fixed Assets</v>
          </cell>
          <cell r="C997">
            <v>4</v>
          </cell>
          <cell r="D997">
            <v>0</v>
          </cell>
        </row>
        <row r="998">
          <cell r="A998" t="str">
            <v>600-003-000-0000</v>
          </cell>
          <cell r="B998" t="str">
            <v>Interest on Current Balance with HQ Engineers NLC</v>
          </cell>
          <cell r="C998">
            <v>2</v>
          </cell>
          <cell r="D998">
            <v>0</v>
          </cell>
        </row>
        <row r="999">
          <cell r="A999" t="str">
            <v>600-003-001-0000</v>
          </cell>
          <cell r="B999" t="str">
            <v>Interest on Current Balance with HQ Engineers NLC</v>
          </cell>
          <cell r="C999">
            <v>3</v>
          </cell>
          <cell r="D999">
            <v>0</v>
          </cell>
        </row>
        <row r="1000">
          <cell r="A1000" t="str">
            <v>600-003-001-0001</v>
          </cell>
          <cell r="B1000" t="str">
            <v>Interest on Current Balance with HQ Engineers NLC</v>
          </cell>
          <cell r="C1000">
            <v>4</v>
          </cell>
          <cell r="D1000">
            <v>0</v>
          </cell>
        </row>
        <row r="1001">
          <cell r="A1001" t="str">
            <v>600-004-000-0000</v>
          </cell>
          <cell r="B1001" t="str">
            <v>Labouratory Test Fee</v>
          </cell>
          <cell r="C1001">
            <v>2</v>
          </cell>
          <cell r="D1001">
            <v>0</v>
          </cell>
        </row>
        <row r="1002">
          <cell r="A1002" t="str">
            <v>600-004-001-0000</v>
          </cell>
          <cell r="B1002" t="str">
            <v>Labouratory Test Fee</v>
          </cell>
          <cell r="C1002">
            <v>3</v>
          </cell>
          <cell r="D1002">
            <v>0</v>
          </cell>
        </row>
        <row r="1003">
          <cell r="A1003" t="str">
            <v>600-004-001-0001</v>
          </cell>
          <cell r="B1003" t="str">
            <v>Labouratory Test Fee</v>
          </cell>
          <cell r="C1003">
            <v>4</v>
          </cell>
          <cell r="D1003">
            <v>0</v>
          </cell>
        </row>
        <row r="1004">
          <cell r="A1004" t="str">
            <v>600-005-000-0000</v>
          </cell>
          <cell r="B1004" t="str">
            <v>Hiring Income</v>
          </cell>
          <cell r="C1004">
            <v>2</v>
          </cell>
          <cell r="D1004">
            <v>0</v>
          </cell>
        </row>
        <row r="1005">
          <cell r="A1005" t="str">
            <v>600-005-001-0000</v>
          </cell>
          <cell r="B1005" t="str">
            <v>Heavy Vehicle Hiring Income</v>
          </cell>
          <cell r="C1005">
            <v>3</v>
          </cell>
          <cell r="D1005">
            <v>0</v>
          </cell>
        </row>
        <row r="1006">
          <cell r="A1006" t="str">
            <v>600-005-001-0001</v>
          </cell>
          <cell r="B1006" t="str">
            <v>Heavy Vehicle Hiring Receipts</v>
          </cell>
          <cell r="C1006">
            <v>4</v>
          </cell>
          <cell r="D1006">
            <v>0</v>
          </cell>
        </row>
        <row r="1007">
          <cell r="A1007" t="str">
            <v>600-005-002-0000</v>
          </cell>
          <cell r="B1007" t="str">
            <v>Light Vehicle Hiring Income</v>
          </cell>
          <cell r="C1007">
            <v>3</v>
          </cell>
          <cell r="D1007">
            <v>0</v>
          </cell>
        </row>
        <row r="1008">
          <cell r="A1008" t="str">
            <v>600-005-002-0001</v>
          </cell>
          <cell r="B1008" t="str">
            <v>Light Vehicle Hiring Income</v>
          </cell>
          <cell r="C1008">
            <v>4</v>
          </cell>
          <cell r="D1008">
            <v>0</v>
          </cell>
        </row>
        <row r="1009">
          <cell r="A1009" t="str">
            <v>600-005-003-0000</v>
          </cell>
          <cell r="B1009" t="str">
            <v>Plant and Machinery Hiring Income</v>
          </cell>
          <cell r="C1009">
            <v>3</v>
          </cell>
          <cell r="D1009">
            <v>0</v>
          </cell>
        </row>
        <row r="1010">
          <cell r="A1010" t="str">
            <v>600-005-003-0001</v>
          </cell>
          <cell r="B1010" t="str">
            <v>Plant and Machinery Hiring income</v>
          </cell>
          <cell r="C1010">
            <v>4</v>
          </cell>
          <cell r="D1010">
            <v>0</v>
          </cell>
        </row>
        <row r="1011">
          <cell r="A1011" t="str">
            <v>600-005-004-0000</v>
          </cell>
          <cell r="B1011" t="str">
            <v>Accomodation Hiring Income</v>
          </cell>
          <cell r="C1011">
            <v>3</v>
          </cell>
          <cell r="D1011">
            <v>0</v>
          </cell>
        </row>
        <row r="1012">
          <cell r="A1012" t="str">
            <v>600-005-004-0001</v>
          </cell>
          <cell r="B1012" t="str">
            <v>Accomodation Hiring Income</v>
          </cell>
          <cell r="C1012">
            <v>4</v>
          </cell>
          <cell r="D1012">
            <v>0</v>
          </cell>
        </row>
        <row r="1013">
          <cell r="A1013" t="str">
            <v>600-006-000-0000</v>
          </cell>
          <cell r="B1013" t="str">
            <v>Profit on Bank Deposits</v>
          </cell>
          <cell r="C1013">
            <v>2</v>
          </cell>
          <cell r="D1013">
            <v>-11207</v>
          </cell>
        </row>
        <row r="1014">
          <cell r="A1014" t="str">
            <v>600-006-001-0000</v>
          </cell>
          <cell r="B1014" t="str">
            <v>Profit on PLS account</v>
          </cell>
          <cell r="C1014">
            <v>3</v>
          </cell>
          <cell r="D1014">
            <v>-11207</v>
          </cell>
        </row>
        <row r="1015">
          <cell r="A1015" t="str">
            <v>600-006-001-0001</v>
          </cell>
          <cell r="B1015" t="str">
            <v>Profit on Bank</v>
          </cell>
          <cell r="C1015">
            <v>4</v>
          </cell>
          <cell r="D1015">
            <v>-11207</v>
          </cell>
        </row>
        <row r="1016">
          <cell r="A1016" t="str">
            <v>600-006-002-0000</v>
          </cell>
          <cell r="B1016" t="str">
            <v>Profit on  bank in saving accounts</v>
          </cell>
          <cell r="C1016">
            <v>3</v>
          </cell>
          <cell r="D1016">
            <v>0</v>
          </cell>
        </row>
        <row r="1017">
          <cell r="A1017" t="str">
            <v>600-006-003-0000</v>
          </cell>
          <cell r="B1017" t="str">
            <v>Profit on  bank in term deposits accounts</v>
          </cell>
          <cell r="C1017">
            <v>3</v>
          </cell>
          <cell r="D1017">
            <v>0</v>
          </cell>
        </row>
        <row r="1018">
          <cell r="A1018" t="str">
            <v>600-007-000-0000</v>
          </cell>
          <cell r="B1018" t="str">
            <v>Miscellenous Income</v>
          </cell>
          <cell r="C1018">
            <v>2</v>
          </cell>
          <cell r="D1018">
            <v>0</v>
          </cell>
        </row>
        <row r="1019">
          <cell r="A1019" t="str">
            <v>600-007-001-0000</v>
          </cell>
          <cell r="B1019" t="str">
            <v>Miscellenous Income</v>
          </cell>
          <cell r="C1019">
            <v>3</v>
          </cell>
          <cell r="D1019">
            <v>0</v>
          </cell>
        </row>
        <row r="1020">
          <cell r="A1020" t="str">
            <v>600-007-001-0001</v>
          </cell>
          <cell r="B1020" t="str">
            <v>Miscellenous Income</v>
          </cell>
          <cell r="C1020">
            <v>4</v>
          </cell>
          <cell r="D1020">
            <v>0</v>
          </cell>
        </row>
        <row r="1021">
          <cell r="A1021" t="str">
            <v>700-000-000-0000</v>
          </cell>
          <cell r="B1021" t="str">
            <v>Financial Charges</v>
          </cell>
          <cell r="C1021">
            <v>1</v>
          </cell>
          <cell r="D1021">
            <v>6175</v>
          </cell>
        </row>
        <row r="1022">
          <cell r="A1022" t="str">
            <v>700-001-000-0000</v>
          </cell>
          <cell r="B1022" t="str">
            <v>Mark up / Interest</v>
          </cell>
          <cell r="C1022">
            <v>2</v>
          </cell>
          <cell r="D1022">
            <v>0</v>
          </cell>
        </row>
        <row r="1023">
          <cell r="A1023" t="str">
            <v>700-001-001-0000</v>
          </cell>
          <cell r="B1023" t="str">
            <v>Interest on project financing from HQ NLC</v>
          </cell>
          <cell r="C1023">
            <v>3</v>
          </cell>
          <cell r="D1023">
            <v>0</v>
          </cell>
        </row>
        <row r="1024">
          <cell r="A1024" t="str">
            <v>700-001-001-0001</v>
          </cell>
          <cell r="B1024" t="str">
            <v>Interest on project financing from HQ NLC</v>
          </cell>
          <cell r="C1024">
            <v>4</v>
          </cell>
          <cell r="D1024">
            <v>0</v>
          </cell>
        </row>
        <row r="1025">
          <cell r="A1025" t="str">
            <v>700-001-002-0000</v>
          </cell>
          <cell r="B1025" t="str">
            <v>Interest on liabilities under finance lease</v>
          </cell>
          <cell r="C1025">
            <v>3</v>
          </cell>
          <cell r="D1025">
            <v>0</v>
          </cell>
        </row>
        <row r="1026">
          <cell r="A1026" t="str">
            <v>700-001-003-0000</v>
          </cell>
          <cell r="B1026" t="str">
            <v>Interest on short term running finance</v>
          </cell>
          <cell r="C1026">
            <v>3</v>
          </cell>
          <cell r="D1026">
            <v>0</v>
          </cell>
        </row>
        <row r="1027">
          <cell r="A1027" t="str">
            <v>700-001-004-0000</v>
          </cell>
          <cell r="B1027" t="str">
            <v>Interest on Moblization Advances</v>
          </cell>
          <cell r="C1027">
            <v>3</v>
          </cell>
          <cell r="D1027">
            <v>0</v>
          </cell>
        </row>
        <row r="1028">
          <cell r="A1028" t="str">
            <v>700-001-004-0001</v>
          </cell>
          <cell r="B1028" t="str">
            <v>Interest on Moblization Advances</v>
          </cell>
          <cell r="C1028">
            <v>4</v>
          </cell>
          <cell r="D1028">
            <v>0</v>
          </cell>
        </row>
        <row r="1029">
          <cell r="A1029" t="str">
            <v>700-002-000-0000</v>
          </cell>
          <cell r="B1029" t="str">
            <v>Bank Guarantee Commission</v>
          </cell>
          <cell r="C1029">
            <v>2</v>
          </cell>
          <cell r="D1029">
            <v>0</v>
          </cell>
        </row>
        <row r="1030">
          <cell r="A1030" t="str">
            <v>700-002-001-0000</v>
          </cell>
          <cell r="B1030" t="str">
            <v>Bank Guarantee Commission</v>
          </cell>
          <cell r="C1030">
            <v>3</v>
          </cell>
          <cell r="D1030">
            <v>0</v>
          </cell>
        </row>
        <row r="1031">
          <cell r="A1031" t="str">
            <v>700-003-000-0000</v>
          </cell>
          <cell r="B1031" t="str">
            <v>Excise Duty</v>
          </cell>
          <cell r="C1031">
            <v>2</v>
          </cell>
          <cell r="D1031">
            <v>0</v>
          </cell>
        </row>
        <row r="1032">
          <cell r="A1032" t="str">
            <v>700-003-001-0000</v>
          </cell>
          <cell r="B1032" t="str">
            <v>Excise Duty On PLS Bank Accounts</v>
          </cell>
          <cell r="C1032">
            <v>3</v>
          </cell>
          <cell r="D1032">
            <v>0</v>
          </cell>
        </row>
        <row r="1033">
          <cell r="A1033" t="str">
            <v>700-003-002-0000</v>
          </cell>
          <cell r="B1033" t="str">
            <v>Excise Duty On Saving Bank Accounts</v>
          </cell>
          <cell r="C1033">
            <v>3</v>
          </cell>
          <cell r="D1033">
            <v>0</v>
          </cell>
        </row>
        <row r="1034">
          <cell r="A1034" t="str">
            <v>700-003-003-0000</v>
          </cell>
          <cell r="B1034" t="str">
            <v>Excise Duty On Current Bank Accounts</v>
          </cell>
          <cell r="C1034">
            <v>3</v>
          </cell>
          <cell r="D1034">
            <v>0</v>
          </cell>
        </row>
        <row r="1035">
          <cell r="A1035" t="str">
            <v>700-003-004-0000</v>
          </cell>
          <cell r="B1035" t="str">
            <v>Excise Duty On Term Deposit Accounts</v>
          </cell>
          <cell r="C1035">
            <v>3</v>
          </cell>
          <cell r="D1035">
            <v>0</v>
          </cell>
        </row>
        <row r="1036">
          <cell r="A1036" t="str">
            <v>700-004-000-0000</v>
          </cell>
          <cell r="B1036" t="str">
            <v>Bank Charges</v>
          </cell>
          <cell r="C1036">
            <v>2</v>
          </cell>
          <cell r="D1036">
            <v>6175</v>
          </cell>
        </row>
        <row r="1037">
          <cell r="A1037" t="str">
            <v>700-004-001-0000</v>
          </cell>
          <cell r="B1037" t="str">
            <v>Bank Charges</v>
          </cell>
          <cell r="C1037">
            <v>3</v>
          </cell>
          <cell r="D1037">
            <v>6175</v>
          </cell>
        </row>
        <row r="1038">
          <cell r="A1038" t="str">
            <v>700-004-001-0001</v>
          </cell>
          <cell r="B1038" t="str">
            <v>Bank Charges</v>
          </cell>
          <cell r="C1038">
            <v>4</v>
          </cell>
          <cell r="D1038">
            <v>6175</v>
          </cell>
        </row>
        <row r="1039">
          <cell r="A1039" t="str">
            <v>700-004-002-0000</v>
          </cell>
          <cell r="B1039" t="str">
            <v>Bank Charges Of Saving Bank Accounts</v>
          </cell>
          <cell r="C1039">
            <v>3</v>
          </cell>
          <cell r="D1039">
            <v>0</v>
          </cell>
        </row>
        <row r="1040">
          <cell r="A1040" t="str">
            <v>700-004-003-0000</v>
          </cell>
          <cell r="B1040" t="str">
            <v>Bank Charges Of Current Bank Accounts</v>
          </cell>
          <cell r="C1040">
            <v>3</v>
          </cell>
          <cell r="D1040">
            <v>0</v>
          </cell>
        </row>
        <row r="1041">
          <cell r="A1041" t="str">
            <v>700-004-004-0000</v>
          </cell>
          <cell r="B1041" t="str">
            <v>Bank Charges Of Term Deposit Accounts</v>
          </cell>
          <cell r="C1041">
            <v>3</v>
          </cell>
          <cell r="D1041">
            <v>0</v>
          </cell>
        </row>
        <row r="1042">
          <cell r="A1042" t="str">
            <v>700-010-000-0000</v>
          </cell>
          <cell r="B1042" t="str">
            <v>HQ  NLC  Expenses</v>
          </cell>
          <cell r="C1042">
            <v>2</v>
          </cell>
          <cell r="D1042">
            <v>0</v>
          </cell>
        </row>
        <row r="1043">
          <cell r="A1043" t="str">
            <v>700-010-001-0000</v>
          </cell>
          <cell r="B1043" t="str">
            <v>HQ  NLC  Expenses</v>
          </cell>
          <cell r="C1043">
            <v>3</v>
          </cell>
          <cell r="D1043">
            <v>0</v>
          </cell>
        </row>
        <row r="1044">
          <cell r="A1044" t="str">
            <v>700-010-001-0001</v>
          </cell>
          <cell r="B1044" t="str">
            <v>Main HQ  NLC  Expenses</v>
          </cell>
          <cell r="C1044">
            <v>4</v>
          </cell>
          <cell r="D1044">
            <v>0</v>
          </cell>
        </row>
        <row r="1045">
          <cell r="A1045" t="str">
            <v>700-010-001-0002</v>
          </cell>
          <cell r="B1045" t="str">
            <v>HQ Engineers NLC  Expenses</v>
          </cell>
          <cell r="C1045">
            <v>4</v>
          </cell>
          <cell r="D1045">
            <v>0</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dwpc)"/>
      <sheetName val="PL(dwpc)"/>
      <sheetName val="fixedAssets "/>
      <sheetName val="COMPARISON"/>
      <sheetName val="cctrial"/>
      <sheetName val="SQL"/>
      <sheetName val="Roads_balances"/>
      <sheetName val="tb"/>
      <sheetName val="Options"/>
      <sheetName val="test"/>
      <sheetName val="#REF"/>
      <sheetName val="item#16"/>
      <sheetName val="SUMM"/>
      <sheetName val="Bitumen"/>
      <sheetName val="steel"/>
      <sheetName val="bargy"/>
    </sheetNames>
    <sheetDataSet>
      <sheetData sheetId="0"/>
      <sheetData sheetId="1"/>
      <sheetData sheetId="2"/>
      <sheetData sheetId="3"/>
      <sheetData sheetId="4"/>
      <sheetData sheetId="5"/>
      <sheetData sheetId="6"/>
      <sheetData sheetId="7" refreshError="1">
        <row r="1">
          <cell r="A1" t="str">
            <v>acc_num</v>
          </cell>
          <cell r="B1" t="str">
            <v>acc_title</v>
          </cell>
          <cell r="C1" t="str">
            <v>level</v>
          </cell>
          <cell r="D1" t="str">
            <v>balance</v>
          </cell>
        </row>
        <row r="2">
          <cell r="A2" t="str">
            <v>101-000-000-0000</v>
          </cell>
          <cell r="B2" t="str">
            <v>HQ Current Account</v>
          </cell>
          <cell r="C2">
            <v>1</v>
          </cell>
          <cell r="D2">
            <v>-5534230</v>
          </cell>
        </row>
        <row r="3">
          <cell r="A3" t="str">
            <v>101-001-000-0000</v>
          </cell>
          <cell r="B3" t="str">
            <v>HQ Engineers NLC - Current Account</v>
          </cell>
          <cell r="C3">
            <v>2</v>
          </cell>
          <cell r="D3">
            <v>-5534230</v>
          </cell>
        </row>
        <row r="4">
          <cell r="A4" t="str">
            <v>101-001-001-0000</v>
          </cell>
          <cell r="B4" t="str">
            <v>HQ Engineers NLC - Current Account</v>
          </cell>
          <cell r="C4">
            <v>3</v>
          </cell>
          <cell r="D4">
            <v>-5534230</v>
          </cell>
        </row>
        <row r="5">
          <cell r="A5" t="str">
            <v>101-001-001-1001</v>
          </cell>
          <cell r="B5" t="str">
            <v>HQ Current A/c with RUADP</v>
          </cell>
          <cell r="C5">
            <v>4</v>
          </cell>
          <cell r="D5">
            <v>0</v>
          </cell>
        </row>
        <row r="6">
          <cell r="A6" t="str">
            <v>101-001-001-1002</v>
          </cell>
          <cell r="B6" t="str">
            <v>HQ Current A/c with PTCL Project</v>
          </cell>
          <cell r="C6">
            <v>4</v>
          </cell>
          <cell r="D6">
            <v>0</v>
          </cell>
        </row>
        <row r="7">
          <cell r="A7" t="str">
            <v>101-001-001-1003</v>
          </cell>
          <cell r="B7" t="str">
            <v>HQ Current A/c Cantt Board Projects</v>
          </cell>
          <cell r="C7">
            <v>4</v>
          </cell>
          <cell r="D7">
            <v>0</v>
          </cell>
        </row>
        <row r="8">
          <cell r="A8" t="str">
            <v>101-001-001-1004</v>
          </cell>
          <cell r="B8" t="str">
            <v>HQ Current A/c Service Road M-2</v>
          </cell>
          <cell r="C8">
            <v>4</v>
          </cell>
          <cell r="D8">
            <v>0</v>
          </cell>
        </row>
        <row r="9">
          <cell r="A9" t="str">
            <v>101-001-001-1005</v>
          </cell>
          <cell r="B9" t="str">
            <v>HQ Current A/c Cantt Board (FAA)</v>
          </cell>
          <cell r="C9">
            <v>4</v>
          </cell>
          <cell r="D9">
            <v>0</v>
          </cell>
        </row>
        <row r="10">
          <cell r="A10" t="str">
            <v>101-001-001-1006</v>
          </cell>
          <cell r="B10" t="str">
            <v>HQ Current A/c Dina Track NLC</v>
          </cell>
          <cell r="C10">
            <v>4</v>
          </cell>
          <cell r="D10">
            <v>0</v>
          </cell>
        </row>
        <row r="11">
          <cell r="A11" t="str">
            <v>101-001-001-1007</v>
          </cell>
          <cell r="B11" t="str">
            <v>HQ Current A/C OT Complex</v>
          </cell>
          <cell r="C11">
            <v>4</v>
          </cell>
          <cell r="D11">
            <v>-5534230</v>
          </cell>
        </row>
        <row r="12">
          <cell r="A12" t="str">
            <v>102-000-000-0000</v>
          </cell>
          <cell r="B12" t="str">
            <v>Reserves</v>
          </cell>
          <cell r="C12">
            <v>1</v>
          </cell>
          <cell r="D12">
            <v>0</v>
          </cell>
        </row>
        <row r="13">
          <cell r="A13" t="str">
            <v>102-001-000-0000</v>
          </cell>
          <cell r="B13" t="str">
            <v>Reserves</v>
          </cell>
          <cell r="C13">
            <v>2</v>
          </cell>
          <cell r="D13">
            <v>0</v>
          </cell>
        </row>
        <row r="14">
          <cell r="A14" t="str">
            <v>102-001-001-0000</v>
          </cell>
          <cell r="B14" t="str">
            <v>Reserves</v>
          </cell>
          <cell r="C14">
            <v>3</v>
          </cell>
          <cell r="D14">
            <v>0</v>
          </cell>
        </row>
        <row r="15">
          <cell r="A15" t="str">
            <v>102-001-001-0001</v>
          </cell>
          <cell r="B15" t="str">
            <v>Reserves</v>
          </cell>
          <cell r="C15">
            <v>4</v>
          </cell>
          <cell r="D15">
            <v>0</v>
          </cell>
        </row>
        <row r="16">
          <cell r="A16" t="str">
            <v>103-000-000-0000</v>
          </cell>
          <cell r="B16" t="str">
            <v>Accumulated Profit/(Loss)</v>
          </cell>
          <cell r="C16">
            <v>1</v>
          </cell>
          <cell r="D16">
            <v>116230</v>
          </cell>
        </row>
        <row r="17">
          <cell r="A17" t="str">
            <v>103-001-000-0000</v>
          </cell>
          <cell r="B17" t="str">
            <v>Accumulated Profit/(Loss)</v>
          </cell>
          <cell r="C17">
            <v>2</v>
          </cell>
          <cell r="D17">
            <v>0</v>
          </cell>
        </row>
        <row r="18">
          <cell r="A18" t="str">
            <v>103-001-001-0000</v>
          </cell>
          <cell r="B18" t="str">
            <v>Accumulated Profit/(Loss)</v>
          </cell>
          <cell r="C18">
            <v>3</v>
          </cell>
          <cell r="D18">
            <v>0</v>
          </cell>
        </row>
        <row r="19">
          <cell r="A19" t="str">
            <v>103-001-001-0001</v>
          </cell>
          <cell r="B19" t="str">
            <v>Accumulated Profit/(Loss)</v>
          </cell>
          <cell r="C19">
            <v>4</v>
          </cell>
          <cell r="D19">
            <v>0</v>
          </cell>
        </row>
        <row r="20">
          <cell r="A20" t="str">
            <v>103-002-000-0000</v>
          </cell>
          <cell r="B20" t="str">
            <v>Profit transfer to HQ NLC</v>
          </cell>
          <cell r="C20">
            <v>2</v>
          </cell>
          <cell r="D20">
            <v>116230</v>
          </cell>
        </row>
        <row r="21">
          <cell r="A21" t="str">
            <v>103-002-001-0000</v>
          </cell>
          <cell r="B21" t="str">
            <v>Profit transfer to HQ NLC</v>
          </cell>
          <cell r="C21">
            <v>3</v>
          </cell>
          <cell r="D21">
            <v>116230</v>
          </cell>
        </row>
        <row r="22">
          <cell r="A22" t="str">
            <v>103-002-001-0001</v>
          </cell>
          <cell r="B22" t="str">
            <v>Profit transfer to HQ NLC</v>
          </cell>
          <cell r="C22">
            <v>4</v>
          </cell>
          <cell r="D22">
            <v>116230</v>
          </cell>
        </row>
        <row r="23">
          <cell r="A23" t="str">
            <v>104-000-000-0000</v>
          </cell>
          <cell r="B23" t="str">
            <v>Long Term Loans</v>
          </cell>
          <cell r="C23">
            <v>1</v>
          </cell>
          <cell r="D23">
            <v>0</v>
          </cell>
        </row>
        <row r="24">
          <cell r="A24" t="str">
            <v>104-001-000-0000</v>
          </cell>
          <cell r="B24" t="str">
            <v>Long Term Loans</v>
          </cell>
          <cell r="C24">
            <v>2</v>
          </cell>
          <cell r="D24">
            <v>0</v>
          </cell>
        </row>
        <row r="25">
          <cell r="A25" t="str">
            <v>104-001-001-0000</v>
          </cell>
          <cell r="B25" t="str">
            <v>Long Term Loans</v>
          </cell>
          <cell r="C25">
            <v>3</v>
          </cell>
          <cell r="D25">
            <v>0</v>
          </cell>
        </row>
        <row r="26">
          <cell r="A26" t="str">
            <v>104-001-001-0001</v>
          </cell>
          <cell r="B26" t="str">
            <v>Long Term Loans</v>
          </cell>
          <cell r="C26">
            <v>4</v>
          </cell>
          <cell r="D26">
            <v>0</v>
          </cell>
        </row>
        <row r="27">
          <cell r="A27" t="str">
            <v>105-000-000-0000</v>
          </cell>
          <cell r="B27" t="str">
            <v>Liabilities Against Assets Subject to Finance Leas</v>
          </cell>
          <cell r="C27">
            <v>1</v>
          </cell>
          <cell r="D27">
            <v>0</v>
          </cell>
        </row>
        <row r="28">
          <cell r="A28" t="str">
            <v>105-001-000-0000</v>
          </cell>
          <cell r="B28" t="str">
            <v>Liabilities Against Assets Subject to Finance Leas</v>
          </cell>
          <cell r="C28">
            <v>2</v>
          </cell>
          <cell r="D28">
            <v>0</v>
          </cell>
        </row>
        <row r="29">
          <cell r="A29" t="str">
            <v>105-001-001-0000</v>
          </cell>
          <cell r="B29" t="str">
            <v>Liabilities Against Assets Subject to Finance Leas</v>
          </cell>
          <cell r="C29">
            <v>3</v>
          </cell>
          <cell r="D29">
            <v>0</v>
          </cell>
        </row>
        <row r="30">
          <cell r="A30" t="str">
            <v>105-001-001-0001</v>
          </cell>
          <cell r="B30" t="str">
            <v>Liabilities Against Assets Subject to Finance Leas</v>
          </cell>
          <cell r="C30">
            <v>4</v>
          </cell>
          <cell r="D30">
            <v>0</v>
          </cell>
        </row>
        <row r="31">
          <cell r="A31" t="str">
            <v>106-000-000-0000</v>
          </cell>
          <cell r="B31" t="str">
            <v>Deferred Liabilities</v>
          </cell>
          <cell r="C31">
            <v>1</v>
          </cell>
          <cell r="D31">
            <v>0</v>
          </cell>
        </row>
        <row r="32">
          <cell r="A32" t="str">
            <v>106-001-000-0000</v>
          </cell>
          <cell r="B32" t="str">
            <v>Deferred Liabilities</v>
          </cell>
          <cell r="C32">
            <v>2</v>
          </cell>
          <cell r="D32">
            <v>0</v>
          </cell>
        </row>
        <row r="33">
          <cell r="A33" t="str">
            <v>106-001-001-0000</v>
          </cell>
          <cell r="B33" t="str">
            <v>Deferred Liabilities</v>
          </cell>
          <cell r="C33">
            <v>3</v>
          </cell>
          <cell r="D33">
            <v>0</v>
          </cell>
        </row>
        <row r="34">
          <cell r="A34" t="str">
            <v>106-001-001-0001</v>
          </cell>
          <cell r="B34" t="str">
            <v>Deferred Liabilities</v>
          </cell>
          <cell r="C34">
            <v>4</v>
          </cell>
          <cell r="D34">
            <v>0</v>
          </cell>
        </row>
        <row r="35">
          <cell r="A35" t="str">
            <v>107-000-000-0000</v>
          </cell>
          <cell r="B35" t="str">
            <v>Long Term Deposits</v>
          </cell>
          <cell r="C35">
            <v>1</v>
          </cell>
          <cell r="D35">
            <v>0</v>
          </cell>
        </row>
        <row r="36">
          <cell r="A36" t="str">
            <v>107-001-000-0000</v>
          </cell>
          <cell r="B36" t="str">
            <v>Long Term Deposits</v>
          </cell>
          <cell r="C36">
            <v>2</v>
          </cell>
          <cell r="D36">
            <v>0</v>
          </cell>
        </row>
        <row r="37">
          <cell r="A37" t="str">
            <v>107-001-001-0000</v>
          </cell>
          <cell r="B37" t="str">
            <v>Long Term Deposits</v>
          </cell>
          <cell r="C37">
            <v>3</v>
          </cell>
          <cell r="D37">
            <v>0</v>
          </cell>
        </row>
        <row r="38">
          <cell r="A38" t="str">
            <v>107-001-001-0001</v>
          </cell>
          <cell r="B38" t="str">
            <v>Long Term Deposits</v>
          </cell>
          <cell r="C38">
            <v>4</v>
          </cell>
          <cell r="D38">
            <v>0</v>
          </cell>
        </row>
        <row r="39">
          <cell r="A39" t="str">
            <v>108-000-000-0000</v>
          </cell>
          <cell r="B39" t="str">
            <v>Short Term Runnig Finances</v>
          </cell>
          <cell r="C39">
            <v>1</v>
          </cell>
          <cell r="D39">
            <v>0</v>
          </cell>
        </row>
        <row r="40">
          <cell r="A40" t="str">
            <v>108-001-000-0000</v>
          </cell>
          <cell r="B40" t="str">
            <v>Short Term Runnig Finances</v>
          </cell>
          <cell r="C40">
            <v>2</v>
          </cell>
          <cell r="D40">
            <v>0</v>
          </cell>
        </row>
        <row r="41">
          <cell r="A41" t="str">
            <v>108-001-001-0000</v>
          </cell>
          <cell r="B41" t="str">
            <v>Short Term Runnig Finances</v>
          </cell>
          <cell r="C41">
            <v>3</v>
          </cell>
          <cell r="D41">
            <v>0</v>
          </cell>
        </row>
        <row r="42">
          <cell r="A42" t="str">
            <v>109-000-000-0000</v>
          </cell>
          <cell r="B42" t="str">
            <v>Creditors, Accrued Charges and Other Liabilties</v>
          </cell>
          <cell r="C42">
            <v>1</v>
          </cell>
          <cell r="D42">
            <v>-10988233</v>
          </cell>
        </row>
        <row r="43">
          <cell r="A43" t="str">
            <v>109-001-000-0000</v>
          </cell>
          <cell r="B43" t="str">
            <v>Creditors</v>
          </cell>
          <cell r="C43">
            <v>2</v>
          </cell>
          <cell r="D43">
            <v>-10695926</v>
          </cell>
        </row>
        <row r="44">
          <cell r="A44" t="str">
            <v>109-001-001-0000</v>
          </cell>
          <cell r="B44" t="str">
            <v>Creditors Road Works</v>
          </cell>
          <cell r="C44">
            <v>3</v>
          </cell>
          <cell r="D44">
            <v>-10695926</v>
          </cell>
        </row>
        <row r="45">
          <cell r="A45" t="str">
            <v>109-001-001-1001</v>
          </cell>
          <cell r="B45" t="str">
            <v>Aamir Builders</v>
          </cell>
          <cell r="C45">
            <v>4</v>
          </cell>
          <cell r="D45">
            <v>0</v>
          </cell>
        </row>
        <row r="46">
          <cell r="A46" t="str">
            <v>109-001-001-1002</v>
          </cell>
          <cell r="B46" t="str">
            <v>Sadat Construction Co</v>
          </cell>
          <cell r="C46">
            <v>4</v>
          </cell>
          <cell r="D46">
            <v>0</v>
          </cell>
        </row>
        <row r="47">
          <cell r="A47" t="str">
            <v>109-001-001-1003</v>
          </cell>
          <cell r="B47" t="str">
            <v>Concrete master</v>
          </cell>
          <cell r="C47">
            <v>4</v>
          </cell>
          <cell r="D47">
            <v>0</v>
          </cell>
        </row>
        <row r="48">
          <cell r="A48" t="str">
            <v>109-001-001-1004</v>
          </cell>
          <cell r="B48" t="str">
            <v>Crescent Associates</v>
          </cell>
          <cell r="C48">
            <v>4</v>
          </cell>
          <cell r="D48">
            <v>0</v>
          </cell>
        </row>
        <row r="49">
          <cell r="A49" t="str">
            <v>109-001-001-1005</v>
          </cell>
          <cell r="B49" t="str">
            <v>Dynamic Enterprises</v>
          </cell>
          <cell r="C49">
            <v>4</v>
          </cell>
          <cell r="D49">
            <v>0</v>
          </cell>
        </row>
        <row r="50">
          <cell r="A50" t="str">
            <v>109-001-001-1006</v>
          </cell>
          <cell r="B50" t="str">
            <v>Foar Engineering System</v>
          </cell>
          <cell r="C50">
            <v>4</v>
          </cell>
          <cell r="D50">
            <v>0</v>
          </cell>
        </row>
        <row r="51">
          <cell r="A51" t="str">
            <v>109-001-001-1007</v>
          </cell>
          <cell r="B51" t="str">
            <v>FRS Associates</v>
          </cell>
          <cell r="C51">
            <v>4</v>
          </cell>
          <cell r="D51">
            <v>0</v>
          </cell>
        </row>
        <row r="52">
          <cell r="A52" t="str">
            <v>109-001-001-1008</v>
          </cell>
          <cell r="B52" t="str">
            <v>Haidry Construction</v>
          </cell>
          <cell r="C52">
            <v>4</v>
          </cell>
          <cell r="D52">
            <v>0</v>
          </cell>
        </row>
        <row r="53">
          <cell r="A53" t="str">
            <v>109-001-001-1009</v>
          </cell>
          <cell r="B53" t="str">
            <v>Karcon (Pvt) Limited</v>
          </cell>
          <cell r="C53">
            <v>4</v>
          </cell>
          <cell r="D53">
            <v>0</v>
          </cell>
        </row>
        <row r="54">
          <cell r="A54" t="str">
            <v>109-001-001-1010</v>
          </cell>
          <cell r="B54" t="str">
            <v>Maseed Developers</v>
          </cell>
          <cell r="C54">
            <v>4</v>
          </cell>
          <cell r="D54">
            <v>0</v>
          </cell>
        </row>
        <row r="55">
          <cell r="A55" t="str">
            <v>109-001-001-1011</v>
          </cell>
          <cell r="B55" t="str">
            <v>Malik Ijaz Amjad</v>
          </cell>
          <cell r="C55">
            <v>4</v>
          </cell>
          <cell r="D55">
            <v>0</v>
          </cell>
        </row>
        <row r="56">
          <cell r="A56" t="str">
            <v>109-001-001-1012</v>
          </cell>
          <cell r="B56" t="str">
            <v>Mian Muhammad Sharif</v>
          </cell>
          <cell r="C56">
            <v>4</v>
          </cell>
          <cell r="D56">
            <v>0</v>
          </cell>
        </row>
        <row r="57">
          <cell r="A57" t="str">
            <v>109-001-001-1013</v>
          </cell>
          <cell r="B57" t="str">
            <v>Mian Nisar and Company</v>
          </cell>
          <cell r="C57">
            <v>4</v>
          </cell>
          <cell r="D57">
            <v>0</v>
          </cell>
        </row>
        <row r="58">
          <cell r="A58" t="str">
            <v>109-001-001-1014</v>
          </cell>
          <cell r="B58" t="str">
            <v>Platinum Enterprises</v>
          </cell>
          <cell r="C58">
            <v>4</v>
          </cell>
          <cell r="D58">
            <v>0</v>
          </cell>
        </row>
        <row r="59">
          <cell r="A59" t="str">
            <v>109-001-001-1015</v>
          </cell>
          <cell r="B59" t="str">
            <v>Sambu Construction Company</v>
          </cell>
          <cell r="C59">
            <v>4</v>
          </cell>
          <cell r="D59">
            <v>0</v>
          </cell>
        </row>
        <row r="60">
          <cell r="A60" t="str">
            <v>109-001-001-1016</v>
          </cell>
          <cell r="B60" t="str">
            <v>Signage Security System</v>
          </cell>
          <cell r="C60">
            <v>4</v>
          </cell>
          <cell r="D60">
            <v>0</v>
          </cell>
        </row>
        <row r="61">
          <cell r="A61" t="str">
            <v>109-001-001-1017</v>
          </cell>
          <cell r="B61" t="str">
            <v>Syed sultan saeed</v>
          </cell>
          <cell r="C61">
            <v>4</v>
          </cell>
          <cell r="D61">
            <v>0</v>
          </cell>
        </row>
        <row r="62">
          <cell r="A62" t="str">
            <v>109-001-001-1018</v>
          </cell>
          <cell r="B62" t="str">
            <v>SASA  international</v>
          </cell>
          <cell r="C62">
            <v>4</v>
          </cell>
          <cell r="D62">
            <v>0</v>
          </cell>
        </row>
        <row r="63">
          <cell r="A63" t="str">
            <v>109-001-001-1019</v>
          </cell>
          <cell r="B63" t="str">
            <v>Swift services</v>
          </cell>
          <cell r="C63">
            <v>4</v>
          </cell>
          <cell r="D63">
            <v>0</v>
          </cell>
        </row>
        <row r="64">
          <cell r="A64" t="str">
            <v>109-001-001-1020</v>
          </cell>
          <cell r="B64" t="str">
            <v>Tyco Integrated System</v>
          </cell>
          <cell r="C64">
            <v>4</v>
          </cell>
          <cell r="D64">
            <v>0</v>
          </cell>
        </row>
        <row r="65">
          <cell r="A65" t="str">
            <v>109-001-001-1021</v>
          </cell>
          <cell r="B65" t="str">
            <v>Nadir Construction Company</v>
          </cell>
          <cell r="C65">
            <v>4</v>
          </cell>
          <cell r="D65">
            <v>0</v>
          </cell>
        </row>
        <row r="66">
          <cell r="A66" t="str">
            <v>109-001-001-1022</v>
          </cell>
          <cell r="B66" t="str">
            <v>Zahir Khan and Brothers</v>
          </cell>
          <cell r="C66">
            <v>4</v>
          </cell>
          <cell r="D66">
            <v>0</v>
          </cell>
        </row>
        <row r="67">
          <cell r="A67" t="str">
            <v>109-001-001-1023</v>
          </cell>
          <cell r="B67" t="str">
            <v>Rashid Associates</v>
          </cell>
          <cell r="C67">
            <v>4</v>
          </cell>
          <cell r="D67">
            <v>0</v>
          </cell>
        </row>
        <row r="68">
          <cell r="A68" t="str">
            <v>109-001-001-1024</v>
          </cell>
          <cell r="B68" t="str">
            <v>Science Centre</v>
          </cell>
          <cell r="C68">
            <v>4</v>
          </cell>
          <cell r="D68">
            <v>0</v>
          </cell>
        </row>
        <row r="69">
          <cell r="A69" t="str">
            <v>109-001-001-1025</v>
          </cell>
          <cell r="B69" t="str">
            <v>Taj Muhammad Khan</v>
          </cell>
          <cell r="C69">
            <v>4</v>
          </cell>
          <cell r="D69">
            <v>0</v>
          </cell>
        </row>
        <row r="70">
          <cell r="A70" t="str">
            <v>109-001-001-1026</v>
          </cell>
          <cell r="B70" t="str">
            <v xml:space="preserve"> Muhammad Nawaz Khan of Tala Gang</v>
          </cell>
          <cell r="C70">
            <v>4</v>
          </cell>
          <cell r="D70">
            <v>0</v>
          </cell>
        </row>
        <row r="71">
          <cell r="A71" t="str">
            <v>109-001-001-1027</v>
          </cell>
          <cell r="B71" t="str">
            <v xml:space="preserve"> Muhammad Iftikhar Fateh Jang</v>
          </cell>
          <cell r="C71">
            <v>4</v>
          </cell>
          <cell r="D71">
            <v>0</v>
          </cell>
        </row>
        <row r="72">
          <cell r="A72" t="str">
            <v>109-001-001-1028</v>
          </cell>
          <cell r="B72" t="str">
            <v>Fateh Muhammad Distt Chakwal</v>
          </cell>
          <cell r="C72">
            <v>4</v>
          </cell>
          <cell r="D72">
            <v>0</v>
          </cell>
        </row>
        <row r="73">
          <cell r="A73" t="str">
            <v>109-001-001-1029</v>
          </cell>
          <cell r="B73" t="str">
            <v>Sunny Rent a Car</v>
          </cell>
          <cell r="C73">
            <v>4</v>
          </cell>
          <cell r="D73">
            <v>0</v>
          </cell>
        </row>
        <row r="74">
          <cell r="A74" t="str">
            <v>109-001-001-1030</v>
          </cell>
          <cell r="B74" t="str">
            <v>M/S Inter City Traders</v>
          </cell>
          <cell r="C74">
            <v>4</v>
          </cell>
          <cell r="D74">
            <v>0</v>
          </cell>
        </row>
        <row r="75">
          <cell r="A75" t="str">
            <v>109-001-001-1031</v>
          </cell>
          <cell r="B75" t="str">
            <v>M/S Muhammad Bashir</v>
          </cell>
          <cell r="C75">
            <v>4</v>
          </cell>
          <cell r="D75">
            <v>0</v>
          </cell>
        </row>
        <row r="76">
          <cell r="A76" t="str">
            <v>109-001-001-1032</v>
          </cell>
          <cell r="B76" t="str">
            <v>XEN Wapda</v>
          </cell>
          <cell r="C76">
            <v>4</v>
          </cell>
          <cell r="D76">
            <v>0</v>
          </cell>
        </row>
        <row r="77">
          <cell r="A77" t="str">
            <v>109-001-001-1033</v>
          </cell>
          <cell r="B77" t="str">
            <v>M/S Techman Civil Engineering</v>
          </cell>
          <cell r="C77">
            <v>4</v>
          </cell>
          <cell r="D77">
            <v>0</v>
          </cell>
        </row>
        <row r="78">
          <cell r="A78" t="str">
            <v>109-001-001-1034</v>
          </cell>
          <cell r="B78" t="str">
            <v>M/S Syed Guftar Shah</v>
          </cell>
          <cell r="C78">
            <v>4</v>
          </cell>
          <cell r="D78">
            <v>0</v>
          </cell>
        </row>
        <row r="79">
          <cell r="A79" t="str">
            <v>109-001-001-1035</v>
          </cell>
          <cell r="B79" t="str">
            <v>M/S Muhammad Hussain</v>
          </cell>
          <cell r="C79">
            <v>4</v>
          </cell>
          <cell r="D79">
            <v>0</v>
          </cell>
        </row>
        <row r="80">
          <cell r="A80" t="str">
            <v>109-001-001-1036</v>
          </cell>
          <cell r="B80" t="str">
            <v>M/S Muhammad Aamir Khan</v>
          </cell>
          <cell r="C80">
            <v>4</v>
          </cell>
          <cell r="D80">
            <v>0</v>
          </cell>
        </row>
        <row r="81">
          <cell r="A81" t="str">
            <v>109-001-001-1037</v>
          </cell>
          <cell r="B81" t="str">
            <v>M/S Muhammad Zaib</v>
          </cell>
          <cell r="C81">
            <v>4</v>
          </cell>
          <cell r="D81">
            <v>0</v>
          </cell>
        </row>
        <row r="82">
          <cell r="A82" t="str">
            <v>109-001-001-1039</v>
          </cell>
          <cell r="B82" t="str">
            <v>Naib Subedar Muh Aslam</v>
          </cell>
          <cell r="C82">
            <v>4</v>
          </cell>
          <cell r="D82">
            <v>0</v>
          </cell>
        </row>
        <row r="83">
          <cell r="A83" t="str">
            <v>109-001-001-1040</v>
          </cell>
          <cell r="B83" t="str">
            <v>Hav Steno Nisar Ahmad</v>
          </cell>
          <cell r="C83">
            <v>4</v>
          </cell>
          <cell r="D83">
            <v>0</v>
          </cell>
        </row>
        <row r="84">
          <cell r="A84" t="str">
            <v>109-001-001-1042</v>
          </cell>
          <cell r="B84" t="str">
            <v>Project Manager PTCL</v>
          </cell>
          <cell r="C84">
            <v>4</v>
          </cell>
          <cell r="D84">
            <v>0</v>
          </cell>
        </row>
        <row r="85">
          <cell r="A85" t="str">
            <v>109-001-001-1043</v>
          </cell>
          <cell r="B85" t="str">
            <v>Project KRAC Ware house Mandra</v>
          </cell>
          <cell r="C85">
            <v>4</v>
          </cell>
          <cell r="D85">
            <v>0</v>
          </cell>
        </row>
        <row r="86">
          <cell r="A86" t="str">
            <v>109-001-001-1044</v>
          </cell>
          <cell r="B86" t="str">
            <v>N-5 Swan Camp</v>
          </cell>
          <cell r="C86">
            <v>4</v>
          </cell>
          <cell r="D86">
            <v>0</v>
          </cell>
        </row>
        <row r="87">
          <cell r="A87" t="str">
            <v>109-001-001-1045</v>
          </cell>
          <cell r="B87" t="str">
            <v>M/S Highway contractors</v>
          </cell>
          <cell r="C87">
            <v>4</v>
          </cell>
          <cell r="D87">
            <v>0</v>
          </cell>
        </row>
        <row r="88">
          <cell r="A88" t="str">
            <v>109-001-001-1046</v>
          </cell>
          <cell r="B88" t="str">
            <v>M/S Muhammad Azam &amp; Brothers</v>
          </cell>
          <cell r="C88">
            <v>4</v>
          </cell>
          <cell r="D88">
            <v>0</v>
          </cell>
        </row>
        <row r="89">
          <cell r="A89" t="str">
            <v>109-001-001-1047</v>
          </cell>
          <cell r="B89" t="str">
            <v>M/S MRRP</v>
          </cell>
          <cell r="C89">
            <v>4</v>
          </cell>
          <cell r="D89">
            <v>0</v>
          </cell>
        </row>
        <row r="90">
          <cell r="A90" t="str">
            <v>109-001-001-1048</v>
          </cell>
          <cell r="B90" t="str">
            <v>M/S Technoline</v>
          </cell>
          <cell r="C90">
            <v>4</v>
          </cell>
          <cell r="D90">
            <v>0</v>
          </cell>
        </row>
        <row r="91">
          <cell r="A91" t="str">
            <v>109-001-001-1049</v>
          </cell>
          <cell r="B91" t="str">
            <v>M/S J &amp; W</v>
          </cell>
          <cell r="C91">
            <v>4</v>
          </cell>
          <cell r="D91">
            <v>0</v>
          </cell>
        </row>
        <row r="92">
          <cell r="A92" t="str">
            <v>109-001-001-1050</v>
          </cell>
          <cell r="B92" t="str">
            <v>M/S Asad Rameez</v>
          </cell>
          <cell r="C92">
            <v>4</v>
          </cell>
          <cell r="D92">
            <v>0</v>
          </cell>
        </row>
        <row r="93">
          <cell r="A93" t="str">
            <v>109-001-001-1051</v>
          </cell>
          <cell r="B93" t="str">
            <v>M/S Saleem &amp; Brothers</v>
          </cell>
          <cell r="C93">
            <v>4</v>
          </cell>
          <cell r="D93">
            <v>0</v>
          </cell>
        </row>
        <row r="94">
          <cell r="A94" t="str">
            <v>109-001-001-1052</v>
          </cell>
          <cell r="B94" t="str">
            <v>M/S Syed Associates</v>
          </cell>
          <cell r="C94">
            <v>4</v>
          </cell>
          <cell r="D94">
            <v>0</v>
          </cell>
        </row>
        <row r="95">
          <cell r="A95" t="str">
            <v>109-001-001-1054</v>
          </cell>
          <cell r="B95" t="str">
            <v>M/S Tripple M Enterprises</v>
          </cell>
          <cell r="C95">
            <v>4</v>
          </cell>
          <cell r="D95">
            <v>0</v>
          </cell>
        </row>
        <row r="96">
          <cell r="A96" t="str">
            <v>109-001-001-1055</v>
          </cell>
          <cell r="B96" t="str">
            <v>M/S Swayra Enterprises</v>
          </cell>
          <cell r="C96">
            <v>4</v>
          </cell>
          <cell r="D96">
            <v>0</v>
          </cell>
        </row>
        <row r="97">
          <cell r="A97" t="str">
            <v>109-001-001-1056</v>
          </cell>
          <cell r="B97" t="str">
            <v>M/S Foar Road Marking</v>
          </cell>
          <cell r="C97">
            <v>4</v>
          </cell>
          <cell r="D97">
            <v>0</v>
          </cell>
        </row>
        <row r="98">
          <cell r="A98" t="str">
            <v>109-001-001-1058</v>
          </cell>
          <cell r="B98" t="str">
            <v>M/S Javed Mumtaz (Pvt) Ltd</v>
          </cell>
          <cell r="C98">
            <v>4</v>
          </cell>
          <cell r="D98">
            <v>0</v>
          </cell>
        </row>
        <row r="99">
          <cell r="A99" t="str">
            <v>109-001-001-1059</v>
          </cell>
          <cell r="B99" t="str">
            <v>M/S Jabco (Pvt) Ltd</v>
          </cell>
          <cell r="C99">
            <v>4</v>
          </cell>
          <cell r="D99">
            <v>0</v>
          </cell>
        </row>
        <row r="100">
          <cell r="A100" t="str">
            <v>109-001-001-1060</v>
          </cell>
          <cell r="B100" t="str">
            <v>M/S Imtiaz Shahid &amp; Co</v>
          </cell>
          <cell r="C100">
            <v>4</v>
          </cell>
          <cell r="D100">
            <v>0</v>
          </cell>
        </row>
        <row r="101">
          <cell r="A101" t="str">
            <v>109-001-001-1061</v>
          </cell>
          <cell r="B101" t="str">
            <v>M/S ATM Builders</v>
          </cell>
          <cell r="C101">
            <v>4</v>
          </cell>
          <cell r="D101">
            <v>0</v>
          </cell>
        </row>
        <row r="102">
          <cell r="A102" t="str">
            <v>109-001-001-1062</v>
          </cell>
          <cell r="B102" t="str">
            <v>M/S Jabco (Pvt) Ltd</v>
          </cell>
          <cell r="C102">
            <v>4</v>
          </cell>
          <cell r="D102">
            <v>0</v>
          </cell>
        </row>
        <row r="103">
          <cell r="A103" t="str">
            <v>109-001-001-1063</v>
          </cell>
          <cell r="B103" t="str">
            <v>M/S Ali Associate</v>
          </cell>
          <cell r="C103">
            <v>4</v>
          </cell>
          <cell r="D103">
            <v>0</v>
          </cell>
        </row>
        <row r="104">
          <cell r="A104" t="str">
            <v>109-001-001-1064</v>
          </cell>
          <cell r="B104" t="str">
            <v>M/S Sajjad (Pvt) ltd</v>
          </cell>
          <cell r="C104">
            <v>4</v>
          </cell>
          <cell r="D104">
            <v>0</v>
          </cell>
        </row>
        <row r="105">
          <cell r="A105" t="str">
            <v>109-001-001-1065</v>
          </cell>
          <cell r="B105" t="str">
            <v>M/S Sky Engineers</v>
          </cell>
          <cell r="C105">
            <v>4</v>
          </cell>
          <cell r="D105">
            <v>0</v>
          </cell>
        </row>
        <row r="106">
          <cell r="A106" t="str">
            <v>109-001-001-1066</v>
          </cell>
          <cell r="B106" t="str">
            <v>M/S Eastern Highway</v>
          </cell>
          <cell r="C106">
            <v>4</v>
          </cell>
          <cell r="D106">
            <v>0</v>
          </cell>
        </row>
        <row r="107">
          <cell r="A107" t="str">
            <v>109-001-001-1067</v>
          </cell>
          <cell r="B107" t="str">
            <v>M/S Yar Muhammad Khattak</v>
          </cell>
          <cell r="C107">
            <v>4</v>
          </cell>
          <cell r="D107">
            <v>0</v>
          </cell>
        </row>
        <row r="108">
          <cell r="A108" t="str">
            <v>109-001-001-1069</v>
          </cell>
          <cell r="B108" t="str">
            <v>M/S Sadaat Enterprises</v>
          </cell>
          <cell r="C108">
            <v>4</v>
          </cell>
          <cell r="D108">
            <v>0</v>
          </cell>
        </row>
        <row r="109">
          <cell r="A109" t="str">
            <v>109-001-001-1070</v>
          </cell>
          <cell r="B109" t="str">
            <v>M/S Shad Khan &amp; Sons</v>
          </cell>
          <cell r="C109">
            <v>4</v>
          </cell>
          <cell r="D109">
            <v>-6343368</v>
          </cell>
        </row>
        <row r="110">
          <cell r="A110" t="str">
            <v>109-001-001-1071</v>
          </cell>
          <cell r="B110" t="str">
            <v>M/S Amir Iqbal &amp; Co.</v>
          </cell>
          <cell r="C110">
            <v>4</v>
          </cell>
          <cell r="D110">
            <v>0</v>
          </cell>
        </row>
        <row r="111">
          <cell r="A111" t="str">
            <v>109-001-001-1072</v>
          </cell>
          <cell r="B111" t="str">
            <v>M/S Ascent Associates</v>
          </cell>
          <cell r="C111">
            <v>4</v>
          </cell>
          <cell r="D111">
            <v>-1199818</v>
          </cell>
        </row>
        <row r="112">
          <cell r="A112" t="str">
            <v>109-001-001-1073</v>
          </cell>
          <cell r="B112" t="str">
            <v>M/S Omer Farooq Co.</v>
          </cell>
          <cell r="C112">
            <v>4</v>
          </cell>
          <cell r="D112">
            <v>-3152740</v>
          </cell>
        </row>
        <row r="113">
          <cell r="A113" t="str">
            <v>109-001-001-9999</v>
          </cell>
          <cell r="B113" t="str">
            <v>Final Bill Creditors</v>
          </cell>
          <cell r="C113">
            <v>4</v>
          </cell>
          <cell r="D113">
            <v>0</v>
          </cell>
        </row>
        <row r="114">
          <cell r="A114" t="str">
            <v>109-001-002-0000</v>
          </cell>
          <cell r="B114" t="str">
            <v>Creditors Construction  Material</v>
          </cell>
          <cell r="C114">
            <v>3</v>
          </cell>
          <cell r="D114">
            <v>0</v>
          </cell>
        </row>
        <row r="115">
          <cell r="A115" t="str">
            <v>109-001-002-1001</v>
          </cell>
          <cell r="B115" t="str">
            <v>Al- maqsoom Traders</v>
          </cell>
          <cell r="C115">
            <v>4</v>
          </cell>
          <cell r="D115">
            <v>0</v>
          </cell>
        </row>
        <row r="116">
          <cell r="A116" t="str">
            <v>109-001-002-1002</v>
          </cell>
          <cell r="B116" t="str">
            <v>Adnan Stationery</v>
          </cell>
          <cell r="C116">
            <v>4</v>
          </cell>
          <cell r="D116">
            <v>0</v>
          </cell>
        </row>
        <row r="117">
          <cell r="A117" t="str">
            <v>109-001-002-1003</v>
          </cell>
          <cell r="B117" t="str">
            <v>All Pakistan machinery</v>
          </cell>
          <cell r="C117">
            <v>4</v>
          </cell>
          <cell r="D117">
            <v>0</v>
          </cell>
        </row>
        <row r="118">
          <cell r="A118" t="str">
            <v>109-001-002-1004</v>
          </cell>
          <cell r="B118" t="str">
            <v>Awais Aluminium</v>
          </cell>
          <cell r="C118">
            <v>4</v>
          </cell>
          <cell r="D118">
            <v>0</v>
          </cell>
        </row>
        <row r="119">
          <cell r="A119" t="str">
            <v>109-001-002-1005</v>
          </cell>
          <cell r="B119" t="str">
            <v>Asghar ali Shah</v>
          </cell>
          <cell r="C119">
            <v>4</v>
          </cell>
          <cell r="D119">
            <v>0</v>
          </cell>
        </row>
        <row r="120">
          <cell r="A120" t="str">
            <v>109-001-002-1006</v>
          </cell>
          <cell r="B120" t="str">
            <v>Spinzer Ashain Rwp</v>
          </cell>
          <cell r="C120">
            <v>4</v>
          </cell>
          <cell r="D120">
            <v>0</v>
          </cell>
        </row>
        <row r="121">
          <cell r="A121" t="str">
            <v>109-001-002-1007</v>
          </cell>
          <cell r="B121" t="str">
            <v>Syed Shujahat Hussian</v>
          </cell>
          <cell r="C121">
            <v>4</v>
          </cell>
          <cell r="D121">
            <v>0</v>
          </cell>
        </row>
        <row r="122">
          <cell r="A122" t="str">
            <v>109-001-002-1008</v>
          </cell>
          <cell r="B122" t="str">
            <v>Drawing &amp; survey</v>
          </cell>
          <cell r="C122">
            <v>4</v>
          </cell>
          <cell r="D122">
            <v>0</v>
          </cell>
        </row>
        <row r="123">
          <cell r="A123" t="str">
            <v>109-001-002-1009</v>
          </cell>
          <cell r="B123" t="str">
            <v>Flash Technologies</v>
          </cell>
          <cell r="C123">
            <v>4</v>
          </cell>
          <cell r="D123">
            <v>0</v>
          </cell>
        </row>
        <row r="124">
          <cell r="A124" t="str">
            <v>109-001-002-1010</v>
          </cell>
          <cell r="B124" t="str">
            <v>Gul Jan</v>
          </cell>
          <cell r="C124">
            <v>4</v>
          </cell>
          <cell r="D124">
            <v>0</v>
          </cell>
        </row>
        <row r="125">
          <cell r="A125" t="str">
            <v>109-001-002-1011</v>
          </cell>
          <cell r="B125" t="str">
            <v>Hayat ullah &amp; sons</v>
          </cell>
          <cell r="C125">
            <v>4</v>
          </cell>
          <cell r="D125">
            <v>0</v>
          </cell>
        </row>
        <row r="126">
          <cell r="A126" t="str">
            <v>109-001-002-1012</v>
          </cell>
          <cell r="B126" t="str">
            <v>Hanif Agencies</v>
          </cell>
          <cell r="C126">
            <v>4</v>
          </cell>
          <cell r="D126">
            <v>0</v>
          </cell>
        </row>
        <row r="127">
          <cell r="A127" t="str">
            <v>109-001-002-1013</v>
          </cell>
          <cell r="B127" t="str">
            <v>Islamabad Auto</v>
          </cell>
          <cell r="C127">
            <v>4</v>
          </cell>
          <cell r="D127">
            <v>0</v>
          </cell>
        </row>
        <row r="128">
          <cell r="A128" t="str">
            <v>109-001-002-1014</v>
          </cell>
          <cell r="B128" t="str">
            <v>Junaid Autos</v>
          </cell>
          <cell r="C128">
            <v>4</v>
          </cell>
          <cell r="D128">
            <v>0</v>
          </cell>
        </row>
        <row r="129">
          <cell r="A129" t="str">
            <v>109-001-002-1015</v>
          </cell>
          <cell r="B129" t="str">
            <v>Khan Badshah</v>
          </cell>
          <cell r="C129">
            <v>4</v>
          </cell>
          <cell r="D129">
            <v>0</v>
          </cell>
        </row>
        <row r="130">
          <cell r="A130" t="str">
            <v>109-001-002-1016</v>
          </cell>
          <cell r="B130" t="str">
            <v>Mir Brothers</v>
          </cell>
          <cell r="C130">
            <v>4</v>
          </cell>
          <cell r="D130">
            <v>0</v>
          </cell>
        </row>
        <row r="131">
          <cell r="A131" t="str">
            <v>109-001-002-1017</v>
          </cell>
          <cell r="B131" t="str">
            <v>Mirza old engineering stores</v>
          </cell>
          <cell r="C131">
            <v>4</v>
          </cell>
          <cell r="D131">
            <v>0</v>
          </cell>
        </row>
        <row r="132">
          <cell r="A132" t="str">
            <v>109-001-002-1018</v>
          </cell>
          <cell r="B132" t="str">
            <v>Muh shah &amp; sons</v>
          </cell>
          <cell r="C132">
            <v>4</v>
          </cell>
          <cell r="D132">
            <v>0</v>
          </cell>
        </row>
        <row r="133">
          <cell r="A133" t="str">
            <v>109-001-002-1019</v>
          </cell>
          <cell r="B133" t="str">
            <v>Margallah Stone Crusher</v>
          </cell>
          <cell r="C133">
            <v>4</v>
          </cell>
          <cell r="D133">
            <v>0</v>
          </cell>
        </row>
        <row r="134">
          <cell r="A134" t="str">
            <v>109-001-002-1020</v>
          </cell>
          <cell r="B134" t="str">
            <v>Minhattan Pahnta (pvt) Ltd</v>
          </cell>
          <cell r="C134">
            <v>4</v>
          </cell>
          <cell r="D134">
            <v>0</v>
          </cell>
        </row>
        <row r="135">
          <cell r="A135" t="str">
            <v>109-001-002-1021</v>
          </cell>
          <cell r="B135" t="str">
            <v>Naimat Agencies</v>
          </cell>
          <cell r="C135">
            <v>4</v>
          </cell>
          <cell r="D135">
            <v>0</v>
          </cell>
        </row>
        <row r="136">
          <cell r="A136" t="str">
            <v>109-001-002-1022</v>
          </cell>
          <cell r="B136" t="str">
            <v>Potohar Autos</v>
          </cell>
          <cell r="C136">
            <v>4</v>
          </cell>
          <cell r="D136">
            <v>0</v>
          </cell>
        </row>
        <row r="137">
          <cell r="A137" t="str">
            <v>109-001-002-1023</v>
          </cell>
          <cell r="B137" t="str">
            <v>Petronet Pakistan</v>
          </cell>
          <cell r="C137">
            <v>4</v>
          </cell>
          <cell r="D137">
            <v>0</v>
          </cell>
        </row>
        <row r="138">
          <cell r="A138" t="str">
            <v>109-001-002-1024</v>
          </cell>
          <cell r="B138" t="str">
            <v>Photohar Stone Crusher</v>
          </cell>
          <cell r="C138">
            <v>4</v>
          </cell>
          <cell r="D138">
            <v>0</v>
          </cell>
        </row>
        <row r="139">
          <cell r="A139" t="str">
            <v>109-001-002-1025-</v>
          </cell>
          <cell r="B139" t="str">
            <v>Malik Steel Works</v>
          </cell>
          <cell r="C139">
            <v>4</v>
          </cell>
          <cell r="D139">
            <v>0</v>
          </cell>
        </row>
        <row r="140">
          <cell r="A140" t="str">
            <v>109-001-002-1026</v>
          </cell>
          <cell r="B140" t="str">
            <v>S.A.S Metals</v>
          </cell>
          <cell r="C140">
            <v>4</v>
          </cell>
          <cell r="D140">
            <v>0</v>
          </cell>
        </row>
        <row r="141">
          <cell r="A141" t="str">
            <v>109-001-002-1027</v>
          </cell>
          <cell r="B141" t="str">
            <v>Sangjani Asphalt Premixing Plant</v>
          </cell>
          <cell r="C141">
            <v>4</v>
          </cell>
          <cell r="D141">
            <v>0</v>
          </cell>
        </row>
        <row r="142">
          <cell r="A142" t="str">
            <v>109-001-002-1028</v>
          </cell>
          <cell r="B142" t="str">
            <v>Zia Auctioner</v>
          </cell>
          <cell r="C142">
            <v>4</v>
          </cell>
          <cell r="D142">
            <v>0</v>
          </cell>
        </row>
        <row r="143">
          <cell r="A143" t="str">
            <v>109-001-002-1029</v>
          </cell>
          <cell r="B143" t="str">
            <v>Pak Steel</v>
          </cell>
          <cell r="C143">
            <v>4</v>
          </cell>
          <cell r="D143">
            <v>0</v>
          </cell>
        </row>
        <row r="144">
          <cell r="A144" t="str">
            <v>109-001-002-1030</v>
          </cell>
          <cell r="B144" t="str">
            <v>Printing Press CMTI</v>
          </cell>
          <cell r="C144">
            <v>4</v>
          </cell>
          <cell r="D144">
            <v>0</v>
          </cell>
        </row>
        <row r="145">
          <cell r="A145" t="str">
            <v>109-001-002-1031</v>
          </cell>
          <cell r="B145" t="str">
            <v>Muhammad Zulfiqar</v>
          </cell>
          <cell r="C145">
            <v>4</v>
          </cell>
          <cell r="D145">
            <v>0</v>
          </cell>
        </row>
        <row r="146">
          <cell r="A146" t="str">
            <v>109-001-002-1032</v>
          </cell>
          <cell r="B146" t="str">
            <v>Bismillah Khan</v>
          </cell>
          <cell r="C146">
            <v>4</v>
          </cell>
          <cell r="D146">
            <v>0</v>
          </cell>
        </row>
        <row r="147">
          <cell r="A147" t="str">
            <v>109-001-002-1033</v>
          </cell>
          <cell r="B147" t="str">
            <v>Executive Engineering Machinery</v>
          </cell>
          <cell r="C147">
            <v>4</v>
          </cell>
          <cell r="D147">
            <v>0</v>
          </cell>
        </row>
        <row r="148">
          <cell r="A148" t="str">
            <v>109-001-002-1034</v>
          </cell>
          <cell r="B148" t="str">
            <v>Royal Scientific Store</v>
          </cell>
          <cell r="C148">
            <v>4</v>
          </cell>
          <cell r="D148">
            <v>0</v>
          </cell>
        </row>
        <row r="149">
          <cell r="A149" t="str">
            <v>109-001-002-1035</v>
          </cell>
          <cell r="B149" t="str">
            <v>Nationall Scientific Store</v>
          </cell>
          <cell r="C149">
            <v>4</v>
          </cell>
          <cell r="D149">
            <v>0</v>
          </cell>
        </row>
        <row r="150">
          <cell r="A150" t="str">
            <v>109-001-002-1036</v>
          </cell>
          <cell r="B150" t="str">
            <v>M/S Qazi Ghee</v>
          </cell>
          <cell r="C150">
            <v>4</v>
          </cell>
          <cell r="D150">
            <v>0</v>
          </cell>
        </row>
        <row r="151">
          <cell r="A151" t="str">
            <v>109-001-002-1037</v>
          </cell>
          <cell r="B151" t="str">
            <v>M/S Muhammad Latif</v>
          </cell>
          <cell r="C151">
            <v>4</v>
          </cell>
          <cell r="D151">
            <v>0</v>
          </cell>
        </row>
        <row r="152">
          <cell r="A152" t="str">
            <v>109-001-002-1038</v>
          </cell>
          <cell r="B152" t="str">
            <v>M/S Zafer Ullah</v>
          </cell>
          <cell r="C152">
            <v>4</v>
          </cell>
          <cell r="D152">
            <v>0</v>
          </cell>
        </row>
        <row r="153">
          <cell r="A153" t="str">
            <v>109-001-002-1039</v>
          </cell>
          <cell r="B153" t="str">
            <v>M/S Spinzer</v>
          </cell>
          <cell r="C153">
            <v>4</v>
          </cell>
          <cell r="D153">
            <v>0</v>
          </cell>
        </row>
        <row r="154">
          <cell r="A154" t="str">
            <v>109-001-002-1040</v>
          </cell>
          <cell r="B154" t="str">
            <v>M/S Ali Associates</v>
          </cell>
          <cell r="C154">
            <v>4</v>
          </cell>
          <cell r="D154">
            <v>0</v>
          </cell>
        </row>
        <row r="155">
          <cell r="A155" t="str">
            <v>109-001-002-1041</v>
          </cell>
          <cell r="B155" t="str">
            <v>M/S Muh Yousaf</v>
          </cell>
          <cell r="C155">
            <v>4</v>
          </cell>
          <cell r="D155">
            <v>0</v>
          </cell>
        </row>
        <row r="156">
          <cell r="A156" t="str">
            <v>109-001-002-1042</v>
          </cell>
          <cell r="B156" t="str">
            <v>M/S Ali Khan</v>
          </cell>
          <cell r="C156">
            <v>4</v>
          </cell>
          <cell r="D156">
            <v>0</v>
          </cell>
        </row>
        <row r="157">
          <cell r="A157" t="str">
            <v>109-001-002-1044</v>
          </cell>
          <cell r="B157" t="str">
            <v>M/S Super Punjab Tents</v>
          </cell>
          <cell r="C157">
            <v>4</v>
          </cell>
          <cell r="D157">
            <v>0</v>
          </cell>
        </row>
        <row r="158">
          <cell r="A158" t="str">
            <v>109-001-002-1045</v>
          </cell>
          <cell r="B158" t="str">
            <v>M/S Ahmed Auots</v>
          </cell>
          <cell r="C158">
            <v>4</v>
          </cell>
          <cell r="D158">
            <v>0</v>
          </cell>
        </row>
        <row r="159">
          <cell r="A159" t="str">
            <v>109-001-002-1046</v>
          </cell>
          <cell r="B159" t="str">
            <v>M/S Akash Builders</v>
          </cell>
          <cell r="C159">
            <v>4</v>
          </cell>
          <cell r="D159">
            <v>0</v>
          </cell>
        </row>
        <row r="160">
          <cell r="A160" t="str">
            <v>109-001-002-1047</v>
          </cell>
          <cell r="B160" t="str">
            <v>M/S Muneeb Brothers</v>
          </cell>
          <cell r="C160">
            <v>4</v>
          </cell>
          <cell r="D160">
            <v>0</v>
          </cell>
        </row>
        <row r="161">
          <cell r="A161" t="str">
            <v>109-001-002-1048</v>
          </cell>
          <cell r="B161" t="str">
            <v>M/S Mughal Supersave</v>
          </cell>
          <cell r="C161">
            <v>4</v>
          </cell>
          <cell r="D161">
            <v>0</v>
          </cell>
        </row>
        <row r="162">
          <cell r="A162" t="str">
            <v>109-001-002-1049</v>
          </cell>
          <cell r="B162" t="str">
            <v>M/S Al-Madina Engineering Works</v>
          </cell>
          <cell r="C162">
            <v>4</v>
          </cell>
          <cell r="D162">
            <v>0</v>
          </cell>
        </row>
        <row r="163">
          <cell r="A163" t="str">
            <v>109-001-002-1050</v>
          </cell>
          <cell r="B163" t="str">
            <v>M/S Salahuddin Diesel Service</v>
          </cell>
          <cell r="C163">
            <v>4</v>
          </cell>
          <cell r="D163">
            <v>0</v>
          </cell>
        </row>
        <row r="164">
          <cell r="A164" t="str">
            <v>109-001-002-1051</v>
          </cell>
          <cell r="B164" t="str">
            <v>M/S Toyota Centre</v>
          </cell>
          <cell r="C164">
            <v>4</v>
          </cell>
          <cell r="D164">
            <v>0</v>
          </cell>
        </row>
        <row r="165">
          <cell r="A165" t="str">
            <v>109-001-002-1052</v>
          </cell>
          <cell r="B165" t="str">
            <v>M/S Kamboh Engineering Intl</v>
          </cell>
          <cell r="C165">
            <v>4</v>
          </cell>
          <cell r="D165">
            <v>0</v>
          </cell>
        </row>
        <row r="166">
          <cell r="A166" t="str">
            <v>109-001-002-1053</v>
          </cell>
          <cell r="B166" t="str">
            <v>M/S H &amp; M Engineering Works</v>
          </cell>
          <cell r="C166">
            <v>4</v>
          </cell>
          <cell r="D166">
            <v>0</v>
          </cell>
        </row>
        <row r="167">
          <cell r="A167" t="str">
            <v>109-001-002-1054</v>
          </cell>
          <cell r="B167" t="str">
            <v>M/S A &amp; A Enterprises</v>
          </cell>
          <cell r="C167">
            <v>4</v>
          </cell>
          <cell r="D167">
            <v>0</v>
          </cell>
        </row>
        <row r="168">
          <cell r="A168" t="str">
            <v>109-001-002-1055</v>
          </cell>
          <cell r="B168" t="str">
            <v>M/S Haq Char Yaar</v>
          </cell>
          <cell r="C168">
            <v>4</v>
          </cell>
          <cell r="D168">
            <v>0</v>
          </cell>
        </row>
        <row r="169">
          <cell r="A169" t="str">
            <v>109-001-002-1056</v>
          </cell>
          <cell r="B169" t="str">
            <v>M/S Friends Associates</v>
          </cell>
          <cell r="C169">
            <v>4</v>
          </cell>
          <cell r="D169">
            <v>0</v>
          </cell>
        </row>
        <row r="170">
          <cell r="A170" t="str">
            <v>109-001-002-1057</v>
          </cell>
          <cell r="B170" t="str">
            <v>M/S Abdul Khaliq Khan</v>
          </cell>
          <cell r="C170">
            <v>4</v>
          </cell>
          <cell r="D170">
            <v>0</v>
          </cell>
        </row>
        <row r="171">
          <cell r="A171" t="str">
            <v>109-001-002-1058</v>
          </cell>
          <cell r="B171" t="str">
            <v>M/S Al-Ghosia</v>
          </cell>
          <cell r="C171">
            <v>4</v>
          </cell>
          <cell r="D171">
            <v>0</v>
          </cell>
        </row>
        <row r="172">
          <cell r="A172" t="str">
            <v>109-001-002-1059</v>
          </cell>
          <cell r="B172" t="str">
            <v>M/S Wasim Stationers</v>
          </cell>
          <cell r="C172">
            <v>4</v>
          </cell>
          <cell r="D172">
            <v>0</v>
          </cell>
        </row>
        <row r="173">
          <cell r="A173" t="str">
            <v>109-001-002-1060</v>
          </cell>
          <cell r="B173" t="str">
            <v>M/S Sarfraz  Khan.</v>
          </cell>
          <cell r="C173">
            <v>4</v>
          </cell>
          <cell r="D173">
            <v>0</v>
          </cell>
        </row>
        <row r="174">
          <cell r="A174" t="str">
            <v>109-001-002-1061</v>
          </cell>
          <cell r="B174" t="str">
            <v>M/S Spinzer</v>
          </cell>
          <cell r="C174">
            <v>4</v>
          </cell>
          <cell r="D174">
            <v>0</v>
          </cell>
        </row>
        <row r="175">
          <cell r="A175" t="str">
            <v>109-001-002-1062</v>
          </cell>
          <cell r="B175" t="str">
            <v>M/S Maj (R) Nisar</v>
          </cell>
          <cell r="C175">
            <v>4</v>
          </cell>
          <cell r="D175">
            <v>0</v>
          </cell>
        </row>
        <row r="176">
          <cell r="A176" t="str">
            <v>109-001-002-1063</v>
          </cell>
          <cell r="B176" t="str">
            <v>M/S Behran Khan</v>
          </cell>
          <cell r="C176">
            <v>4</v>
          </cell>
          <cell r="D176">
            <v>0</v>
          </cell>
        </row>
        <row r="177">
          <cell r="A177" t="str">
            <v>109-001-002-1064</v>
          </cell>
          <cell r="B177" t="str">
            <v>M/S Safe Co.</v>
          </cell>
          <cell r="C177">
            <v>4</v>
          </cell>
          <cell r="D177">
            <v>0</v>
          </cell>
        </row>
        <row r="178">
          <cell r="A178" t="str">
            <v>109-001-002-1065</v>
          </cell>
          <cell r="B178" t="str">
            <v>M/S Photohar Autos</v>
          </cell>
          <cell r="C178">
            <v>4</v>
          </cell>
          <cell r="D178">
            <v>0</v>
          </cell>
        </row>
        <row r="179">
          <cell r="A179" t="str">
            <v>109-001-002-1066</v>
          </cell>
          <cell r="B179" t="str">
            <v>M/S Haji Muh Munir</v>
          </cell>
          <cell r="C179">
            <v>4</v>
          </cell>
          <cell r="D179">
            <v>0</v>
          </cell>
        </row>
        <row r="180">
          <cell r="A180" t="str">
            <v>109-001-002-1067</v>
          </cell>
          <cell r="B180" t="str">
            <v>M/S Bazl ul jehood</v>
          </cell>
          <cell r="C180">
            <v>4</v>
          </cell>
          <cell r="D180">
            <v>0</v>
          </cell>
        </row>
        <row r="181">
          <cell r="A181" t="str">
            <v>109-001-002-1068</v>
          </cell>
          <cell r="B181" t="str">
            <v>M/S Regent Computers</v>
          </cell>
          <cell r="C181">
            <v>4</v>
          </cell>
          <cell r="D181">
            <v>0</v>
          </cell>
        </row>
        <row r="182">
          <cell r="A182" t="str">
            <v>109-001-002-1069</v>
          </cell>
          <cell r="B182" t="str">
            <v>M/S Abdul Razaq &amp; Co.</v>
          </cell>
          <cell r="C182">
            <v>4</v>
          </cell>
          <cell r="D182">
            <v>0</v>
          </cell>
        </row>
        <row r="183">
          <cell r="A183" t="str">
            <v>109-001-002-1070</v>
          </cell>
          <cell r="B183" t="str">
            <v>M/S Furnitures</v>
          </cell>
          <cell r="C183">
            <v>4</v>
          </cell>
          <cell r="D183">
            <v>0</v>
          </cell>
        </row>
        <row r="184">
          <cell r="A184" t="str">
            <v>109-001-002-1071</v>
          </cell>
          <cell r="B184" t="str">
            <v>M/S National Machinery Store</v>
          </cell>
          <cell r="C184">
            <v>4</v>
          </cell>
          <cell r="D184">
            <v>0</v>
          </cell>
        </row>
        <row r="185">
          <cell r="A185" t="str">
            <v>109-001-002-1072</v>
          </cell>
          <cell r="B185" t="str">
            <v>M/S Various dealers</v>
          </cell>
          <cell r="C185">
            <v>4</v>
          </cell>
          <cell r="D185">
            <v>0</v>
          </cell>
        </row>
        <row r="186">
          <cell r="A186" t="str">
            <v>109-001-002-1074</v>
          </cell>
          <cell r="B186" t="str">
            <v>M/S Juma Khan</v>
          </cell>
          <cell r="C186">
            <v>4</v>
          </cell>
          <cell r="D186">
            <v>0</v>
          </cell>
        </row>
        <row r="187">
          <cell r="A187" t="str">
            <v>109-001-002-1075</v>
          </cell>
          <cell r="B187" t="str">
            <v>M/S Naveed Associates</v>
          </cell>
          <cell r="C187">
            <v>4</v>
          </cell>
          <cell r="D187">
            <v>0</v>
          </cell>
        </row>
        <row r="188">
          <cell r="A188" t="str">
            <v>109-001-002-1076</v>
          </cell>
          <cell r="B188" t="str">
            <v>M/S Machine Traders</v>
          </cell>
          <cell r="C188">
            <v>4</v>
          </cell>
          <cell r="D188">
            <v>0</v>
          </cell>
        </row>
        <row r="189">
          <cell r="A189" t="str">
            <v>109-001-002-1077</v>
          </cell>
          <cell r="B189" t="str">
            <v>M/S Shahid Malik</v>
          </cell>
          <cell r="C189">
            <v>4</v>
          </cell>
          <cell r="D189">
            <v>0</v>
          </cell>
        </row>
        <row r="190">
          <cell r="A190" t="str">
            <v>109-001-002-1078</v>
          </cell>
          <cell r="B190" t="str">
            <v>M/S Haji Ice Factory</v>
          </cell>
          <cell r="C190">
            <v>4</v>
          </cell>
          <cell r="D190">
            <v>0</v>
          </cell>
        </row>
        <row r="191">
          <cell r="A191" t="str">
            <v>109-001-002-1079</v>
          </cell>
          <cell r="B191" t="str">
            <v>M/S Safeer General Store</v>
          </cell>
          <cell r="C191">
            <v>4</v>
          </cell>
          <cell r="D191">
            <v>0</v>
          </cell>
        </row>
        <row r="192">
          <cell r="A192" t="str">
            <v>109-001-002-1080</v>
          </cell>
          <cell r="B192" t="str">
            <v>M/S Hassan fair price</v>
          </cell>
          <cell r="C192">
            <v>4</v>
          </cell>
          <cell r="D192">
            <v>0</v>
          </cell>
        </row>
        <row r="193">
          <cell r="A193" t="str">
            <v>109-001-002-1082</v>
          </cell>
          <cell r="B193" t="str">
            <v>M/S Khalil ur rehman</v>
          </cell>
          <cell r="C193">
            <v>4</v>
          </cell>
          <cell r="D193">
            <v>0</v>
          </cell>
        </row>
        <row r="194">
          <cell r="A194" t="str">
            <v>109-001-002-1083</v>
          </cell>
          <cell r="B194" t="str">
            <v>M/S Suhbat Khan</v>
          </cell>
          <cell r="C194">
            <v>4</v>
          </cell>
          <cell r="D194">
            <v>0</v>
          </cell>
        </row>
        <row r="195">
          <cell r="A195" t="str">
            <v>109-001-002-1084</v>
          </cell>
          <cell r="B195" t="str">
            <v>M/S Awais Aluminim</v>
          </cell>
          <cell r="C195">
            <v>4</v>
          </cell>
          <cell r="D195">
            <v>0</v>
          </cell>
        </row>
        <row r="196">
          <cell r="A196" t="str">
            <v>109-001-002-1085</v>
          </cell>
          <cell r="B196" t="str">
            <v>M/S Computer House</v>
          </cell>
          <cell r="C196">
            <v>4</v>
          </cell>
          <cell r="D196">
            <v>0</v>
          </cell>
        </row>
        <row r="197">
          <cell r="A197" t="str">
            <v>109-001-002-1086</v>
          </cell>
          <cell r="B197" t="str">
            <v>M/S Ijaz Autos</v>
          </cell>
          <cell r="C197">
            <v>4</v>
          </cell>
          <cell r="D197">
            <v>0</v>
          </cell>
        </row>
        <row r="198">
          <cell r="A198" t="str">
            <v>109-001-002-1087</v>
          </cell>
          <cell r="B198" t="str">
            <v>M/S Latif Furnitures</v>
          </cell>
          <cell r="C198">
            <v>4</v>
          </cell>
          <cell r="D198">
            <v>0</v>
          </cell>
        </row>
        <row r="199">
          <cell r="A199" t="str">
            <v>109-001-002-1088</v>
          </cell>
          <cell r="B199" t="str">
            <v>M/S Hameed Autos</v>
          </cell>
          <cell r="C199">
            <v>4</v>
          </cell>
          <cell r="D199">
            <v>0</v>
          </cell>
        </row>
        <row r="200">
          <cell r="A200" t="str">
            <v>109-001-002-1089</v>
          </cell>
          <cell r="B200" t="str">
            <v>M/S Young Autos</v>
          </cell>
          <cell r="C200">
            <v>4</v>
          </cell>
          <cell r="D200">
            <v>0</v>
          </cell>
        </row>
        <row r="201">
          <cell r="A201" t="str">
            <v>109-001-002-1091</v>
          </cell>
          <cell r="B201" t="str">
            <v>M/S 3-G Mobile Commn</v>
          </cell>
          <cell r="C201">
            <v>4</v>
          </cell>
          <cell r="D201">
            <v>0</v>
          </cell>
        </row>
        <row r="202">
          <cell r="A202" t="str">
            <v>109-001-002-1092</v>
          </cell>
          <cell r="B202" t="str">
            <v>M/S Asad Interiors</v>
          </cell>
          <cell r="C202">
            <v>4</v>
          </cell>
          <cell r="D202">
            <v>0</v>
          </cell>
        </row>
        <row r="203">
          <cell r="A203" t="str">
            <v>109-001-002-1093</v>
          </cell>
          <cell r="B203" t="str">
            <v>Mst Kishwar Masud Durrani</v>
          </cell>
          <cell r="C203">
            <v>4</v>
          </cell>
          <cell r="D203">
            <v>0</v>
          </cell>
        </row>
        <row r="204">
          <cell r="A204" t="str">
            <v>109-001-002-1094</v>
          </cell>
          <cell r="B204" t="str">
            <v>M/S Karmanwal Autos</v>
          </cell>
          <cell r="C204">
            <v>4</v>
          </cell>
          <cell r="D204">
            <v>0</v>
          </cell>
        </row>
        <row r="205">
          <cell r="A205" t="str">
            <v>109-001-002-1095</v>
          </cell>
          <cell r="B205" t="str">
            <v>M/S Infinity Motor EeeZee</v>
          </cell>
          <cell r="C205">
            <v>4</v>
          </cell>
          <cell r="D205">
            <v>0</v>
          </cell>
        </row>
        <row r="206">
          <cell r="A206" t="str">
            <v>109-001-002-1096</v>
          </cell>
          <cell r="B206" t="str">
            <v>M/S Al Madina (Closed) Engineering Wks</v>
          </cell>
          <cell r="C206">
            <v>4</v>
          </cell>
          <cell r="D206">
            <v>0</v>
          </cell>
        </row>
        <row r="207">
          <cell r="A207" t="str">
            <v>109-001-002-1097</v>
          </cell>
          <cell r="B207" t="str">
            <v>M/S Al-Hafeez Denting Wks</v>
          </cell>
          <cell r="C207">
            <v>4</v>
          </cell>
          <cell r="D207">
            <v>0</v>
          </cell>
        </row>
        <row r="208">
          <cell r="A208" t="str">
            <v>109-001-002-1098</v>
          </cell>
          <cell r="B208" t="str">
            <v>M/S Workman</v>
          </cell>
          <cell r="C208">
            <v>4</v>
          </cell>
          <cell r="D208">
            <v>0</v>
          </cell>
        </row>
        <row r="209">
          <cell r="A209" t="str">
            <v>109-001-002-1099</v>
          </cell>
          <cell r="B209" t="str">
            <v>M/S Rawal Gasco</v>
          </cell>
          <cell r="C209">
            <v>4</v>
          </cell>
          <cell r="D209">
            <v>0</v>
          </cell>
        </row>
        <row r="210">
          <cell r="A210" t="str">
            <v>109-001-002-1100</v>
          </cell>
          <cell r="B210" t="str">
            <v>M/S Kam Network &amp; Communication</v>
          </cell>
          <cell r="C210">
            <v>4</v>
          </cell>
          <cell r="D210">
            <v>0</v>
          </cell>
        </row>
        <row r="211">
          <cell r="A211" t="str">
            <v>109-001-002-1101</v>
          </cell>
          <cell r="B211" t="str">
            <v>M/S Khalid Kahairy Art Studio</v>
          </cell>
          <cell r="C211">
            <v>4</v>
          </cell>
          <cell r="D211">
            <v>0</v>
          </cell>
        </row>
        <row r="212">
          <cell r="A212" t="str">
            <v>109-001-002-1102</v>
          </cell>
          <cell r="B212" t="str">
            <v>M/S Toyota Rawal Motors</v>
          </cell>
          <cell r="C212">
            <v>4</v>
          </cell>
          <cell r="D212">
            <v>0</v>
          </cell>
        </row>
        <row r="213">
          <cell r="A213" t="str">
            <v>109-001-003-0000</v>
          </cell>
          <cell r="B213" t="str">
            <v>Creditors for Services</v>
          </cell>
          <cell r="C213">
            <v>3</v>
          </cell>
          <cell r="D213">
            <v>0</v>
          </cell>
        </row>
        <row r="214">
          <cell r="A214" t="str">
            <v>109-002-000-0000</v>
          </cell>
          <cell r="B214" t="str">
            <v>Income Tax Deducted At Source Payable</v>
          </cell>
          <cell r="C214">
            <v>2</v>
          </cell>
          <cell r="D214">
            <v>0</v>
          </cell>
        </row>
        <row r="215">
          <cell r="A215" t="str">
            <v>109-002-001-0000</v>
          </cell>
          <cell r="B215" t="str">
            <v>Creditors Road Works Income Tax Payable</v>
          </cell>
          <cell r="C215">
            <v>3</v>
          </cell>
          <cell r="D215">
            <v>0</v>
          </cell>
        </row>
        <row r="216">
          <cell r="A216" t="str">
            <v>109-002-001-1001</v>
          </cell>
          <cell r="B216" t="str">
            <v>Aamir Builders I.Tax</v>
          </cell>
          <cell r="C216">
            <v>4</v>
          </cell>
          <cell r="D216">
            <v>0</v>
          </cell>
        </row>
        <row r="217">
          <cell r="A217" t="str">
            <v>109-002-001-1002</v>
          </cell>
          <cell r="B217" t="str">
            <v>Sadat Construction Co I.Tax</v>
          </cell>
          <cell r="C217">
            <v>4</v>
          </cell>
          <cell r="D217">
            <v>0</v>
          </cell>
        </row>
        <row r="218">
          <cell r="A218" t="str">
            <v>109-002-001-1003</v>
          </cell>
          <cell r="B218" t="str">
            <v>Concrete master I.Tax</v>
          </cell>
          <cell r="C218">
            <v>4</v>
          </cell>
          <cell r="D218">
            <v>0</v>
          </cell>
        </row>
        <row r="219">
          <cell r="A219" t="str">
            <v>109-002-001-1004</v>
          </cell>
          <cell r="B219" t="str">
            <v>Crescent Associates I. Tax</v>
          </cell>
          <cell r="C219">
            <v>4</v>
          </cell>
          <cell r="D219">
            <v>0</v>
          </cell>
        </row>
        <row r="220">
          <cell r="A220" t="str">
            <v>109-002-001-1005</v>
          </cell>
          <cell r="B220" t="str">
            <v>Dynamic enterprises I.Tax</v>
          </cell>
          <cell r="C220">
            <v>4</v>
          </cell>
          <cell r="D220">
            <v>0</v>
          </cell>
        </row>
        <row r="221">
          <cell r="A221" t="str">
            <v>109-002-001-1006</v>
          </cell>
          <cell r="B221" t="str">
            <v>Foar Engineering System I.Tax</v>
          </cell>
          <cell r="C221">
            <v>4</v>
          </cell>
          <cell r="D221">
            <v>0</v>
          </cell>
        </row>
        <row r="222">
          <cell r="A222" t="str">
            <v>109-002-001-1007</v>
          </cell>
          <cell r="B222" t="str">
            <v>FRS Associates  I.Tax</v>
          </cell>
          <cell r="C222">
            <v>4</v>
          </cell>
          <cell r="D222">
            <v>0</v>
          </cell>
        </row>
        <row r="223">
          <cell r="A223" t="str">
            <v>109-002-001-1008</v>
          </cell>
          <cell r="B223" t="str">
            <v>Haidry Construction  I.Tax</v>
          </cell>
          <cell r="C223">
            <v>4</v>
          </cell>
          <cell r="D223">
            <v>0</v>
          </cell>
        </row>
        <row r="224">
          <cell r="A224" t="str">
            <v>109-002-001-1009</v>
          </cell>
          <cell r="B224" t="str">
            <v>Karcon Pvt Ltd I .Tax</v>
          </cell>
          <cell r="C224">
            <v>4</v>
          </cell>
          <cell r="D224">
            <v>0</v>
          </cell>
        </row>
        <row r="225">
          <cell r="A225" t="str">
            <v>109-002-001-1010</v>
          </cell>
          <cell r="B225" t="str">
            <v>Massed Developers I. Tax</v>
          </cell>
          <cell r="C225">
            <v>4</v>
          </cell>
          <cell r="D225">
            <v>0</v>
          </cell>
        </row>
        <row r="226">
          <cell r="A226" t="str">
            <v>109-002-001-1011</v>
          </cell>
          <cell r="B226" t="str">
            <v>Malik Ijaz Amjad I . Tax</v>
          </cell>
          <cell r="C226">
            <v>4</v>
          </cell>
          <cell r="D226">
            <v>0</v>
          </cell>
        </row>
        <row r="227">
          <cell r="A227" t="str">
            <v>109-002-001-1012</v>
          </cell>
          <cell r="B227" t="str">
            <v>Mian Muhammad Sharif  I. Tax</v>
          </cell>
          <cell r="C227">
            <v>4</v>
          </cell>
          <cell r="D227">
            <v>0</v>
          </cell>
        </row>
        <row r="228">
          <cell r="A228" t="str">
            <v>109-002-001-1013</v>
          </cell>
          <cell r="B228" t="str">
            <v>Mian Nisar and Company I.Tax</v>
          </cell>
          <cell r="C228">
            <v>4</v>
          </cell>
          <cell r="D228">
            <v>0</v>
          </cell>
        </row>
        <row r="229">
          <cell r="A229" t="str">
            <v>109-002-001-1014</v>
          </cell>
          <cell r="B229" t="str">
            <v>Platnium Enterprises I .Tax</v>
          </cell>
          <cell r="C229">
            <v>4</v>
          </cell>
          <cell r="D229">
            <v>0</v>
          </cell>
        </row>
        <row r="230">
          <cell r="A230" t="str">
            <v>109-002-001-1015</v>
          </cell>
          <cell r="B230" t="str">
            <v>Sambu Construction I. Tax</v>
          </cell>
          <cell r="C230">
            <v>4</v>
          </cell>
          <cell r="D230">
            <v>0</v>
          </cell>
        </row>
        <row r="231">
          <cell r="A231" t="str">
            <v>109-002-001-1016</v>
          </cell>
          <cell r="B231" t="str">
            <v>Signage security system I.tax</v>
          </cell>
          <cell r="C231">
            <v>4</v>
          </cell>
          <cell r="D231">
            <v>0</v>
          </cell>
        </row>
        <row r="232">
          <cell r="A232" t="str">
            <v>109-002-001-1017</v>
          </cell>
          <cell r="B232" t="str">
            <v>Syed sultan saeed I.Tax</v>
          </cell>
          <cell r="C232">
            <v>4</v>
          </cell>
          <cell r="D232">
            <v>0</v>
          </cell>
        </row>
        <row r="233">
          <cell r="A233" t="str">
            <v>109-002-001-1018</v>
          </cell>
          <cell r="B233" t="str">
            <v>SASA International I.Tax</v>
          </cell>
          <cell r="C233">
            <v>4</v>
          </cell>
          <cell r="D233">
            <v>0</v>
          </cell>
        </row>
        <row r="234">
          <cell r="A234" t="str">
            <v>109-002-001-1019</v>
          </cell>
          <cell r="B234" t="str">
            <v>Swift Services I. Tax</v>
          </cell>
          <cell r="C234">
            <v>4</v>
          </cell>
          <cell r="D234">
            <v>0</v>
          </cell>
        </row>
        <row r="235">
          <cell r="A235" t="str">
            <v>109-002-001-1020</v>
          </cell>
          <cell r="B235" t="str">
            <v>Tyco Integrated System I. Tax</v>
          </cell>
          <cell r="C235">
            <v>4</v>
          </cell>
          <cell r="D235">
            <v>0</v>
          </cell>
        </row>
        <row r="236">
          <cell r="A236" t="str">
            <v>109-002-001-1021</v>
          </cell>
          <cell r="B236" t="str">
            <v>Nadir Construction Company I. Tax</v>
          </cell>
          <cell r="C236">
            <v>4</v>
          </cell>
          <cell r="D236">
            <v>0</v>
          </cell>
        </row>
        <row r="237">
          <cell r="A237" t="str">
            <v>109-002-001-1022</v>
          </cell>
          <cell r="B237" t="str">
            <v>Zahir Khan and Brothers I. Tax</v>
          </cell>
          <cell r="C237">
            <v>4</v>
          </cell>
          <cell r="D237">
            <v>0</v>
          </cell>
        </row>
        <row r="238">
          <cell r="A238" t="str">
            <v>109-002-001-1023</v>
          </cell>
          <cell r="B238" t="str">
            <v>Rashid Associates I.Tax</v>
          </cell>
          <cell r="C238">
            <v>4</v>
          </cell>
          <cell r="D238">
            <v>0</v>
          </cell>
        </row>
        <row r="239">
          <cell r="A239" t="str">
            <v>109-002-001-1024</v>
          </cell>
          <cell r="B239" t="str">
            <v>Science Centre I.Tax</v>
          </cell>
          <cell r="C239">
            <v>4</v>
          </cell>
          <cell r="D239">
            <v>0</v>
          </cell>
        </row>
        <row r="240">
          <cell r="A240" t="str">
            <v>109-002-001-1025</v>
          </cell>
          <cell r="B240" t="str">
            <v>Taj Muhammad Khan I.Tax</v>
          </cell>
          <cell r="C240">
            <v>4</v>
          </cell>
          <cell r="D240">
            <v>0</v>
          </cell>
        </row>
        <row r="241">
          <cell r="A241" t="str">
            <v>109-002-001-1026</v>
          </cell>
          <cell r="B241" t="str">
            <v xml:space="preserve"> Muhammad Nawaz Khan of Tala Gang I.Tax</v>
          </cell>
          <cell r="C241">
            <v>4</v>
          </cell>
          <cell r="D241">
            <v>0</v>
          </cell>
        </row>
        <row r="242">
          <cell r="A242" t="str">
            <v>109-002-001-1027</v>
          </cell>
          <cell r="B242" t="str">
            <v xml:space="preserve"> Muhammad Iftikhar Fateh Jang I.Tax</v>
          </cell>
          <cell r="C242">
            <v>4</v>
          </cell>
          <cell r="D242">
            <v>0</v>
          </cell>
        </row>
        <row r="243">
          <cell r="A243" t="str">
            <v>109-002-001-1028</v>
          </cell>
          <cell r="B243" t="str">
            <v>Fateh Muhammad Distt Chakwal I.Tax</v>
          </cell>
          <cell r="C243">
            <v>4</v>
          </cell>
          <cell r="D243">
            <v>0</v>
          </cell>
        </row>
        <row r="244">
          <cell r="A244" t="str">
            <v>109-002-001-1029</v>
          </cell>
          <cell r="B244" t="str">
            <v>Sunny Rent a Car I.Tax</v>
          </cell>
          <cell r="C244">
            <v>4</v>
          </cell>
          <cell r="D244">
            <v>0</v>
          </cell>
        </row>
        <row r="245">
          <cell r="A245" t="str">
            <v>109-002-001-1030</v>
          </cell>
          <cell r="B245" t="str">
            <v>M/S Inter City Traders I.Tax</v>
          </cell>
          <cell r="C245">
            <v>4</v>
          </cell>
          <cell r="D245">
            <v>0</v>
          </cell>
        </row>
        <row r="246">
          <cell r="A246" t="str">
            <v>109-002-001-1031</v>
          </cell>
          <cell r="B246" t="str">
            <v>M/S Muhammad Bashir I.Tax</v>
          </cell>
          <cell r="C246">
            <v>4</v>
          </cell>
          <cell r="D246">
            <v>0</v>
          </cell>
        </row>
        <row r="247">
          <cell r="A247" t="str">
            <v>109-002-001-1032</v>
          </cell>
          <cell r="B247" t="str">
            <v>XEN Wapda I.Tax</v>
          </cell>
          <cell r="C247">
            <v>4</v>
          </cell>
          <cell r="D247">
            <v>0</v>
          </cell>
        </row>
        <row r="248">
          <cell r="A248" t="str">
            <v>109-002-001-1033</v>
          </cell>
          <cell r="B248" t="str">
            <v>M/S Techman Civil Engineering I.Tax</v>
          </cell>
          <cell r="C248">
            <v>4</v>
          </cell>
          <cell r="D248">
            <v>0</v>
          </cell>
        </row>
        <row r="249">
          <cell r="A249" t="str">
            <v>109-002-001-1034</v>
          </cell>
          <cell r="B249" t="str">
            <v>M/S Syed Guftar Shah I.Tax</v>
          </cell>
          <cell r="C249">
            <v>4</v>
          </cell>
          <cell r="D249">
            <v>0</v>
          </cell>
        </row>
        <row r="250">
          <cell r="A250" t="str">
            <v>109-002-001-1035</v>
          </cell>
          <cell r="B250" t="str">
            <v>M/S Muhammad Hussain I.Tax</v>
          </cell>
          <cell r="C250">
            <v>4</v>
          </cell>
          <cell r="D250">
            <v>0</v>
          </cell>
        </row>
        <row r="251">
          <cell r="A251" t="str">
            <v>109-002-001-1036</v>
          </cell>
          <cell r="B251" t="str">
            <v>M/S Muhammad Aamir Khan I.Tax</v>
          </cell>
          <cell r="C251">
            <v>4</v>
          </cell>
          <cell r="D251">
            <v>0</v>
          </cell>
        </row>
        <row r="252">
          <cell r="A252" t="str">
            <v>109-002-001-1037</v>
          </cell>
          <cell r="B252" t="str">
            <v>M/S Muhammad Zaib I.Tax</v>
          </cell>
          <cell r="C252">
            <v>4</v>
          </cell>
          <cell r="D252">
            <v>0</v>
          </cell>
        </row>
        <row r="253">
          <cell r="A253" t="str">
            <v>109-002-001-1039</v>
          </cell>
          <cell r="B253" t="str">
            <v>Naib Subedar Muh Aslam I.Tax</v>
          </cell>
          <cell r="C253">
            <v>4</v>
          </cell>
          <cell r="D253">
            <v>0</v>
          </cell>
        </row>
        <row r="254">
          <cell r="A254" t="str">
            <v>109-002-001-1040</v>
          </cell>
          <cell r="B254" t="str">
            <v>Hav Steno Nisar Ahmad I.Tax</v>
          </cell>
          <cell r="C254">
            <v>4</v>
          </cell>
          <cell r="D254">
            <v>0</v>
          </cell>
        </row>
        <row r="255">
          <cell r="A255" t="str">
            <v>109-002-001-1041</v>
          </cell>
          <cell r="B255" t="str">
            <v>PTCL Contractors I.Tax</v>
          </cell>
          <cell r="C255">
            <v>4</v>
          </cell>
          <cell r="D255">
            <v>0</v>
          </cell>
        </row>
        <row r="256">
          <cell r="A256" t="str">
            <v>109-002-001-1043</v>
          </cell>
          <cell r="B256" t="str">
            <v>Project KRAC Ware house Mandra I.Tax</v>
          </cell>
          <cell r="C256">
            <v>4</v>
          </cell>
          <cell r="D256">
            <v>0</v>
          </cell>
        </row>
        <row r="257">
          <cell r="A257" t="str">
            <v>109-002-001-1045</v>
          </cell>
          <cell r="B257" t="str">
            <v>M/S Highway contractors I.Tax</v>
          </cell>
          <cell r="C257">
            <v>4</v>
          </cell>
          <cell r="D257">
            <v>0</v>
          </cell>
        </row>
        <row r="258">
          <cell r="A258" t="str">
            <v>109-002-001-1046</v>
          </cell>
          <cell r="B258" t="str">
            <v>M/S Muhammad Azam &amp; Brothers &amp; I.Tax</v>
          </cell>
          <cell r="C258">
            <v>4</v>
          </cell>
          <cell r="D258">
            <v>0</v>
          </cell>
        </row>
        <row r="259">
          <cell r="A259" t="str">
            <v>109-002-001-1047</v>
          </cell>
          <cell r="B259" t="str">
            <v>M/S MRRP I.Tax</v>
          </cell>
          <cell r="C259">
            <v>4</v>
          </cell>
          <cell r="D259">
            <v>0</v>
          </cell>
        </row>
        <row r="260">
          <cell r="A260" t="str">
            <v>109-002-001-1048</v>
          </cell>
          <cell r="B260" t="str">
            <v>M/S Technoline I.Tax</v>
          </cell>
          <cell r="C260">
            <v>4</v>
          </cell>
          <cell r="D260">
            <v>0</v>
          </cell>
        </row>
        <row r="261">
          <cell r="A261" t="str">
            <v>109-002-001-1049</v>
          </cell>
          <cell r="B261" t="str">
            <v>M/S J&amp; W I.Tax</v>
          </cell>
          <cell r="C261">
            <v>4</v>
          </cell>
          <cell r="D261">
            <v>0</v>
          </cell>
        </row>
        <row r="262">
          <cell r="A262" t="str">
            <v>109-002-001-1050</v>
          </cell>
          <cell r="B262" t="str">
            <v>M/S Asad Rameez I.Tax</v>
          </cell>
          <cell r="C262">
            <v>4</v>
          </cell>
          <cell r="D262">
            <v>0</v>
          </cell>
        </row>
        <row r="263">
          <cell r="A263" t="str">
            <v>109-002-001-1051</v>
          </cell>
          <cell r="B263" t="str">
            <v>M/S Saleem &amp; Brothers I.tax</v>
          </cell>
          <cell r="C263">
            <v>4</v>
          </cell>
          <cell r="D263">
            <v>0</v>
          </cell>
        </row>
        <row r="264">
          <cell r="A264" t="str">
            <v>109-002-001-1052</v>
          </cell>
          <cell r="B264" t="str">
            <v>M/S Syed Associates I.tax</v>
          </cell>
          <cell r="C264">
            <v>4</v>
          </cell>
          <cell r="D264">
            <v>0</v>
          </cell>
        </row>
        <row r="265">
          <cell r="A265" t="str">
            <v>109-002-001-1054</v>
          </cell>
          <cell r="B265" t="str">
            <v>M/S Tripple M Enterprises I.Tax</v>
          </cell>
          <cell r="C265">
            <v>4</v>
          </cell>
          <cell r="D265">
            <v>0</v>
          </cell>
        </row>
        <row r="266">
          <cell r="A266" t="str">
            <v>109-002-001-1055</v>
          </cell>
          <cell r="B266" t="str">
            <v>M/S Swayra Enterprises I.Tax</v>
          </cell>
          <cell r="C266">
            <v>4</v>
          </cell>
          <cell r="D266">
            <v>0</v>
          </cell>
        </row>
        <row r="267">
          <cell r="A267" t="str">
            <v>109-002-001-1056</v>
          </cell>
          <cell r="B267" t="str">
            <v>M/S Foar Road Marking I.Tax</v>
          </cell>
          <cell r="C267">
            <v>4</v>
          </cell>
          <cell r="D267">
            <v>0</v>
          </cell>
        </row>
        <row r="268">
          <cell r="A268" t="str">
            <v>109-002-001-1058</v>
          </cell>
          <cell r="B268" t="str">
            <v>M/S Javed Mumtaz (Pvt) Ltd I.tax</v>
          </cell>
          <cell r="C268">
            <v>4</v>
          </cell>
          <cell r="D268">
            <v>0</v>
          </cell>
        </row>
        <row r="269">
          <cell r="A269" t="str">
            <v>109-002-001-1059</v>
          </cell>
          <cell r="B269" t="str">
            <v>M/S Jabco (Pvt) Ltd I.tax</v>
          </cell>
          <cell r="C269">
            <v>4</v>
          </cell>
          <cell r="D269">
            <v>0</v>
          </cell>
        </row>
        <row r="270">
          <cell r="A270" t="str">
            <v>109-002-001-1060</v>
          </cell>
          <cell r="B270" t="str">
            <v>M/S Imtiaz Shahid &amp; Co I.tax</v>
          </cell>
          <cell r="C270">
            <v>4</v>
          </cell>
          <cell r="D270">
            <v>0</v>
          </cell>
        </row>
        <row r="271">
          <cell r="A271" t="str">
            <v>109-002-001-1061</v>
          </cell>
          <cell r="B271" t="str">
            <v>M/S ATM Builders I.tax</v>
          </cell>
          <cell r="C271">
            <v>4</v>
          </cell>
          <cell r="D271">
            <v>0</v>
          </cell>
        </row>
        <row r="272">
          <cell r="A272" t="str">
            <v>109-002-001-1062</v>
          </cell>
          <cell r="B272" t="str">
            <v>M/S Jabco (Pvt) Ltd I.tax</v>
          </cell>
          <cell r="C272">
            <v>4</v>
          </cell>
          <cell r="D272">
            <v>0</v>
          </cell>
        </row>
        <row r="273">
          <cell r="A273" t="str">
            <v>109-002-001-1064</v>
          </cell>
          <cell r="B273" t="str">
            <v>M/S Sajjad (Pvt) ltd I.tax</v>
          </cell>
          <cell r="C273">
            <v>4</v>
          </cell>
          <cell r="D273">
            <v>0</v>
          </cell>
        </row>
        <row r="274">
          <cell r="A274" t="str">
            <v>109-002-001-1065</v>
          </cell>
          <cell r="B274" t="str">
            <v>M/S Sky Engineers I.Tax</v>
          </cell>
          <cell r="C274">
            <v>4</v>
          </cell>
          <cell r="D274">
            <v>0</v>
          </cell>
        </row>
        <row r="275">
          <cell r="A275" t="str">
            <v>109-002-001-1066</v>
          </cell>
          <cell r="B275" t="str">
            <v>M/S Eastern Highway I.Tax</v>
          </cell>
          <cell r="C275">
            <v>4</v>
          </cell>
          <cell r="D275">
            <v>0</v>
          </cell>
        </row>
        <row r="276">
          <cell r="A276" t="str">
            <v>109-002-001-1067</v>
          </cell>
          <cell r="B276" t="str">
            <v>M/S Yar Muhammad Khattak I.Tax</v>
          </cell>
          <cell r="C276">
            <v>4</v>
          </cell>
          <cell r="D276">
            <v>0</v>
          </cell>
        </row>
        <row r="277">
          <cell r="A277" t="str">
            <v>109-002-001-1069</v>
          </cell>
          <cell r="B277" t="str">
            <v>M/S Sadaat Enterprises I.Tax</v>
          </cell>
          <cell r="C277">
            <v>4</v>
          </cell>
          <cell r="D277">
            <v>0</v>
          </cell>
        </row>
        <row r="278">
          <cell r="A278" t="str">
            <v>109-002-001-1070</v>
          </cell>
          <cell r="B278" t="str">
            <v>M/S Shad Khan &amp; Sons I.Tax</v>
          </cell>
          <cell r="C278">
            <v>4</v>
          </cell>
          <cell r="D278">
            <v>0</v>
          </cell>
        </row>
        <row r="279">
          <cell r="A279" t="str">
            <v>109-002-001-1071</v>
          </cell>
          <cell r="B279" t="str">
            <v>M/S Amir Iqbal &amp; Co. I.Tax</v>
          </cell>
          <cell r="C279">
            <v>4</v>
          </cell>
          <cell r="D279">
            <v>0</v>
          </cell>
        </row>
        <row r="280">
          <cell r="A280" t="str">
            <v>109-002-001-1072</v>
          </cell>
          <cell r="B280" t="str">
            <v>M/S Ascent Associates I.Tax</v>
          </cell>
          <cell r="C280">
            <v>4</v>
          </cell>
          <cell r="D280">
            <v>0</v>
          </cell>
        </row>
        <row r="281">
          <cell r="A281" t="str">
            <v>109-002-001-1073</v>
          </cell>
          <cell r="B281" t="str">
            <v>M/S Omer Farooq Co. I.Tax</v>
          </cell>
          <cell r="C281">
            <v>4</v>
          </cell>
          <cell r="D281">
            <v>0</v>
          </cell>
        </row>
        <row r="282">
          <cell r="A282" t="str">
            <v>109-002-002-0000</v>
          </cell>
          <cell r="B282" t="str">
            <v>Creditors Construction Material Income Tax Payable</v>
          </cell>
          <cell r="C282">
            <v>3</v>
          </cell>
          <cell r="D282">
            <v>0</v>
          </cell>
        </row>
        <row r="283">
          <cell r="A283" t="str">
            <v>109-002-002-1001</v>
          </cell>
          <cell r="B283" t="str">
            <v>Al- maqsoom Traders I. Tax</v>
          </cell>
          <cell r="C283">
            <v>4</v>
          </cell>
          <cell r="D283">
            <v>0</v>
          </cell>
        </row>
        <row r="284">
          <cell r="A284" t="str">
            <v>109-002-002-1002</v>
          </cell>
          <cell r="B284" t="str">
            <v>Adnan Stationery I. Tax</v>
          </cell>
          <cell r="C284">
            <v>4</v>
          </cell>
          <cell r="D284">
            <v>0</v>
          </cell>
        </row>
        <row r="285">
          <cell r="A285" t="str">
            <v>109-002-002-1003</v>
          </cell>
          <cell r="B285" t="str">
            <v>All Pakistan machinery I. Tax</v>
          </cell>
          <cell r="C285">
            <v>4</v>
          </cell>
          <cell r="D285">
            <v>0</v>
          </cell>
        </row>
        <row r="286">
          <cell r="A286" t="str">
            <v>109-002-002-1004</v>
          </cell>
          <cell r="B286" t="str">
            <v>Closed Awais Aluminium I. Tax</v>
          </cell>
          <cell r="C286">
            <v>4</v>
          </cell>
          <cell r="D286">
            <v>0</v>
          </cell>
        </row>
        <row r="287">
          <cell r="A287" t="str">
            <v>109-002-002-1005</v>
          </cell>
          <cell r="B287" t="str">
            <v>Asghar ali Shah I. Tax</v>
          </cell>
          <cell r="C287">
            <v>4</v>
          </cell>
          <cell r="D287">
            <v>0</v>
          </cell>
        </row>
        <row r="288">
          <cell r="A288" t="str">
            <v>109-002-002-1006</v>
          </cell>
          <cell r="B288" t="str">
            <v>Spinzer Ashain Rwp I. Tax</v>
          </cell>
          <cell r="C288">
            <v>4</v>
          </cell>
          <cell r="D288">
            <v>0</v>
          </cell>
        </row>
        <row r="289">
          <cell r="A289" t="str">
            <v>109-002-002-1007</v>
          </cell>
          <cell r="B289" t="str">
            <v>Syed Shujahat Hussian I. Tax</v>
          </cell>
          <cell r="C289">
            <v>4</v>
          </cell>
          <cell r="D289">
            <v>0</v>
          </cell>
        </row>
        <row r="290">
          <cell r="A290" t="str">
            <v>109-002-002-1008</v>
          </cell>
          <cell r="B290" t="str">
            <v>Drawing &amp; survey I. Tax</v>
          </cell>
          <cell r="C290">
            <v>4</v>
          </cell>
          <cell r="D290">
            <v>0</v>
          </cell>
        </row>
        <row r="291">
          <cell r="A291" t="str">
            <v>109-002-002-1009</v>
          </cell>
          <cell r="B291" t="str">
            <v>Flash Technologies I. Tax</v>
          </cell>
          <cell r="C291">
            <v>4</v>
          </cell>
          <cell r="D291">
            <v>0</v>
          </cell>
        </row>
        <row r="292">
          <cell r="A292" t="str">
            <v>109-002-002-1010</v>
          </cell>
          <cell r="B292" t="str">
            <v>Gul Jan I. Tax</v>
          </cell>
          <cell r="C292">
            <v>4</v>
          </cell>
          <cell r="D292">
            <v>0</v>
          </cell>
        </row>
        <row r="293">
          <cell r="A293" t="str">
            <v>109-002-002-1011</v>
          </cell>
          <cell r="B293" t="str">
            <v>Hayat ullah &amp; sons I. Tax</v>
          </cell>
          <cell r="C293">
            <v>4</v>
          </cell>
          <cell r="D293">
            <v>0</v>
          </cell>
        </row>
        <row r="294">
          <cell r="A294" t="str">
            <v>109-002-002-1012</v>
          </cell>
          <cell r="B294" t="str">
            <v>Hanif Agencies I. Tax</v>
          </cell>
          <cell r="C294">
            <v>4</v>
          </cell>
          <cell r="D294">
            <v>0</v>
          </cell>
        </row>
        <row r="295">
          <cell r="A295" t="str">
            <v>109-002-002-1013</v>
          </cell>
          <cell r="B295" t="str">
            <v>Islamabad Auto I. Tax</v>
          </cell>
          <cell r="C295">
            <v>4</v>
          </cell>
          <cell r="D295">
            <v>0</v>
          </cell>
        </row>
        <row r="296">
          <cell r="A296" t="str">
            <v>109-002-002-1014</v>
          </cell>
          <cell r="B296" t="str">
            <v>Junaid Autos I. Tax</v>
          </cell>
          <cell r="C296">
            <v>4</v>
          </cell>
          <cell r="D296">
            <v>0</v>
          </cell>
        </row>
        <row r="297">
          <cell r="A297" t="str">
            <v>109-002-002-1015</v>
          </cell>
          <cell r="B297" t="str">
            <v>Khan Badshah I. Tax</v>
          </cell>
          <cell r="C297">
            <v>4</v>
          </cell>
          <cell r="D297">
            <v>0</v>
          </cell>
        </row>
        <row r="298">
          <cell r="A298" t="str">
            <v>109-002-002-1016</v>
          </cell>
          <cell r="B298" t="str">
            <v>Mir Brothers I. Tax</v>
          </cell>
          <cell r="C298">
            <v>4</v>
          </cell>
          <cell r="D298">
            <v>0</v>
          </cell>
        </row>
        <row r="299">
          <cell r="A299" t="str">
            <v>109-002-002-1017</v>
          </cell>
          <cell r="B299" t="str">
            <v>Mirza old engineering stores I. Tax</v>
          </cell>
          <cell r="C299">
            <v>4</v>
          </cell>
          <cell r="D299">
            <v>0</v>
          </cell>
        </row>
        <row r="300">
          <cell r="A300" t="str">
            <v>109-002-002-1018</v>
          </cell>
          <cell r="B300" t="str">
            <v>Muh shah &amp; sons I. Tax</v>
          </cell>
          <cell r="C300">
            <v>4</v>
          </cell>
          <cell r="D300">
            <v>0</v>
          </cell>
        </row>
        <row r="301">
          <cell r="A301" t="str">
            <v>109-002-002-1019</v>
          </cell>
          <cell r="B301" t="str">
            <v>Margallah Stone Crusher I.Tax</v>
          </cell>
          <cell r="C301">
            <v>4</v>
          </cell>
          <cell r="D301">
            <v>0</v>
          </cell>
        </row>
        <row r="302">
          <cell r="A302" t="str">
            <v>109-002-002-1020</v>
          </cell>
          <cell r="B302" t="str">
            <v>Minhattan Pahnta (pvt) Ltd I. Tax</v>
          </cell>
          <cell r="C302">
            <v>4</v>
          </cell>
          <cell r="D302">
            <v>0</v>
          </cell>
        </row>
        <row r="303">
          <cell r="A303" t="str">
            <v>109-002-002-1021</v>
          </cell>
          <cell r="B303" t="str">
            <v>Naimat Agencies I. Tax</v>
          </cell>
          <cell r="C303">
            <v>4</v>
          </cell>
          <cell r="D303">
            <v>0</v>
          </cell>
        </row>
        <row r="304">
          <cell r="A304" t="str">
            <v>109-002-002-1022</v>
          </cell>
          <cell r="B304" t="str">
            <v>Potohar Autos I. Tax</v>
          </cell>
          <cell r="C304">
            <v>4</v>
          </cell>
          <cell r="D304">
            <v>0</v>
          </cell>
        </row>
        <row r="305">
          <cell r="A305" t="str">
            <v>109-002-002-1023</v>
          </cell>
          <cell r="B305" t="str">
            <v>Petronet Pakistan I. Tax</v>
          </cell>
          <cell r="C305">
            <v>4</v>
          </cell>
          <cell r="D305">
            <v>0</v>
          </cell>
        </row>
        <row r="306">
          <cell r="A306" t="str">
            <v>109-002-002-1024</v>
          </cell>
          <cell r="B306" t="str">
            <v>Photohar Stone Crusher I. Tax</v>
          </cell>
          <cell r="C306">
            <v>4</v>
          </cell>
          <cell r="D306">
            <v>0</v>
          </cell>
        </row>
        <row r="307">
          <cell r="A307" t="str">
            <v>109-002-002-1025</v>
          </cell>
          <cell r="B307" t="str">
            <v>Malik Steel Works I.Tax</v>
          </cell>
          <cell r="C307">
            <v>4</v>
          </cell>
          <cell r="D307">
            <v>0</v>
          </cell>
        </row>
        <row r="308">
          <cell r="A308" t="str">
            <v>109-002-002-1026</v>
          </cell>
          <cell r="B308" t="str">
            <v>S.A.S Metals I. Tax</v>
          </cell>
          <cell r="C308">
            <v>4</v>
          </cell>
          <cell r="D308">
            <v>0</v>
          </cell>
        </row>
        <row r="309">
          <cell r="A309" t="str">
            <v>109-002-002-1027</v>
          </cell>
          <cell r="B309" t="str">
            <v>Sangjani Asphalt Plant I.Tax</v>
          </cell>
          <cell r="C309">
            <v>4</v>
          </cell>
          <cell r="D309">
            <v>0</v>
          </cell>
        </row>
        <row r="310">
          <cell r="A310" t="str">
            <v>109-002-002-1028</v>
          </cell>
          <cell r="B310" t="str">
            <v>Zia Auctioner I.Tax</v>
          </cell>
          <cell r="C310">
            <v>4</v>
          </cell>
          <cell r="D310">
            <v>0</v>
          </cell>
        </row>
        <row r="311">
          <cell r="A311" t="str">
            <v>109-002-002-1029</v>
          </cell>
          <cell r="B311" t="str">
            <v>Pak Steel I.Tax</v>
          </cell>
          <cell r="C311">
            <v>4</v>
          </cell>
          <cell r="D311">
            <v>0</v>
          </cell>
        </row>
        <row r="312">
          <cell r="A312" t="str">
            <v>109-002-002-1030</v>
          </cell>
          <cell r="B312" t="str">
            <v>Printing Press CMTI  Inc.Tax</v>
          </cell>
          <cell r="C312">
            <v>4</v>
          </cell>
          <cell r="D312">
            <v>0</v>
          </cell>
        </row>
        <row r="313">
          <cell r="A313" t="str">
            <v>109-002-002-1031</v>
          </cell>
          <cell r="B313" t="str">
            <v>Muhammad Zulfiqar I.Tax</v>
          </cell>
          <cell r="C313">
            <v>4</v>
          </cell>
          <cell r="D313">
            <v>0</v>
          </cell>
        </row>
        <row r="314">
          <cell r="A314" t="str">
            <v>109-002-002-1032</v>
          </cell>
          <cell r="B314" t="str">
            <v>Bismillah Kahn I.Tax</v>
          </cell>
          <cell r="C314">
            <v>4</v>
          </cell>
          <cell r="D314">
            <v>0</v>
          </cell>
        </row>
        <row r="315">
          <cell r="A315" t="str">
            <v>109-002-002-1033</v>
          </cell>
          <cell r="B315" t="str">
            <v>Executive Engineering Machinery I.Tax</v>
          </cell>
          <cell r="C315">
            <v>4</v>
          </cell>
          <cell r="D315">
            <v>0</v>
          </cell>
        </row>
        <row r="316">
          <cell r="A316" t="str">
            <v>109-002-002-1034</v>
          </cell>
          <cell r="B316" t="str">
            <v>Royal Scientific Store I.Tax</v>
          </cell>
          <cell r="C316">
            <v>4</v>
          </cell>
          <cell r="D316">
            <v>0</v>
          </cell>
        </row>
        <row r="317">
          <cell r="A317" t="str">
            <v>109-002-002-1035</v>
          </cell>
          <cell r="B317" t="str">
            <v>Nationall Scientific Store. I .Tax</v>
          </cell>
          <cell r="C317">
            <v>4</v>
          </cell>
          <cell r="D317">
            <v>0</v>
          </cell>
        </row>
        <row r="318">
          <cell r="A318" t="str">
            <v>109-002-002-1036</v>
          </cell>
          <cell r="B318" t="str">
            <v>M/S Qazi Ghee I.Tax</v>
          </cell>
          <cell r="C318">
            <v>4</v>
          </cell>
          <cell r="D318">
            <v>0</v>
          </cell>
        </row>
        <row r="319">
          <cell r="A319" t="str">
            <v>109-002-002-1037</v>
          </cell>
          <cell r="B319" t="str">
            <v>M/S Muhammad Latif I.Tax</v>
          </cell>
          <cell r="C319">
            <v>4</v>
          </cell>
          <cell r="D319">
            <v>0</v>
          </cell>
        </row>
        <row r="320">
          <cell r="A320" t="str">
            <v>109-002-002-1038</v>
          </cell>
          <cell r="B320" t="str">
            <v>M/S Zafer Ullah</v>
          </cell>
          <cell r="C320">
            <v>4</v>
          </cell>
          <cell r="D320">
            <v>0</v>
          </cell>
        </row>
        <row r="321">
          <cell r="A321" t="str">
            <v>109-002-002-1039</v>
          </cell>
          <cell r="B321" t="str">
            <v>M/S Spinzer I.Tax</v>
          </cell>
          <cell r="C321">
            <v>4</v>
          </cell>
          <cell r="D321">
            <v>0</v>
          </cell>
        </row>
        <row r="322">
          <cell r="A322" t="str">
            <v>109-002-002-1040</v>
          </cell>
          <cell r="B322" t="str">
            <v>M/S Ali Associates I.Tax</v>
          </cell>
          <cell r="C322">
            <v>4</v>
          </cell>
          <cell r="D322">
            <v>0</v>
          </cell>
        </row>
        <row r="323">
          <cell r="A323" t="str">
            <v>109-002-002-1041</v>
          </cell>
          <cell r="B323" t="str">
            <v>M/S Muh Yousaf I.Tax</v>
          </cell>
          <cell r="C323">
            <v>4</v>
          </cell>
          <cell r="D323">
            <v>0</v>
          </cell>
        </row>
        <row r="324">
          <cell r="A324" t="str">
            <v>109-002-002-1042</v>
          </cell>
          <cell r="B324" t="str">
            <v>M/S Ali Khan I.Tax</v>
          </cell>
          <cell r="C324">
            <v>4</v>
          </cell>
          <cell r="D324">
            <v>0</v>
          </cell>
        </row>
        <row r="325">
          <cell r="A325" t="str">
            <v>109-002-002-1044</v>
          </cell>
          <cell r="B325" t="str">
            <v>M/S Super Punjab Tents I.Tax</v>
          </cell>
          <cell r="C325">
            <v>4</v>
          </cell>
          <cell r="D325">
            <v>0</v>
          </cell>
        </row>
        <row r="326">
          <cell r="A326" t="str">
            <v>109-002-002-1045</v>
          </cell>
          <cell r="B326" t="str">
            <v>M/S Ahmed Auots.I.Tax</v>
          </cell>
          <cell r="C326">
            <v>4</v>
          </cell>
          <cell r="D326">
            <v>0</v>
          </cell>
        </row>
        <row r="327">
          <cell r="A327" t="str">
            <v>109-002-002-1046</v>
          </cell>
          <cell r="B327" t="str">
            <v>M/S Akash Builders.I.Tax</v>
          </cell>
          <cell r="C327">
            <v>4</v>
          </cell>
          <cell r="D327">
            <v>0</v>
          </cell>
        </row>
        <row r="328">
          <cell r="A328" t="str">
            <v>109-002-002-1047</v>
          </cell>
          <cell r="B328" t="str">
            <v>M/S Muneeb Computers I.Tax</v>
          </cell>
          <cell r="C328">
            <v>4</v>
          </cell>
          <cell r="D328">
            <v>0</v>
          </cell>
        </row>
        <row r="329">
          <cell r="A329" t="str">
            <v>109-002-002-1048</v>
          </cell>
          <cell r="B329" t="str">
            <v>M/S Mughal Supersave I.Tax</v>
          </cell>
          <cell r="C329">
            <v>4</v>
          </cell>
          <cell r="D329">
            <v>0</v>
          </cell>
        </row>
        <row r="330">
          <cell r="A330" t="str">
            <v>109-002-002-1049</v>
          </cell>
          <cell r="B330" t="str">
            <v>M/S Al-Madina Engineering Works I.Tax</v>
          </cell>
          <cell r="C330">
            <v>4</v>
          </cell>
          <cell r="D330">
            <v>0</v>
          </cell>
        </row>
        <row r="331">
          <cell r="A331" t="str">
            <v>109-002-002-1050</v>
          </cell>
          <cell r="B331" t="str">
            <v>M/S Salahuddin Diesel Service I.Tax</v>
          </cell>
          <cell r="C331">
            <v>4</v>
          </cell>
          <cell r="D331">
            <v>0</v>
          </cell>
        </row>
        <row r="332">
          <cell r="A332" t="str">
            <v>109-002-002-1051</v>
          </cell>
          <cell r="B332" t="str">
            <v>M/S Toyota Centre I.Tax</v>
          </cell>
          <cell r="C332">
            <v>4</v>
          </cell>
          <cell r="D332">
            <v>0</v>
          </cell>
        </row>
        <row r="333">
          <cell r="A333" t="str">
            <v>109-002-002-1052</v>
          </cell>
          <cell r="B333" t="str">
            <v>M/S Kamboh Engineering Intl I.Tax</v>
          </cell>
          <cell r="C333">
            <v>4</v>
          </cell>
          <cell r="D333">
            <v>0</v>
          </cell>
        </row>
        <row r="334">
          <cell r="A334" t="str">
            <v>109-002-002-1053</v>
          </cell>
          <cell r="B334" t="str">
            <v>M/S H &amp; M Engineering Works I.Tax</v>
          </cell>
          <cell r="C334">
            <v>4</v>
          </cell>
          <cell r="D334">
            <v>0</v>
          </cell>
        </row>
        <row r="335">
          <cell r="A335" t="str">
            <v>109-002-002-1054</v>
          </cell>
          <cell r="B335" t="str">
            <v>M/S A &amp; A Enterprises I.Tax</v>
          </cell>
          <cell r="C335">
            <v>4</v>
          </cell>
          <cell r="D335">
            <v>0</v>
          </cell>
        </row>
        <row r="336">
          <cell r="A336" t="str">
            <v>109-002-002-1055</v>
          </cell>
          <cell r="B336" t="str">
            <v>M/S Haq Char Yaar I.tax</v>
          </cell>
          <cell r="C336">
            <v>4</v>
          </cell>
          <cell r="D336">
            <v>0</v>
          </cell>
        </row>
        <row r="337">
          <cell r="A337" t="str">
            <v>109-002-002-1056</v>
          </cell>
          <cell r="B337" t="str">
            <v>M/S Friends Associates I.tax</v>
          </cell>
          <cell r="C337">
            <v>4</v>
          </cell>
          <cell r="D337">
            <v>0</v>
          </cell>
        </row>
        <row r="338">
          <cell r="A338" t="str">
            <v>109-002-002-1057</v>
          </cell>
          <cell r="B338" t="str">
            <v>M/S Abdul Khaliq Khan I.Tax</v>
          </cell>
          <cell r="C338">
            <v>4</v>
          </cell>
          <cell r="D338">
            <v>0</v>
          </cell>
        </row>
        <row r="339">
          <cell r="A339" t="str">
            <v>109-002-002-1058</v>
          </cell>
          <cell r="B339" t="str">
            <v>M/S Al-Ghosia I.Tax</v>
          </cell>
          <cell r="C339">
            <v>4</v>
          </cell>
          <cell r="D339">
            <v>0</v>
          </cell>
        </row>
        <row r="340">
          <cell r="A340" t="str">
            <v>109-002-002-1059</v>
          </cell>
          <cell r="B340" t="str">
            <v>M/S Wasim Stationers I.tax</v>
          </cell>
          <cell r="C340">
            <v>4</v>
          </cell>
          <cell r="D340">
            <v>0</v>
          </cell>
        </row>
        <row r="341">
          <cell r="A341" t="str">
            <v>109-002-002-1060</v>
          </cell>
          <cell r="B341" t="str">
            <v>M/S Sarfraz  Khan I.tax</v>
          </cell>
          <cell r="C341">
            <v>4</v>
          </cell>
          <cell r="D341">
            <v>0</v>
          </cell>
        </row>
        <row r="342">
          <cell r="A342" t="str">
            <v>109-002-002-1061</v>
          </cell>
          <cell r="B342" t="str">
            <v>M/S Spinzer I.Tax</v>
          </cell>
          <cell r="C342">
            <v>4</v>
          </cell>
          <cell r="D342">
            <v>0</v>
          </cell>
        </row>
        <row r="343">
          <cell r="A343" t="str">
            <v>109-002-002-1062</v>
          </cell>
          <cell r="B343" t="str">
            <v>M/S Maj (R) Nisar I.Tax</v>
          </cell>
          <cell r="C343">
            <v>4</v>
          </cell>
          <cell r="D343">
            <v>0</v>
          </cell>
        </row>
        <row r="344">
          <cell r="A344" t="str">
            <v>109-002-002-1063</v>
          </cell>
          <cell r="B344" t="str">
            <v>M/S Behran Khan I.tax</v>
          </cell>
          <cell r="C344">
            <v>4</v>
          </cell>
          <cell r="D344">
            <v>0</v>
          </cell>
        </row>
        <row r="345">
          <cell r="A345" t="str">
            <v>109-002-002-1064</v>
          </cell>
          <cell r="B345" t="str">
            <v>M/S Safe Co. I.Tax</v>
          </cell>
          <cell r="C345">
            <v>4</v>
          </cell>
          <cell r="D345">
            <v>0</v>
          </cell>
        </row>
        <row r="346">
          <cell r="A346" t="str">
            <v>109-002-002-1065</v>
          </cell>
          <cell r="B346" t="str">
            <v>M/S Photohar Autos .I.Tax</v>
          </cell>
          <cell r="C346">
            <v>4</v>
          </cell>
          <cell r="D346">
            <v>0</v>
          </cell>
        </row>
        <row r="347">
          <cell r="A347" t="str">
            <v>109-002-002-1066</v>
          </cell>
          <cell r="B347" t="str">
            <v>M/S Haji Muh Munir I.Tax</v>
          </cell>
          <cell r="C347">
            <v>4</v>
          </cell>
          <cell r="D347">
            <v>0</v>
          </cell>
        </row>
        <row r="348">
          <cell r="A348" t="str">
            <v>109-002-002-1067</v>
          </cell>
          <cell r="B348" t="str">
            <v>M/S Bazl ul jehood I.tax</v>
          </cell>
          <cell r="C348">
            <v>4</v>
          </cell>
          <cell r="D348">
            <v>0</v>
          </cell>
        </row>
        <row r="349">
          <cell r="A349" t="str">
            <v>109-002-002-1068</v>
          </cell>
          <cell r="B349" t="str">
            <v>M/S Regent Computers I.tax</v>
          </cell>
          <cell r="C349">
            <v>4</v>
          </cell>
          <cell r="D349">
            <v>0</v>
          </cell>
        </row>
        <row r="350">
          <cell r="A350" t="str">
            <v>109-002-002-1069</v>
          </cell>
          <cell r="B350" t="str">
            <v>M/S Abdul Razaq &amp; Co. I.tax</v>
          </cell>
          <cell r="C350">
            <v>4</v>
          </cell>
          <cell r="D350">
            <v>0</v>
          </cell>
        </row>
        <row r="351">
          <cell r="A351" t="str">
            <v>109-002-002-1070</v>
          </cell>
          <cell r="B351" t="str">
            <v>M/S Furnitures I.tax</v>
          </cell>
          <cell r="C351">
            <v>4</v>
          </cell>
          <cell r="D351">
            <v>0</v>
          </cell>
        </row>
        <row r="352">
          <cell r="A352" t="str">
            <v>109-002-002-1071</v>
          </cell>
          <cell r="B352" t="str">
            <v>M/S National Machinery Store I.tax</v>
          </cell>
          <cell r="C352">
            <v>4</v>
          </cell>
          <cell r="D352">
            <v>0</v>
          </cell>
        </row>
        <row r="353">
          <cell r="A353" t="str">
            <v>109-002-002-1072</v>
          </cell>
          <cell r="B353" t="str">
            <v>M/S Various dealers I.tax</v>
          </cell>
          <cell r="C353">
            <v>4</v>
          </cell>
          <cell r="D353">
            <v>0</v>
          </cell>
        </row>
        <row r="354">
          <cell r="A354" t="str">
            <v>109-002-002-1074</v>
          </cell>
          <cell r="B354" t="str">
            <v>M/S Juma Khan I.Tax</v>
          </cell>
          <cell r="C354">
            <v>4</v>
          </cell>
          <cell r="D354">
            <v>0</v>
          </cell>
        </row>
        <row r="355">
          <cell r="A355" t="str">
            <v>109-002-002-1075</v>
          </cell>
          <cell r="B355" t="str">
            <v>M/S Naveed Associates I.tax</v>
          </cell>
          <cell r="C355">
            <v>4</v>
          </cell>
          <cell r="D355">
            <v>0</v>
          </cell>
        </row>
        <row r="356">
          <cell r="A356" t="str">
            <v>109-002-002-1076</v>
          </cell>
          <cell r="B356" t="str">
            <v>M/S Machine Traders I.Tax</v>
          </cell>
          <cell r="C356">
            <v>4</v>
          </cell>
          <cell r="D356">
            <v>0</v>
          </cell>
        </row>
        <row r="357">
          <cell r="A357" t="str">
            <v>109-002-002-1077</v>
          </cell>
          <cell r="B357" t="str">
            <v>M/S Shahid Malik I.tax</v>
          </cell>
          <cell r="C357">
            <v>4</v>
          </cell>
          <cell r="D357">
            <v>0</v>
          </cell>
        </row>
        <row r="358">
          <cell r="A358" t="str">
            <v>109-002-002-1078</v>
          </cell>
          <cell r="B358" t="str">
            <v>M/S Haji Ice Factory I.Tax</v>
          </cell>
          <cell r="C358">
            <v>4</v>
          </cell>
          <cell r="D358">
            <v>0</v>
          </cell>
        </row>
        <row r="359">
          <cell r="A359" t="str">
            <v>109-002-002-1079</v>
          </cell>
          <cell r="B359" t="str">
            <v>M/S Safeer General Store I.Tax</v>
          </cell>
          <cell r="C359">
            <v>4</v>
          </cell>
          <cell r="D359">
            <v>0</v>
          </cell>
        </row>
        <row r="360">
          <cell r="A360" t="str">
            <v>109-002-002-1080</v>
          </cell>
          <cell r="B360" t="str">
            <v>M/S Hassan fair price I.Tax</v>
          </cell>
          <cell r="C360">
            <v>4</v>
          </cell>
          <cell r="D360">
            <v>0</v>
          </cell>
        </row>
        <row r="361">
          <cell r="A361" t="str">
            <v>109-002-002-1081</v>
          </cell>
          <cell r="B361" t="str">
            <v>Misc contractors I.Tax</v>
          </cell>
          <cell r="C361">
            <v>4</v>
          </cell>
          <cell r="D361">
            <v>0</v>
          </cell>
        </row>
        <row r="362">
          <cell r="A362" t="str">
            <v>109-002-002-1082</v>
          </cell>
          <cell r="B362" t="str">
            <v>M/S Khalil ur rehman I.tax</v>
          </cell>
          <cell r="C362">
            <v>4</v>
          </cell>
          <cell r="D362">
            <v>0</v>
          </cell>
        </row>
        <row r="363">
          <cell r="A363" t="str">
            <v>109-002-002-1083</v>
          </cell>
          <cell r="B363" t="str">
            <v>M/S Suhbat Khan I.tax</v>
          </cell>
          <cell r="C363">
            <v>4</v>
          </cell>
          <cell r="D363">
            <v>0</v>
          </cell>
        </row>
        <row r="364">
          <cell r="A364" t="str">
            <v>109-002-002-1084</v>
          </cell>
          <cell r="B364" t="str">
            <v>M/S Awais Aluminim I.Tax</v>
          </cell>
          <cell r="C364">
            <v>4</v>
          </cell>
          <cell r="D364">
            <v>0</v>
          </cell>
        </row>
        <row r="365">
          <cell r="A365" t="str">
            <v>109-002-002-1085</v>
          </cell>
          <cell r="B365" t="str">
            <v>M/S Computer House I.Tax</v>
          </cell>
          <cell r="C365">
            <v>4</v>
          </cell>
          <cell r="D365">
            <v>0</v>
          </cell>
        </row>
        <row r="366">
          <cell r="A366" t="str">
            <v>109-002-002-1086</v>
          </cell>
          <cell r="B366" t="str">
            <v>M/S Ijaz Autos I.Tax</v>
          </cell>
          <cell r="C366">
            <v>4</v>
          </cell>
          <cell r="D366">
            <v>0</v>
          </cell>
        </row>
        <row r="367">
          <cell r="A367" t="str">
            <v>109-002-002-1087</v>
          </cell>
          <cell r="B367" t="str">
            <v>M/S Latif Furnitures I.Tax</v>
          </cell>
          <cell r="C367">
            <v>4</v>
          </cell>
          <cell r="D367">
            <v>0</v>
          </cell>
        </row>
        <row r="368">
          <cell r="A368" t="str">
            <v>109-002-002-1088</v>
          </cell>
          <cell r="B368" t="str">
            <v>M/S Hameed Autos I.Tax</v>
          </cell>
          <cell r="C368">
            <v>4</v>
          </cell>
          <cell r="D368">
            <v>0</v>
          </cell>
        </row>
        <row r="369">
          <cell r="A369" t="str">
            <v>109-002-002-1089</v>
          </cell>
          <cell r="B369" t="str">
            <v>M/S Young Autos I.Tax</v>
          </cell>
          <cell r="C369">
            <v>4</v>
          </cell>
          <cell r="D369">
            <v>0</v>
          </cell>
        </row>
        <row r="370">
          <cell r="A370" t="str">
            <v>109-002-002-1091</v>
          </cell>
          <cell r="B370" t="str">
            <v>M/S 3-G Mobile Commn I.Tax</v>
          </cell>
          <cell r="C370">
            <v>4</v>
          </cell>
          <cell r="D370">
            <v>0</v>
          </cell>
        </row>
        <row r="371">
          <cell r="A371" t="str">
            <v>109-002-002-1092</v>
          </cell>
          <cell r="B371" t="str">
            <v>M/S Asad Interiors I.Tax</v>
          </cell>
          <cell r="C371">
            <v>4</v>
          </cell>
          <cell r="D371">
            <v>0</v>
          </cell>
        </row>
        <row r="372">
          <cell r="A372" t="str">
            <v>109-002-002-1093</v>
          </cell>
          <cell r="B372" t="str">
            <v>Mst Kishwar Masud Durrani I.Tax</v>
          </cell>
          <cell r="C372">
            <v>4</v>
          </cell>
          <cell r="D372">
            <v>0</v>
          </cell>
        </row>
        <row r="373">
          <cell r="A373" t="str">
            <v>109-002-002-1094</v>
          </cell>
          <cell r="B373" t="str">
            <v>M/S Karmanwal Autos I.Tax</v>
          </cell>
          <cell r="C373">
            <v>4</v>
          </cell>
          <cell r="D373">
            <v>0</v>
          </cell>
        </row>
        <row r="374">
          <cell r="A374" t="str">
            <v>109-002-002-1095</v>
          </cell>
          <cell r="B374" t="str">
            <v>M/S Infinity Motor EeeZee I.Tax</v>
          </cell>
          <cell r="C374">
            <v>4</v>
          </cell>
          <cell r="D374">
            <v>0</v>
          </cell>
        </row>
        <row r="375">
          <cell r="A375" t="str">
            <v>109-002-002-1096</v>
          </cell>
          <cell r="B375" t="str">
            <v>M/S Al-Medina (Closed) Engineering Wks I.Tax</v>
          </cell>
          <cell r="C375">
            <v>4</v>
          </cell>
          <cell r="D375">
            <v>0</v>
          </cell>
        </row>
        <row r="376">
          <cell r="A376" t="str">
            <v>109-002-002-1097</v>
          </cell>
          <cell r="B376" t="str">
            <v>M/S Al-Hafeez Denting Wks I.Tax</v>
          </cell>
          <cell r="C376">
            <v>4</v>
          </cell>
          <cell r="D376">
            <v>0</v>
          </cell>
        </row>
        <row r="377">
          <cell r="A377" t="str">
            <v>109-002-002-1098</v>
          </cell>
          <cell r="B377" t="str">
            <v>M/S Workman I.Tax</v>
          </cell>
          <cell r="C377">
            <v>4</v>
          </cell>
          <cell r="D377">
            <v>0</v>
          </cell>
        </row>
        <row r="378">
          <cell r="A378" t="str">
            <v>109-002-002-1099</v>
          </cell>
          <cell r="B378" t="str">
            <v>M/S Rawal Gasco I.Tax</v>
          </cell>
          <cell r="C378">
            <v>4</v>
          </cell>
          <cell r="D378">
            <v>0</v>
          </cell>
        </row>
        <row r="379">
          <cell r="A379" t="str">
            <v>109-002-002-1100</v>
          </cell>
          <cell r="B379" t="str">
            <v>M/S Kam Network &amp; Communication I.Tax</v>
          </cell>
          <cell r="C379">
            <v>4</v>
          </cell>
          <cell r="D379">
            <v>0</v>
          </cell>
        </row>
        <row r="380">
          <cell r="A380" t="str">
            <v>109-002-002-1101</v>
          </cell>
          <cell r="B380" t="str">
            <v>M/S Khalid Kahairy Art Studio I.Tax</v>
          </cell>
          <cell r="C380">
            <v>4</v>
          </cell>
          <cell r="D380">
            <v>0</v>
          </cell>
        </row>
        <row r="381">
          <cell r="A381" t="str">
            <v>109-002-002-1102</v>
          </cell>
          <cell r="B381" t="str">
            <v>M/S Toyota Rawal Motors I.Tax</v>
          </cell>
          <cell r="C381">
            <v>4</v>
          </cell>
          <cell r="D381">
            <v>0</v>
          </cell>
        </row>
        <row r="382">
          <cell r="A382" t="str">
            <v>109-002-002-1103</v>
          </cell>
          <cell r="B382" t="str">
            <v>M/S corner Autos I.Tax</v>
          </cell>
          <cell r="C382">
            <v>4</v>
          </cell>
          <cell r="D382">
            <v>0</v>
          </cell>
        </row>
        <row r="383">
          <cell r="A383" t="str">
            <v>109-002-002-1104</v>
          </cell>
          <cell r="B383" t="str">
            <v>M/S TO TO Workshop I.Tax</v>
          </cell>
          <cell r="C383">
            <v>4</v>
          </cell>
          <cell r="D383">
            <v>0</v>
          </cell>
        </row>
        <row r="384">
          <cell r="A384" t="str">
            <v>109-002-002-1105</v>
          </cell>
          <cell r="B384" t="str">
            <v>M/S FRS Associates I.Tax</v>
          </cell>
          <cell r="C384">
            <v>4</v>
          </cell>
          <cell r="D384">
            <v>0</v>
          </cell>
        </row>
        <row r="385">
          <cell r="A385" t="str">
            <v>109-002-002-1106</v>
          </cell>
          <cell r="B385" t="str">
            <v>M/S Adnan Sanitary I.Tax</v>
          </cell>
          <cell r="C385">
            <v>4</v>
          </cell>
          <cell r="D385">
            <v>0</v>
          </cell>
        </row>
        <row r="386">
          <cell r="A386" t="str">
            <v>109-002-002-1107</v>
          </cell>
          <cell r="B386" t="str">
            <v>M/S HB Computers I.Tax</v>
          </cell>
          <cell r="C386">
            <v>4</v>
          </cell>
          <cell r="D386">
            <v>0</v>
          </cell>
        </row>
        <row r="387">
          <cell r="A387" t="str">
            <v>109-002-002-1108</v>
          </cell>
          <cell r="B387" t="str">
            <v>M/S Aamir Brother Hydro I.Tax</v>
          </cell>
          <cell r="C387">
            <v>4</v>
          </cell>
          <cell r="D387">
            <v>0</v>
          </cell>
        </row>
        <row r="388">
          <cell r="A388" t="str">
            <v>109-002-002-1109</v>
          </cell>
          <cell r="B388" t="str">
            <v>M/S Super Army &amp; Police Store I.Tax</v>
          </cell>
          <cell r="C388">
            <v>4</v>
          </cell>
          <cell r="D388">
            <v>0</v>
          </cell>
        </row>
        <row r="389">
          <cell r="A389" t="str">
            <v>109-002-002-1110</v>
          </cell>
          <cell r="B389" t="str">
            <v>M/S Khawaja Muhammad &amp; Co. I.Tax</v>
          </cell>
          <cell r="C389">
            <v>4</v>
          </cell>
          <cell r="D389">
            <v>0</v>
          </cell>
        </row>
        <row r="390">
          <cell r="A390" t="str">
            <v>109-002-002-1111</v>
          </cell>
          <cell r="B390" t="str">
            <v>M/S Muhammad Shahzad Jangla I.Tax</v>
          </cell>
          <cell r="C390">
            <v>4</v>
          </cell>
          <cell r="D390">
            <v>0</v>
          </cell>
        </row>
        <row r="391">
          <cell r="A391" t="str">
            <v>109-002-002-1112</v>
          </cell>
          <cell r="B391" t="str">
            <v>M/S Bismillah Engg Works I.tax</v>
          </cell>
          <cell r="C391">
            <v>4</v>
          </cell>
          <cell r="D391">
            <v>0</v>
          </cell>
        </row>
        <row r="392">
          <cell r="A392" t="str">
            <v>109-002-002-1113</v>
          </cell>
          <cell r="B392" t="str">
            <v>M/S Universal Autos I.Tax</v>
          </cell>
          <cell r="C392">
            <v>4</v>
          </cell>
          <cell r="D392">
            <v>0</v>
          </cell>
        </row>
        <row r="393">
          <cell r="A393" t="str">
            <v>109-002-002-1114</v>
          </cell>
          <cell r="B393" t="str">
            <v>M/S Decent Furniture I.Tax</v>
          </cell>
          <cell r="C393">
            <v>4</v>
          </cell>
          <cell r="D393">
            <v>0</v>
          </cell>
        </row>
        <row r="394">
          <cell r="A394" t="str">
            <v>109-002-002-1115</v>
          </cell>
          <cell r="B394" t="str">
            <v>M/S Star associates I.tax</v>
          </cell>
          <cell r="C394">
            <v>4</v>
          </cell>
          <cell r="D394">
            <v>0</v>
          </cell>
        </row>
        <row r="395">
          <cell r="A395" t="str">
            <v>109-002-002-1116</v>
          </cell>
          <cell r="B395" t="str">
            <v>M/S Signage Security System I.Tax</v>
          </cell>
          <cell r="C395">
            <v>4</v>
          </cell>
          <cell r="D395">
            <v>0</v>
          </cell>
        </row>
        <row r="396">
          <cell r="A396" t="str">
            <v>109-002-002-1117</v>
          </cell>
          <cell r="B396" t="str">
            <v>M/S Berger Paint I.Tax</v>
          </cell>
          <cell r="C396">
            <v>4</v>
          </cell>
          <cell r="D396">
            <v>0</v>
          </cell>
        </row>
        <row r="397">
          <cell r="A397" t="str">
            <v>109-002-002-1118</v>
          </cell>
          <cell r="B397" t="str">
            <v>M/S Shakir Engg I.Tax</v>
          </cell>
          <cell r="C397">
            <v>4</v>
          </cell>
          <cell r="D397">
            <v>0</v>
          </cell>
        </row>
        <row r="398">
          <cell r="A398" t="str">
            <v>109-002-002-1119</v>
          </cell>
          <cell r="B398" t="str">
            <v>M/S Muhammad Ibrahim &amp; Sons I.Tax</v>
          </cell>
          <cell r="C398">
            <v>4</v>
          </cell>
          <cell r="D398">
            <v>0</v>
          </cell>
        </row>
        <row r="399">
          <cell r="A399" t="str">
            <v>109-002-002-1120</v>
          </cell>
          <cell r="B399" t="str">
            <v>M/S Qawi Compressor I.Tax</v>
          </cell>
          <cell r="C399">
            <v>4</v>
          </cell>
          <cell r="D399">
            <v>0</v>
          </cell>
        </row>
        <row r="400">
          <cell r="A400" t="str">
            <v>109-002-002-1121</v>
          </cell>
          <cell r="B400" t="str">
            <v>M/S Fiaz Steel Works I.Tax</v>
          </cell>
          <cell r="C400">
            <v>4</v>
          </cell>
          <cell r="D400">
            <v>0</v>
          </cell>
        </row>
        <row r="401">
          <cell r="A401" t="str">
            <v>109-002-002-1122</v>
          </cell>
          <cell r="B401" t="str">
            <v>M/S Abdul Rehman I.Tax</v>
          </cell>
          <cell r="C401">
            <v>4</v>
          </cell>
          <cell r="D401">
            <v>0</v>
          </cell>
        </row>
        <row r="402">
          <cell r="A402" t="str">
            <v>109-002-002-1123</v>
          </cell>
          <cell r="B402" t="str">
            <v>M/S G.J AutoMobile I.Tax</v>
          </cell>
          <cell r="C402">
            <v>4</v>
          </cell>
          <cell r="D402">
            <v>0</v>
          </cell>
        </row>
        <row r="403">
          <cell r="A403" t="str">
            <v>109-002-002-1124</v>
          </cell>
          <cell r="B403" t="str">
            <v>M/S Al-Syed Crane &amp; Carriage I.Tax</v>
          </cell>
          <cell r="C403">
            <v>4</v>
          </cell>
          <cell r="D403">
            <v>0</v>
          </cell>
        </row>
        <row r="404">
          <cell r="A404" t="str">
            <v>109-002-002-1125</v>
          </cell>
          <cell r="B404" t="str">
            <v>M/S Rehmat Lawn Movers I.Tax</v>
          </cell>
          <cell r="C404">
            <v>4</v>
          </cell>
          <cell r="D404">
            <v>0</v>
          </cell>
        </row>
        <row r="405">
          <cell r="A405" t="str">
            <v>109-002-002-1126</v>
          </cell>
          <cell r="B405" t="str">
            <v>M/S Haji Azeem Bors &amp; Carriage I.Tax</v>
          </cell>
          <cell r="C405">
            <v>4</v>
          </cell>
          <cell r="D405">
            <v>0</v>
          </cell>
        </row>
        <row r="406">
          <cell r="A406" t="str">
            <v>109-002-002-1127</v>
          </cell>
          <cell r="B406" t="str">
            <v>M/S Dara Autos</v>
          </cell>
          <cell r="C406">
            <v>4</v>
          </cell>
          <cell r="D406">
            <v>0</v>
          </cell>
        </row>
        <row r="407">
          <cell r="A407" t="str">
            <v>109-002-002-1128</v>
          </cell>
          <cell r="B407" t="str">
            <v>Afridi &amp; Bangash I.Tax</v>
          </cell>
          <cell r="C407">
            <v>4</v>
          </cell>
          <cell r="D407">
            <v>0</v>
          </cell>
        </row>
        <row r="408">
          <cell r="A408" t="str">
            <v>109-002-002-1129</v>
          </cell>
          <cell r="B408" t="str">
            <v>Fazal Painter &amp; Artist I.Tax</v>
          </cell>
          <cell r="C408">
            <v>4</v>
          </cell>
          <cell r="D408">
            <v>0</v>
          </cell>
        </row>
        <row r="409">
          <cell r="A409" t="str">
            <v>109-002-002-1130</v>
          </cell>
          <cell r="B409" t="str">
            <v>M/S Imran Tarpal House I.Tax</v>
          </cell>
          <cell r="C409">
            <v>4</v>
          </cell>
          <cell r="D409">
            <v>0</v>
          </cell>
        </row>
        <row r="410">
          <cell r="A410" t="str">
            <v>109-002-002-1131</v>
          </cell>
          <cell r="B410" t="str">
            <v>M/S Abbas Khan Contractors I.Tax</v>
          </cell>
          <cell r="C410">
            <v>4</v>
          </cell>
          <cell r="D410">
            <v>0</v>
          </cell>
        </row>
        <row r="411">
          <cell r="A411" t="str">
            <v>109-002-002-1132</v>
          </cell>
          <cell r="B411" t="str">
            <v>M/S Shad Khan &amp; Sons I.Tax ( Const Mat)</v>
          </cell>
          <cell r="C411">
            <v>4</v>
          </cell>
          <cell r="D411">
            <v>0</v>
          </cell>
        </row>
        <row r="412">
          <cell r="A412" t="str">
            <v>109-002-002-1133</v>
          </cell>
          <cell r="B412" t="str">
            <v>M/S Friends Mobile Systems I.Tax</v>
          </cell>
          <cell r="C412">
            <v>4</v>
          </cell>
          <cell r="D412">
            <v>0</v>
          </cell>
        </row>
        <row r="413">
          <cell r="A413" t="str">
            <v>109-002-002-1134</v>
          </cell>
          <cell r="B413" t="str">
            <v>M/S H.B Sayeed (Pvt) Ltd I.Tax</v>
          </cell>
          <cell r="C413">
            <v>4</v>
          </cell>
          <cell r="D413">
            <v>0</v>
          </cell>
        </row>
        <row r="414">
          <cell r="A414" t="str">
            <v>109-002-002-1135</v>
          </cell>
          <cell r="B414" t="str">
            <v>M/S Malik Traders I.Tax</v>
          </cell>
          <cell r="C414">
            <v>4</v>
          </cell>
          <cell r="D414">
            <v>0</v>
          </cell>
        </row>
        <row r="415">
          <cell r="A415" t="str">
            <v>109-002-002-1136</v>
          </cell>
          <cell r="B415" t="str">
            <v>M/S Guerrino Pivato SpA I.Tax</v>
          </cell>
          <cell r="C415">
            <v>4</v>
          </cell>
          <cell r="D415">
            <v>0</v>
          </cell>
        </row>
        <row r="416">
          <cell r="A416" t="str">
            <v>109-002-002-1137</v>
          </cell>
          <cell r="B416" t="str">
            <v>M/S Product &amp; Service I.Tax</v>
          </cell>
          <cell r="C416">
            <v>4</v>
          </cell>
          <cell r="D416">
            <v>0</v>
          </cell>
        </row>
        <row r="417">
          <cell r="A417" t="str">
            <v>109-002-002-1138</v>
          </cell>
          <cell r="B417" t="str">
            <v>M/S Attock Cargo Service I.Tax</v>
          </cell>
          <cell r="C417">
            <v>4</v>
          </cell>
          <cell r="D417">
            <v>0</v>
          </cell>
        </row>
        <row r="418">
          <cell r="A418" t="str">
            <v>109-002-002-1139</v>
          </cell>
          <cell r="B418" t="str">
            <v>M/S Wise Tech I.Tax</v>
          </cell>
          <cell r="C418">
            <v>4</v>
          </cell>
          <cell r="D418">
            <v>0</v>
          </cell>
        </row>
        <row r="419">
          <cell r="A419" t="str">
            <v>109-002-002-1140</v>
          </cell>
          <cell r="B419" t="str">
            <v>M/S New National Traders I.Tax</v>
          </cell>
          <cell r="C419">
            <v>4</v>
          </cell>
          <cell r="D419">
            <v>0</v>
          </cell>
        </row>
        <row r="420">
          <cell r="A420" t="str">
            <v>109-002-002-1141</v>
          </cell>
          <cell r="B420" t="str">
            <v>M/S Malik Abid I.Tax</v>
          </cell>
          <cell r="C420">
            <v>4</v>
          </cell>
          <cell r="D420">
            <v>0</v>
          </cell>
        </row>
        <row r="421">
          <cell r="A421" t="str">
            <v>109-002-002-1142</v>
          </cell>
          <cell r="B421" t="str">
            <v>M/S Hammed Auto Electrician I.Tax</v>
          </cell>
          <cell r="C421">
            <v>4</v>
          </cell>
          <cell r="D421">
            <v>0</v>
          </cell>
        </row>
        <row r="422">
          <cell r="A422" t="str">
            <v>109-002-002-1143</v>
          </cell>
          <cell r="B422" t="str">
            <v>M/S Sufi Khalid Bhatti I.Tax</v>
          </cell>
          <cell r="C422">
            <v>4</v>
          </cell>
          <cell r="D422">
            <v>0</v>
          </cell>
        </row>
        <row r="423">
          <cell r="A423" t="str">
            <v>109-002-002-1144</v>
          </cell>
          <cell r="B423" t="str">
            <v>M/S Darya kHan I.Tax</v>
          </cell>
          <cell r="C423">
            <v>4</v>
          </cell>
          <cell r="D423">
            <v>0</v>
          </cell>
        </row>
        <row r="424">
          <cell r="A424" t="str">
            <v>109-002-002-1145</v>
          </cell>
          <cell r="B424" t="str">
            <v>M/S Mobile Mkt I.Tax</v>
          </cell>
          <cell r="C424">
            <v>4</v>
          </cell>
          <cell r="D424">
            <v>0</v>
          </cell>
        </row>
        <row r="425">
          <cell r="A425" t="str">
            <v>109-002-002-1146</v>
          </cell>
          <cell r="B425" t="str">
            <v>M/S Cool Corner</v>
          </cell>
          <cell r="C425">
            <v>4</v>
          </cell>
          <cell r="D425">
            <v>0</v>
          </cell>
        </row>
        <row r="426">
          <cell r="A426" t="str">
            <v>109-002-002-1147</v>
          </cell>
          <cell r="B426" t="str">
            <v>M/S Corner Tyres I.Tax</v>
          </cell>
          <cell r="C426">
            <v>4</v>
          </cell>
          <cell r="D426">
            <v>0</v>
          </cell>
        </row>
        <row r="427">
          <cell r="A427" t="str">
            <v>109-002-002-1148</v>
          </cell>
          <cell r="B427" t="str">
            <v>M/S Premier Automobile Wkshp I.Tax</v>
          </cell>
          <cell r="C427">
            <v>4</v>
          </cell>
          <cell r="D427">
            <v>0</v>
          </cell>
        </row>
        <row r="428">
          <cell r="A428" t="str">
            <v>109-002-002-1149</v>
          </cell>
          <cell r="B428" t="str">
            <v>M/S Shah Wali Khan</v>
          </cell>
          <cell r="C428">
            <v>4</v>
          </cell>
          <cell r="D428">
            <v>0</v>
          </cell>
        </row>
        <row r="429">
          <cell r="A429" t="str">
            <v>109-002-003-0000</v>
          </cell>
          <cell r="B429" t="str">
            <v>Creditores for Services Income Tax Payable</v>
          </cell>
          <cell r="C429">
            <v>3</v>
          </cell>
          <cell r="D429">
            <v>0</v>
          </cell>
        </row>
        <row r="430">
          <cell r="A430" t="str">
            <v>109-002-011-0000</v>
          </cell>
          <cell r="B430" t="str">
            <v>Employees Income Tax Payable</v>
          </cell>
          <cell r="C430">
            <v>3</v>
          </cell>
          <cell r="D430">
            <v>0</v>
          </cell>
        </row>
        <row r="431">
          <cell r="A431" t="str">
            <v>109-002-011-0001</v>
          </cell>
          <cell r="B431" t="str">
            <v>Army Officers Control Income Tax Payable</v>
          </cell>
          <cell r="C431">
            <v>4</v>
          </cell>
          <cell r="D431">
            <v>0</v>
          </cell>
        </row>
        <row r="432">
          <cell r="A432" t="str">
            <v>109-002-011-0002</v>
          </cell>
          <cell r="B432" t="str">
            <v>Civilian Staff Control Income Tax Payable</v>
          </cell>
          <cell r="C432">
            <v>4</v>
          </cell>
          <cell r="D432">
            <v>0</v>
          </cell>
        </row>
        <row r="433">
          <cell r="A433" t="str">
            <v>109-002-011-0003</v>
          </cell>
          <cell r="B433" t="str">
            <v>JCO's Control Income Tax Payable</v>
          </cell>
          <cell r="C433">
            <v>4</v>
          </cell>
          <cell r="D433">
            <v>0</v>
          </cell>
        </row>
        <row r="434">
          <cell r="A434" t="str">
            <v>109-003-000-0000</v>
          </cell>
          <cell r="B434" t="str">
            <v>D.S.O.P. Fund Payable</v>
          </cell>
          <cell r="C434">
            <v>2</v>
          </cell>
          <cell r="D434">
            <v>0</v>
          </cell>
        </row>
        <row r="435">
          <cell r="A435" t="str">
            <v>109-003-001-0000</v>
          </cell>
          <cell r="B435" t="str">
            <v>Army Officeres D.S.O.P. Fund Payable</v>
          </cell>
          <cell r="C435">
            <v>3</v>
          </cell>
          <cell r="D435">
            <v>0</v>
          </cell>
        </row>
        <row r="436">
          <cell r="A436" t="str">
            <v>109-003-001-0001</v>
          </cell>
          <cell r="B436" t="str">
            <v>Control Army Officers D.S.O.P. Fund Payable</v>
          </cell>
          <cell r="C436">
            <v>4</v>
          </cell>
          <cell r="D436">
            <v>0</v>
          </cell>
        </row>
        <row r="437">
          <cell r="A437" t="str">
            <v>109-003-002-0000</v>
          </cell>
          <cell r="B437" t="str">
            <v>JCOs' Staff D.S.O.P. Fund Payable</v>
          </cell>
          <cell r="C437">
            <v>3</v>
          </cell>
          <cell r="D437">
            <v>0</v>
          </cell>
        </row>
        <row r="438">
          <cell r="A438" t="str">
            <v>109-003-002-0001</v>
          </cell>
          <cell r="B438" t="str">
            <v>Control JCOs' Staff D.S.O.P. Fund Payable</v>
          </cell>
          <cell r="C438">
            <v>4</v>
          </cell>
          <cell r="D438">
            <v>0</v>
          </cell>
        </row>
        <row r="439">
          <cell r="A439" t="str">
            <v>109-004-000-0000</v>
          </cell>
          <cell r="B439" t="str">
            <v>Benevelovent Fund Payable</v>
          </cell>
          <cell r="C439">
            <v>2</v>
          </cell>
          <cell r="D439">
            <v>0</v>
          </cell>
        </row>
        <row r="440">
          <cell r="A440" t="str">
            <v>109-004-001-0000</v>
          </cell>
          <cell r="B440" t="str">
            <v>Army Officers Benevelovent Fund Payable</v>
          </cell>
          <cell r="C440">
            <v>3</v>
          </cell>
          <cell r="D440">
            <v>0</v>
          </cell>
        </row>
        <row r="441">
          <cell r="A441" t="str">
            <v>109-004-001-0001</v>
          </cell>
          <cell r="B441" t="str">
            <v>Control Army Officers Benevelovent Fund Payable</v>
          </cell>
          <cell r="C441">
            <v>4</v>
          </cell>
          <cell r="D441">
            <v>0</v>
          </cell>
        </row>
        <row r="442">
          <cell r="A442" t="str">
            <v>109-004-002-0000</v>
          </cell>
          <cell r="B442" t="str">
            <v>Civilian Staff Benevelovent Fund Payable</v>
          </cell>
          <cell r="C442">
            <v>3</v>
          </cell>
          <cell r="D442">
            <v>0</v>
          </cell>
        </row>
        <row r="443">
          <cell r="A443" t="str">
            <v>109-004-002-0001</v>
          </cell>
          <cell r="B443" t="str">
            <v>Control Civilian Staff Benevelovent Fund Payable</v>
          </cell>
          <cell r="C443">
            <v>4</v>
          </cell>
          <cell r="D443">
            <v>0</v>
          </cell>
        </row>
        <row r="444">
          <cell r="A444" t="str">
            <v>109-004-003-0000</v>
          </cell>
          <cell r="B444" t="str">
            <v>JCO's Staff Benevelovent Fund Payable</v>
          </cell>
          <cell r="C444">
            <v>3</v>
          </cell>
          <cell r="D444">
            <v>0</v>
          </cell>
        </row>
        <row r="445">
          <cell r="A445" t="str">
            <v>109-004-003-0001</v>
          </cell>
          <cell r="B445" t="str">
            <v>Control JCOs' Staff Benevelovent Fund Payable</v>
          </cell>
          <cell r="C445">
            <v>4</v>
          </cell>
          <cell r="D445">
            <v>0</v>
          </cell>
        </row>
        <row r="446">
          <cell r="A446" t="str">
            <v>109-005-000-0000</v>
          </cell>
          <cell r="B446" t="str">
            <v>Accured Charges</v>
          </cell>
          <cell r="C446">
            <v>2</v>
          </cell>
          <cell r="D446">
            <v>-52307</v>
          </cell>
        </row>
        <row r="447">
          <cell r="A447" t="str">
            <v>109-005-001-0000</v>
          </cell>
          <cell r="B447" t="str">
            <v>Muster Rolls Payable</v>
          </cell>
          <cell r="C447">
            <v>3</v>
          </cell>
          <cell r="D447">
            <v>-9567</v>
          </cell>
        </row>
        <row r="448">
          <cell r="A448" t="str">
            <v>109-005-001-0001</v>
          </cell>
          <cell r="B448" t="str">
            <v>Muster Rolls Payable</v>
          </cell>
          <cell r="C448">
            <v>4</v>
          </cell>
          <cell r="D448">
            <v>-9567</v>
          </cell>
        </row>
        <row r="449">
          <cell r="A449" t="str">
            <v>109-005-002-0000</v>
          </cell>
          <cell r="B449" t="str">
            <v>Army Officers Salaries Payable</v>
          </cell>
          <cell r="C449">
            <v>3</v>
          </cell>
          <cell r="D449">
            <v>0</v>
          </cell>
        </row>
        <row r="450">
          <cell r="A450" t="str">
            <v>109-005-002-0001</v>
          </cell>
          <cell r="B450" t="str">
            <v>Army Officers Salaries Payable</v>
          </cell>
          <cell r="C450">
            <v>4</v>
          </cell>
          <cell r="D450">
            <v>0</v>
          </cell>
        </row>
        <row r="451">
          <cell r="A451" t="str">
            <v>109-005-003-0000</v>
          </cell>
          <cell r="B451" t="str">
            <v>Civilian Staff Salaries Payable</v>
          </cell>
          <cell r="C451">
            <v>3</v>
          </cell>
          <cell r="D451">
            <v>-34000</v>
          </cell>
        </row>
        <row r="452">
          <cell r="A452" t="str">
            <v>109-005-003-0001</v>
          </cell>
          <cell r="B452" t="str">
            <v>Civilian Staff Salaries Payable</v>
          </cell>
          <cell r="C452">
            <v>4</v>
          </cell>
          <cell r="D452">
            <v>-34000</v>
          </cell>
        </row>
        <row r="453">
          <cell r="A453" t="str">
            <v>109-005-004-0000</v>
          </cell>
          <cell r="B453" t="str">
            <v>JCO's Staff Salaries Payable</v>
          </cell>
          <cell r="C453">
            <v>3</v>
          </cell>
          <cell r="D453">
            <v>0</v>
          </cell>
        </row>
        <row r="454">
          <cell r="A454" t="str">
            <v>109-005-004-0001</v>
          </cell>
          <cell r="B454" t="str">
            <v>JCO's Staff Salaries Payable</v>
          </cell>
          <cell r="C454">
            <v>4</v>
          </cell>
          <cell r="D454">
            <v>0</v>
          </cell>
        </row>
        <row r="455">
          <cell r="A455" t="str">
            <v>109-005-005-0000</v>
          </cell>
          <cell r="B455" t="str">
            <v>Electricity Payable</v>
          </cell>
          <cell r="C455">
            <v>3</v>
          </cell>
          <cell r="D455">
            <v>0</v>
          </cell>
        </row>
        <row r="456">
          <cell r="A456" t="str">
            <v>109-005-005-0001</v>
          </cell>
          <cell r="B456" t="str">
            <v>Electricity Charges Bill #  Payable</v>
          </cell>
          <cell r="C456">
            <v>4</v>
          </cell>
          <cell r="D456">
            <v>0</v>
          </cell>
        </row>
        <row r="457">
          <cell r="A457" t="str">
            <v>109-005-006-0000</v>
          </cell>
          <cell r="B457" t="str">
            <v>Water charges Payable</v>
          </cell>
          <cell r="C457">
            <v>3</v>
          </cell>
          <cell r="D457">
            <v>0</v>
          </cell>
        </row>
        <row r="458">
          <cell r="A458" t="str">
            <v>109-005-006-0001</v>
          </cell>
          <cell r="B458" t="str">
            <v>Water Charges Bill #  Payable</v>
          </cell>
          <cell r="C458">
            <v>4</v>
          </cell>
          <cell r="D458">
            <v>0</v>
          </cell>
        </row>
        <row r="459">
          <cell r="A459" t="str">
            <v>109-005-007-0000</v>
          </cell>
          <cell r="B459" t="str">
            <v>Gas charges Payable</v>
          </cell>
          <cell r="C459">
            <v>3</v>
          </cell>
          <cell r="D459">
            <v>0</v>
          </cell>
        </row>
        <row r="460">
          <cell r="A460" t="str">
            <v>109-005-007-0001</v>
          </cell>
          <cell r="B460" t="str">
            <v>Sui Gas Charges Bill #  Payable</v>
          </cell>
          <cell r="C460">
            <v>4</v>
          </cell>
          <cell r="D460">
            <v>0</v>
          </cell>
        </row>
        <row r="461">
          <cell r="A461" t="str">
            <v>109-005-008-0000</v>
          </cell>
          <cell r="B461" t="str">
            <v>Telephone charges Payable</v>
          </cell>
          <cell r="C461">
            <v>3</v>
          </cell>
          <cell r="D461">
            <v>0</v>
          </cell>
        </row>
        <row r="462">
          <cell r="A462" t="str">
            <v>109-005-008-0001</v>
          </cell>
          <cell r="B462" t="str">
            <v>Telephone Bill #  Payable</v>
          </cell>
          <cell r="C462">
            <v>4</v>
          </cell>
          <cell r="D462">
            <v>0</v>
          </cell>
        </row>
        <row r="463">
          <cell r="A463" t="str">
            <v>109-005-009-0000</v>
          </cell>
          <cell r="B463" t="str">
            <v>Mobile Phone Charges Payable</v>
          </cell>
          <cell r="C463">
            <v>3</v>
          </cell>
          <cell r="D463">
            <v>-3667</v>
          </cell>
        </row>
        <row r="464">
          <cell r="A464" t="str">
            <v>109-005-009-0001</v>
          </cell>
          <cell r="B464" t="str">
            <v>Mobile Phone Bill # Payable</v>
          </cell>
          <cell r="C464">
            <v>4</v>
          </cell>
          <cell r="D464">
            <v>-3667</v>
          </cell>
        </row>
        <row r="465">
          <cell r="A465" t="str">
            <v>109-005-010-0000</v>
          </cell>
          <cell r="B465" t="str">
            <v>Vehicle Running Expenses Payable</v>
          </cell>
          <cell r="C465">
            <v>3</v>
          </cell>
          <cell r="D465">
            <v>-5073</v>
          </cell>
        </row>
        <row r="466">
          <cell r="A466" t="str">
            <v>109-005-010-0001</v>
          </cell>
          <cell r="B466" t="str">
            <v>Vehicle Running Expenses Payable</v>
          </cell>
          <cell r="C466">
            <v>4</v>
          </cell>
          <cell r="D466">
            <v>-5073</v>
          </cell>
        </row>
        <row r="467">
          <cell r="A467" t="str">
            <v>109-005-011-0000</v>
          </cell>
          <cell r="B467" t="str">
            <v>Repair and Maintainance Payable</v>
          </cell>
          <cell r="C467">
            <v>3</v>
          </cell>
          <cell r="D467">
            <v>0</v>
          </cell>
        </row>
        <row r="468">
          <cell r="A468" t="str">
            <v>109-005-011-0001</v>
          </cell>
          <cell r="B468" t="str">
            <v>Repair and Maintainance Payable</v>
          </cell>
          <cell r="C468">
            <v>4</v>
          </cell>
          <cell r="D468">
            <v>0</v>
          </cell>
        </row>
        <row r="469">
          <cell r="A469" t="str">
            <v>109-005-012-0000</v>
          </cell>
          <cell r="B469" t="str">
            <v>Travelling and Conveyance Payable</v>
          </cell>
          <cell r="C469">
            <v>3</v>
          </cell>
          <cell r="D469">
            <v>0</v>
          </cell>
        </row>
        <row r="470">
          <cell r="A470" t="str">
            <v>109-005-012-0001</v>
          </cell>
          <cell r="B470" t="str">
            <v>Travelling and Conveyance Payable</v>
          </cell>
          <cell r="C470">
            <v>4</v>
          </cell>
          <cell r="D470">
            <v>0</v>
          </cell>
        </row>
        <row r="471">
          <cell r="A471" t="str">
            <v>109-005-013-0000</v>
          </cell>
          <cell r="B471" t="str">
            <v>Printing and Stationery Payable</v>
          </cell>
          <cell r="C471">
            <v>3</v>
          </cell>
          <cell r="D471">
            <v>0</v>
          </cell>
        </row>
        <row r="472">
          <cell r="A472" t="str">
            <v>109-005-013-0001</v>
          </cell>
          <cell r="B472" t="str">
            <v>Printing and Stationery Payable</v>
          </cell>
          <cell r="C472">
            <v>4</v>
          </cell>
          <cell r="D472">
            <v>0</v>
          </cell>
        </row>
        <row r="473">
          <cell r="A473" t="str">
            <v>109-005-014-0000</v>
          </cell>
          <cell r="B473" t="str">
            <v>Entertainment expenses payable</v>
          </cell>
          <cell r="C473">
            <v>3</v>
          </cell>
          <cell r="D473">
            <v>0</v>
          </cell>
        </row>
        <row r="474">
          <cell r="A474" t="str">
            <v>109-005-014-0001</v>
          </cell>
          <cell r="B474" t="str">
            <v>Entertainemnt expenses payable</v>
          </cell>
          <cell r="C474">
            <v>4</v>
          </cell>
          <cell r="D474">
            <v>0</v>
          </cell>
        </row>
        <row r="475">
          <cell r="A475" t="str">
            <v>109-005-015-0000</v>
          </cell>
          <cell r="B475" t="str">
            <v>Newspaper and Periodicals Payable</v>
          </cell>
          <cell r="C475">
            <v>3</v>
          </cell>
          <cell r="D475">
            <v>0</v>
          </cell>
        </row>
        <row r="476">
          <cell r="A476" t="str">
            <v>109-005-015-0001</v>
          </cell>
          <cell r="B476" t="str">
            <v>Newspaper and Periodicals Payable</v>
          </cell>
          <cell r="C476">
            <v>4</v>
          </cell>
          <cell r="D476">
            <v>0</v>
          </cell>
        </row>
        <row r="477">
          <cell r="A477" t="str">
            <v>109-005-016-0000</v>
          </cell>
          <cell r="B477" t="str">
            <v>Lease Rent Payable</v>
          </cell>
          <cell r="C477">
            <v>3</v>
          </cell>
          <cell r="D477">
            <v>0</v>
          </cell>
        </row>
        <row r="478">
          <cell r="A478" t="str">
            <v>109-005-016-0001</v>
          </cell>
          <cell r="B478" t="str">
            <v>Land Lease Rent Charges Payable</v>
          </cell>
          <cell r="C478">
            <v>4</v>
          </cell>
          <cell r="D478">
            <v>0</v>
          </cell>
        </row>
        <row r="479">
          <cell r="A479" t="str">
            <v>109-005-017-0000</v>
          </cell>
          <cell r="B479" t="str">
            <v>Miscellaneous Expenses Payable</v>
          </cell>
          <cell r="C479">
            <v>3</v>
          </cell>
          <cell r="D479">
            <v>0</v>
          </cell>
        </row>
        <row r="480">
          <cell r="A480" t="str">
            <v>109-005-017-0001</v>
          </cell>
          <cell r="B480" t="str">
            <v>Miscellaneous Expenses Payable</v>
          </cell>
          <cell r="C480">
            <v>4</v>
          </cell>
          <cell r="D480">
            <v>0</v>
          </cell>
        </row>
        <row r="481">
          <cell r="A481" t="str">
            <v>109-005-018-0000</v>
          </cell>
          <cell r="B481" t="str">
            <v>legal &amp; Professional Charges payable</v>
          </cell>
          <cell r="C481">
            <v>3</v>
          </cell>
          <cell r="D481">
            <v>0</v>
          </cell>
        </row>
        <row r="482">
          <cell r="A482" t="str">
            <v>109-005-018-0001</v>
          </cell>
          <cell r="B482" t="str">
            <v>legal &amp; Professional Charges payable</v>
          </cell>
          <cell r="C482">
            <v>4</v>
          </cell>
          <cell r="D482">
            <v>0</v>
          </cell>
        </row>
        <row r="483">
          <cell r="A483" t="str">
            <v>109-005-018-0002</v>
          </cell>
          <cell r="B483" t="str">
            <v>Interest on liabilities under finance lease Payabl</v>
          </cell>
          <cell r="C483">
            <v>4</v>
          </cell>
          <cell r="D483">
            <v>0</v>
          </cell>
        </row>
        <row r="484">
          <cell r="A484" t="str">
            <v>109-005-018-0003</v>
          </cell>
          <cell r="B484" t="str">
            <v>Interest on short term running finance Payable</v>
          </cell>
          <cell r="C484">
            <v>4</v>
          </cell>
          <cell r="D484">
            <v>0</v>
          </cell>
        </row>
        <row r="485">
          <cell r="A485" t="str">
            <v>109-005-018-0004</v>
          </cell>
          <cell r="B485" t="str">
            <v>Bank Guarantee Commission Payable</v>
          </cell>
          <cell r="C485">
            <v>4</v>
          </cell>
          <cell r="D485">
            <v>0</v>
          </cell>
        </row>
        <row r="486">
          <cell r="A486" t="str">
            <v>109-005-019-0000</v>
          </cell>
          <cell r="B486" t="str">
            <v>Excise Duty On PLS Bank Accounts Payable</v>
          </cell>
          <cell r="C486">
            <v>3</v>
          </cell>
          <cell r="D486">
            <v>0</v>
          </cell>
        </row>
        <row r="487">
          <cell r="A487" t="str">
            <v>109-005-024-0000</v>
          </cell>
          <cell r="B487" t="str">
            <v>Bank Charges Of Saving Bank Accounts Payable</v>
          </cell>
          <cell r="C487">
            <v>3</v>
          </cell>
          <cell r="D487">
            <v>0</v>
          </cell>
        </row>
        <row r="488">
          <cell r="A488" t="str">
            <v>109-005-025-0000</v>
          </cell>
          <cell r="B488" t="str">
            <v>Bank Charges Of Current Bank Accounts Payable</v>
          </cell>
          <cell r="C488">
            <v>3</v>
          </cell>
          <cell r="D488">
            <v>0</v>
          </cell>
        </row>
        <row r="489">
          <cell r="A489" t="str">
            <v>109-005-026-0000</v>
          </cell>
          <cell r="B489" t="str">
            <v>Bank Charges Of Term Deposit Accounts Payable</v>
          </cell>
          <cell r="C489">
            <v>3</v>
          </cell>
          <cell r="D489">
            <v>0</v>
          </cell>
        </row>
        <row r="490">
          <cell r="A490" t="str">
            <v>109-006-000-0000</v>
          </cell>
          <cell r="B490" t="str">
            <v>Other Liabilties</v>
          </cell>
          <cell r="C490">
            <v>2</v>
          </cell>
          <cell r="D490">
            <v>-240000</v>
          </cell>
        </row>
        <row r="491">
          <cell r="A491" t="str">
            <v>109-006-001-0000</v>
          </cell>
          <cell r="B491" t="str">
            <v>Other Liabilties</v>
          </cell>
          <cell r="C491">
            <v>3</v>
          </cell>
          <cell r="D491">
            <v>0</v>
          </cell>
        </row>
        <row r="492">
          <cell r="A492" t="str">
            <v>109-006-001-0001</v>
          </cell>
          <cell r="B492" t="str">
            <v>Other Liabilties</v>
          </cell>
          <cell r="C492">
            <v>4</v>
          </cell>
          <cell r="D492">
            <v>0</v>
          </cell>
        </row>
        <row r="493">
          <cell r="A493" t="str">
            <v>109-006-001-0002</v>
          </cell>
          <cell r="B493" t="str">
            <v>Hiring Charges Payable CMP</v>
          </cell>
          <cell r="C493">
            <v>4</v>
          </cell>
          <cell r="D493">
            <v>0</v>
          </cell>
        </row>
        <row r="494">
          <cell r="A494" t="str">
            <v>109-006-001-0003</v>
          </cell>
          <cell r="B494" t="str">
            <v>KRAC Hiring Charges Payable</v>
          </cell>
          <cell r="C494">
            <v>4</v>
          </cell>
          <cell r="D494">
            <v>0</v>
          </cell>
        </row>
        <row r="495">
          <cell r="A495" t="str">
            <v>109-006-001-0004</v>
          </cell>
          <cell r="B495" t="str">
            <v>Tractor Hiring charges</v>
          </cell>
          <cell r="C495">
            <v>4</v>
          </cell>
          <cell r="D495">
            <v>0</v>
          </cell>
        </row>
        <row r="496">
          <cell r="A496" t="str">
            <v>109-006-002-0000</v>
          </cell>
          <cell r="B496" t="str">
            <v>Funds Account</v>
          </cell>
          <cell r="C496">
            <v>3</v>
          </cell>
          <cell r="D496">
            <v>-240000</v>
          </cell>
        </row>
        <row r="497">
          <cell r="A497" t="str">
            <v>109-006-002-0001</v>
          </cell>
          <cell r="B497" t="str">
            <v>Provision for Overheads</v>
          </cell>
          <cell r="C497">
            <v>4</v>
          </cell>
          <cell r="D497">
            <v>0</v>
          </cell>
        </row>
        <row r="498">
          <cell r="A498" t="str">
            <v>109-006-002-0002</v>
          </cell>
          <cell r="B498" t="str">
            <v>Provision for Maintainance Cost Fund</v>
          </cell>
          <cell r="C498">
            <v>4</v>
          </cell>
          <cell r="D498">
            <v>-240000</v>
          </cell>
        </row>
        <row r="499">
          <cell r="A499" t="str">
            <v>109-006-003-0000</v>
          </cell>
          <cell r="B499" t="str">
            <v>Mobilization Advance</v>
          </cell>
          <cell r="C499">
            <v>3</v>
          </cell>
          <cell r="D499">
            <v>0</v>
          </cell>
        </row>
        <row r="500">
          <cell r="A500" t="str">
            <v>109-007-000-0000</v>
          </cell>
          <cell r="B500" t="str">
            <v>Provision for Taxation</v>
          </cell>
          <cell r="C500">
            <v>2</v>
          </cell>
          <cell r="D500">
            <v>0</v>
          </cell>
        </row>
        <row r="501">
          <cell r="A501" t="str">
            <v>109-007-001-0000</v>
          </cell>
          <cell r="B501" t="str">
            <v>Provision for Taxation</v>
          </cell>
          <cell r="C501">
            <v>3</v>
          </cell>
          <cell r="D501">
            <v>0</v>
          </cell>
        </row>
        <row r="502">
          <cell r="A502" t="str">
            <v>109-007-001-0001</v>
          </cell>
          <cell r="B502" t="str">
            <v>Provision for Taxation</v>
          </cell>
          <cell r="C502">
            <v>4</v>
          </cell>
          <cell r="D502">
            <v>0</v>
          </cell>
        </row>
        <row r="503">
          <cell r="A503" t="str">
            <v>201-000-000-0000</v>
          </cell>
          <cell r="B503" t="str">
            <v>Operating Fixed Assets</v>
          </cell>
          <cell r="C503">
            <v>1</v>
          </cell>
          <cell r="D503">
            <v>680000</v>
          </cell>
        </row>
        <row r="504">
          <cell r="A504" t="str">
            <v>201-001-000-0000</v>
          </cell>
          <cell r="B504" t="str">
            <v>Land</v>
          </cell>
          <cell r="C504">
            <v>2</v>
          </cell>
          <cell r="D504">
            <v>0</v>
          </cell>
        </row>
        <row r="505">
          <cell r="A505" t="str">
            <v>201-001-001-0000</v>
          </cell>
          <cell r="B505" t="str">
            <v>Land</v>
          </cell>
          <cell r="C505">
            <v>3</v>
          </cell>
          <cell r="D505">
            <v>0</v>
          </cell>
        </row>
        <row r="506">
          <cell r="A506" t="str">
            <v>201-001-001-0001</v>
          </cell>
          <cell r="B506" t="str">
            <v>Land</v>
          </cell>
          <cell r="C506">
            <v>4</v>
          </cell>
          <cell r="D506">
            <v>0</v>
          </cell>
        </row>
        <row r="507">
          <cell r="A507" t="str">
            <v>201-002-000-0000</v>
          </cell>
          <cell r="B507" t="str">
            <v>Building</v>
          </cell>
          <cell r="C507">
            <v>2</v>
          </cell>
          <cell r="D507">
            <v>0</v>
          </cell>
        </row>
        <row r="508">
          <cell r="A508" t="str">
            <v>201-002-001-0000</v>
          </cell>
          <cell r="B508" t="str">
            <v>Building</v>
          </cell>
          <cell r="C508">
            <v>3</v>
          </cell>
          <cell r="D508">
            <v>0</v>
          </cell>
        </row>
        <row r="509">
          <cell r="A509" t="str">
            <v>201-002-001-0001</v>
          </cell>
          <cell r="B509" t="str">
            <v>Building</v>
          </cell>
          <cell r="C509">
            <v>4</v>
          </cell>
          <cell r="D509">
            <v>0</v>
          </cell>
        </row>
        <row r="510">
          <cell r="A510" t="str">
            <v>201-003-000-0000</v>
          </cell>
          <cell r="B510" t="str">
            <v>Plant and Machinery</v>
          </cell>
          <cell r="C510">
            <v>2</v>
          </cell>
          <cell r="D510">
            <v>0</v>
          </cell>
        </row>
        <row r="511">
          <cell r="A511" t="str">
            <v>201-003-001-0000</v>
          </cell>
          <cell r="B511" t="str">
            <v>Plant and Machinery</v>
          </cell>
          <cell r="C511">
            <v>3</v>
          </cell>
          <cell r="D511">
            <v>0</v>
          </cell>
        </row>
        <row r="512">
          <cell r="A512" t="str">
            <v>201-003-001-0001</v>
          </cell>
          <cell r="B512" t="str">
            <v>Bitumen Transfer Pump</v>
          </cell>
          <cell r="C512">
            <v>4</v>
          </cell>
          <cell r="D512">
            <v>0</v>
          </cell>
        </row>
        <row r="513">
          <cell r="A513" t="str">
            <v>201-003-001-0002</v>
          </cell>
          <cell r="B513" t="str">
            <v>Pipe Machine 15" to 18" Dia</v>
          </cell>
          <cell r="C513">
            <v>4</v>
          </cell>
          <cell r="D513">
            <v>0</v>
          </cell>
        </row>
        <row r="514">
          <cell r="A514" t="str">
            <v>201-003-001-0003</v>
          </cell>
          <cell r="B514" t="str">
            <v>Broomer</v>
          </cell>
          <cell r="C514">
            <v>4</v>
          </cell>
          <cell r="D514">
            <v>0</v>
          </cell>
        </row>
        <row r="515">
          <cell r="A515" t="str">
            <v>201-003-001-0004</v>
          </cell>
          <cell r="B515" t="str">
            <v>Core Drill Machine</v>
          </cell>
          <cell r="C515">
            <v>4</v>
          </cell>
          <cell r="D515">
            <v>0</v>
          </cell>
        </row>
        <row r="516">
          <cell r="A516" t="str">
            <v>201-003-001-0005</v>
          </cell>
          <cell r="B516" t="str">
            <v>Asphalt Cutter</v>
          </cell>
          <cell r="C516">
            <v>4</v>
          </cell>
          <cell r="D516">
            <v>0</v>
          </cell>
        </row>
        <row r="517">
          <cell r="A517" t="str">
            <v>201-003-001-0006</v>
          </cell>
          <cell r="B517" t="str">
            <v>Generator</v>
          </cell>
          <cell r="C517">
            <v>4</v>
          </cell>
          <cell r="D517">
            <v>0</v>
          </cell>
        </row>
        <row r="518">
          <cell r="A518" t="str">
            <v>201-003-001-0007</v>
          </cell>
          <cell r="B518" t="str">
            <v>Oil/Water Tanker</v>
          </cell>
          <cell r="C518">
            <v>4</v>
          </cell>
          <cell r="D518">
            <v>0</v>
          </cell>
        </row>
        <row r="519">
          <cell r="A519" t="str">
            <v>201-003-001-0008</v>
          </cell>
          <cell r="B519" t="str">
            <v>Renault Dump Truck</v>
          </cell>
          <cell r="C519">
            <v>4</v>
          </cell>
          <cell r="D519">
            <v>0</v>
          </cell>
        </row>
        <row r="520">
          <cell r="A520" t="str">
            <v>201-004-000-0000</v>
          </cell>
          <cell r="B520" t="str">
            <v>Furniture and Fixture</v>
          </cell>
          <cell r="C520">
            <v>2</v>
          </cell>
          <cell r="D520">
            <v>0</v>
          </cell>
        </row>
        <row r="521">
          <cell r="A521" t="str">
            <v>201-004-001-0000</v>
          </cell>
          <cell r="B521" t="str">
            <v>Furniture and Fixture</v>
          </cell>
          <cell r="C521">
            <v>3</v>
          </cell>
          <cell r="D521">
            <v>0</v>
          </cell>
        </row>
        <row r="522">
          <cell r="A522" t="str">
            <v>201-004-001-0001</v>
          </cell>
          <cell r="B522" t="str">
            <v>Tables</v>
          </cell>
          <cell r="C522">
            <v>4</v>
          </cell>
          <cell r="D522">
            <v>0</v>
          </cell>
        </row>
        <row r="523">
          <cell r="A523" t="str">
            <v>201-004-001-0002</v>
          </cell>
          <cell r="B523" t="str">
            <v>Charpayees  (Beds)</v>
          </cell>
          <cell r="C523">
            <v>4</v>
          </cell>
          <cell r="D523">
            <v>0</v>
          </cell>
        </row>
        <row r="524">
          <cell r="A524" t="str">
            <v>201-004-001-0003</v>
          </cell>
          <cell r="B524" t="str">
            <v>Sofa Chairs and Chairs</v>
          </cell>
          <cell r="C524">
            <v>4</v>
          </cell>
          <cell r="D524">
            <v>0</v>
          </cell>
        </row>
        <row r="525">
          <cell r="A525" t="str">
            <v>201-004-001-0004</v>
          </cell>
          <cell r="B525" t="str">
            <v>Almirah</v>
          </cell>
          <cell r="C525">
            <v>4</v>
          </cell>
          <cell r="D525">
            <v>0</v>
          </cell>
        </row>
        <row r="526">
          <cell r="A526" t="str">
            <v>201-004-001-0005</v>
          </cell>
          <cell r="B526" t="str">
            <v>Wooden Cabinet Draz</v>
          </cell>
          <cell r="C526">
            <v>4</v>
          </cell>
          <cell r="D526">
            <v>0</v>
          </cell>
        </row>
        <row r="527">
          <cell r="A527" t="str">
            <v>201-004-001-0006</v>
          </cell>
          <cell r="B527" t="str">
            <v>Stools</v>
          </cell>
          <cell r="C527">
            <v>4</v>
          </cell>
          <cell r="D527">
            <v>0</v>
          </cell>
        </row>
        <row r="528">
          <cell r="A528" t="str">
            <v>201-004-001-0007</v>
          </cell>
          <cell r="B528" t="str">
            <v>Partition</v>
          </cell>
          <cell r="C528">
            <v>4</v>
          </cell>
          <cell r="D528">
            <v>0</v>
          </cell>
        </row>
        <row r="529">
          <cell r="A529" t="str">
            <v>201-004-001-0008</v>
          </cell>
          <cell r="B529" t="str">
            <v>Carpets</v>
          </cell>
          <cell r="C529">
            <v>4</v>
          </cell>
          <cell r="D529">
            <v>0</v>
          </cell>
        </row>
        <row r="530">
          <cell r="A530" t="str">
            <v>201-004-001-0009</v>
          </cell>
          <cell r="B530" t="str">
            <v>Portable Site Office Cabin</v>
          </cell>
          <cell r="C530">
            <v>4</v>
          </cell>
          <cell r="D530">
            <v>0</v>
          </cell>
        </row>
        <row r="531">
          <cell r="A531" t="str">
            <v>201-004-001-0010</v>
          </cell>
          <cell r="B531" t="str">
            <v>Matress</v>
          </cell>
          <cell r="C531">
            <v>4</v>
          </cell>
          <cell r="D531">
            <v>0</v>
          </cell>
        </row>
        <row r="532">
          <cell r="A532" t="str">
            <v>201-004-001-0011</v>
          </cell>
          <cell r="B532" t="str">
            <v>Tarpal</v>
          </cell>
          <cell r="C532">
            <v>4</v>
          </cell>
          <cell r="D532">
            <v>0</v>
          </cell>
        </row>
        <row r="533">
          <cell r="A533" t="str">
            <v>201-004-001-0012</v>
          </cell>
          <cell r="B533" t="str">
            <v>Steel Door</v>
          </cell>
          <cell r="C533">
            <v>4</v>
          </cell>
          <cell r="D533">
            <v>0</v>
          </cell>
        </row>
        <row r="534">
          <cell r="A534" t="str">
            <v>201-004-001-0013</v>
          </cell>
          <cell r="B534" t="str">
            <v>Bricks</v>
          </cell>
          <cell r="C534">
            <v>4</v>
          </cell>
          <cell r="D534">
            <v>0</v>
          </cell>
        </row>
        <row r="535">
          <cell r="A535" t="str">
            <v>201-005-000-0000</v>
          </cell>
          <cell r="B535" t="str">
            <v>Vehicles</v>
          </cell>
          <cell r="C535">
            <v>2</v>
          </cell>
          <cell r="D535">
            <v>680000</v>
          </cell>
        </row>
        <row r="536">
          <cell r="A536" t="str">
            <v>201-005-001-0000</v>
          </cell>
          <cell r="B536" t="str">
            <v>Heavy  Vehicle</v>
          </cell>
          <cell r="C536">
            <v>3</v>
          </cell>
          <cell r="D536">
            <v>680000</v>
          </cell>
        </row>
        <row r="537">
          <cell r="A537" t="str">
            <v>201-005-002-0000</v>
          </cell>
          <cell r="B537" t="str">
            <v>Light Vehicle</v>
          </cell>
          <cell r="C537">
            <v>3</v>
          </cell>
          <cell r="D537">
            <v>0</v>
          </cell>
        </row>
        <row r="538">
          <cell r="A538" t="str">
            <v>201-005-002-0001</v>
          </cell>
          <cell r="B538" t="str">
            <v>Suzuki Cultus</v>
          </cell>
          <cell r="C538">
            <v>4</v>
          </cell>
          <cell r="D538">
            <v>680000</v>
          </cell>
        </row>
        <row r="539">
          <cell r="A539" t="str">
            <v>201-006-000-0000</v>
          </cell>
          <cell r="B539" t="str">
            <v>Office Equipments</v>
          </cell>
          <cell r="C539">
            <v>2</v>
          </cell>
          <cell r="D539">
            <v>0</v>
          </cell>
        </row>
        <row r="540">
          <cell r="A540" t="str">
            <v>201-006-001-0000</v>
          </cell>
          <cell r="B540" t="str">
            <v>Office Equipments</v>
          </cell>
          <cell r="C540">
            <v>3</v>
          </cell>
          <cell r="D540">
            <v>0</v>
          </cell>
        </row>
        <row r="541">
          <cell r="A541" t="str">
            <v>201-006-001-0001</v>
          </cell>
          <cell r="B541" t="str">
            <v>Telephones and Telephone Exchange</v>
          </cell>
          <cell r="C541">
            <v>4</v>
          </cell>
          <cell r="D541">
            <v>0</v>
          </cell>
        </row>
        <row r="542">
          <cell r="A542" t="str">
            <v>201-006-001-0002</v>
          </cell>
          <cell r="B542" t="str">
            <v>Fax Machine</v>
          </cell>
          <cell r="C542">
            <v>4</v>
          </cell>
          <cell r="D542">
            <v>0</v>
          </cell>
        </row>
        <row r="543">
          <cell r="A543" t="str">
            <v>201-006-001-0003</v>
          </cell>
          <cell r="B543" t="str">
            <v>Pagers</v>
          </cell>
          <cell r="C543">
            <v>4</v>
          </cell>
          <cell r="D543">
            <v>0</v>
          </cell>
        </row>
        <row r="544">
          <cell r="A544" t="str">
            <v>201-006-001-0004</v>
          </cell>
          <cell r="B544" t="str">
            <v>Mobile Phone Sets</v>
          </cell>
          <cell r="C544">
            <v>4</v>
          </cell>
          <cell r="D544">
            <v>0</v>
          </cell>
        </row>
        <row r="545">
          <cell r="A545" t="str">
            <v>201-006-001-0005</v>
          </cell>
          <cell r="B545" t="str">
            <v>Type Writer</v>
          </cell>
          <cell r="C545">
            <v>4</v>
          </cell>
          <cell r="D545">
            <v>0</v>
          </cell>
        </row>
        <row r="546">
          <cell r="A546" t="str">
            <v>201-006-001-0006</v>
          </cell>
          <cell r="B546" t="str">
            <v>Calculators</v>
          </cell>
          <cell r="C546">
            <v>4</v>
          </cell>
          <cell r="D546">
            <v>0</v>
          </cell>
        </row>
        <row r="547">
          <cell r="A547" t="str">
            <v>201-006-001-0007</v>
          </cell>
          <cell r="B547" t="str">
            <v>Clocks</v>
          </cell>
          <cell r="C547">
            <v>4</v>
          </cell>
          <cell r="D547">
            <v>0</v>
          </cell>
        </row>
        <row r="548">
          <cell r="A548" t="str">
            <v>201-006-001-0008</v>
          </cell>
          <cell r="B548" t="str">
            <v>Projector</v>
          </cell>
          <cell r="C548">
            <v>4</v>
          </cell>
          <cell r="D548">
            <v>0</v>
          </cell>
        </row>
        <row r="549">
          <cell r="A549" t="str">
            <v>201-006-001-0009</v>
          </cell>
          <cell r="B549" t="str">
            <v>Fire Fighting Equipments</v>
          </cell>
          <cell r="C549">
            <v>4</v>
          </cell>
          <cell r="D549">
            <v>0</v>
          </cell>
        </row>
        <row r="550">
          <cell r="A550" t="str">
            <v>201-006-001-0010</v>
          </cell>
          <cell r="B550" t="str">
            <v>Cameras (Still)</v>
          </cell>
          <cell r="C550">
            <v>4</v>
          </cell>
          <cell r="D550">
            <v>0</v>
          </cell>
        </row>
        <row r="551">
          <cell r="A551" t="str">
            <v>201-007-000-0000</v>
          </cell>
          <cell r="B551" t="str">
            <v>Electric Equipments and Installations</v>
          </cell>
          <cell r="C551">
            <v>2</v>
          </cell>
          <cell r="D551">
            <v>0</v>
          </cell>
        </row>
        <row r="552">
          <cell r="A552" t="str">
            <v>201-007-001-0000</v>
          </cell>
          <cell r="B552" t="str">
            <v>Electric Equipments and Installations</v>
          </cell>
          <cell r="C552">
            <v>3</v>
          </cell>
          <cell r="D552">
            <v>0</v>
          </cell>
        </row>
        <row r="553">
          <cell r="A553" t="str">
            <v>201-007-001-0001</v>
          </cell>
          <cell r="B553" t="str">
            <v>Air conditioners</v>
          </cell>
          <cell r="C553">
            <v>4</v>
          </cell>
          <cell r="D553">
            <v>0</v>
          </cell>
        </row>
        <row r="554">
          <cell r="A554" t="str">
            <v>201-007-001-0002</v>
          </cell>
          <cell r="B554" t="str">
            <v>Hot / cool Water cooler</v>
          </cell>
          <cell r="C554">
            <v>4</v>
          </cell>
          <cell r="D554">
            <v>0</v>
          </cell>
        </row>
        <row r="555">
          <cell r="A555" t="str">
            <v>201-007-001-0003</v>
          </cell>
          <cell r="B555" t="str">
            <v>Fans</v>
          </cell>
          <cell r="C555">
            <v>4</v>
          </cell>
          <cell r="D555">
            <v>0</v>
          </cell>
        </row>
        <row r="556">
          <cell r="A556" t="str">
            <v>201-007-001-0004</v>
          </cell>
          <cell r="B556" t="str">
            <v>Exhaust Fans</v>
          </cell>
          <cell r="C556">
            <v>4</v>
          </cell>
          <cell r="D556">
            <v>0</v>
          </cell>
        </row>
        <row r="557">
          <cell r="A557" t="str">
            <v>201-007-001-0005</v>
          </cell>
          <cell r="B557" t="str">
            <v>Water Pumps</v>
          </cell>
          <cell r="C557">
            <v>4</v>
          </cell>
          <cell r="D557">
            <v>0</v>
          </cell>
        </row>
        <row r="558">
          <cell r="A558" t="str">
            <v>201-007-001-0006</v>
          </cell>
          <cell r="B558" t="str">
            <v>T.V</v>
          </cell>
          <cell r="C558">
            <v>4</v>
          </cell>
          <cell r="D558">
            <v>0</v>
          </cell>
        </row>
        <row r="559">
          <cell r="A559" t="str">
            <v>201-007-001-0007</v>
          </cell>
          <cell r="B559" t="str">
            <v>VCR</v>
          </cell>
          <cell r="C559">
            <v>4</v>
          </cell>
          <cell r="D559">
            <v>0</v>
          </cell>
        </row>
        <row r="560">
          <cell r="A560" t="str">
            <v>201-007-001-0008</v>
          </cell>
          <cell r="B560" t="str">
            <v>Gas Appliances</v>
          </cell>
          <cell r="C560">
            <v>4</v>
          </cell>
          <cell r="D560">
            <v>0</v>
          </cell>
        </row>
        <row r="561">
          <cell r="A561" t="str">
            <v>201-007-001-0009</v>
          </cell>
          <cell r="B561" t="str">
            <v>Refrigerators</v>
          </cell>
          <cell r="C561">
            <v>4</v>
          </cell>
          <cell r="D561">
            <v>0</v>
          </cell>
        </row>
        <row r="562">
          <cell r="A562" t="str">
            <v>201-007-001-0010</v>
          </cell>
          <cell r="B562" t="str">
            <v>Water Filter</v>
          </cell>
          <cell r="C562">
            <v>4</v>
          </cell>
          <cell r="D562">
            <v>0</v>
          </cell>
        </row>
        <row r="563">
          <cell r="A563" t="str">
            <v>201-007-001-0011</v>
          </cell>
          <cell r="B563" t="str">
            <v>400 KVA Transformer</v>
          </cell>
          <cell r="C563">
            <v>4</v>
          </cell>
          <cell r="D563">
            <v>0</v>
          </cell>
        </row>
        <row r="564">
          <cell r="A564" t="str">
            <v>201-007-001-0012</v>
          </cell>
          <cell r="B564" t="str">
            <v>Vaccum Pump</v>
          </cell>
          <cell r="C564">
            <v>4</v>
          </cell>
          <cell r="D564">
            <v>0</v>
          </cell>
        </row>
        <row r="565">
          <cell r="A565" t="str">
            <v>201-007-001-0013</v>
          </cell>
          <cell r="B565" t="str">
            <v>Office Bell</v>
          </cell>
          <cell r="C565">
            <v>4</v>
          </cell>
          <cell r="D565">
            <v>0</v>
          </cell>
        </row>
        <row r="566">
          <cell r="A566" t="str">
            <v>201-007-001-0014</v>
          </cell>
          <cell r="B566" t="str">
            <v>Room AIR Cooler</v>
          </cell>
          <cell r="C566">
            <v>4</v>
          </cell>
          <cell r="D566">
            <v>0</v>
          </cell>
        </row>
        <row r="567">
          <cell r="A567" t="str">
            <v>201-008-000-0000</v>
          </cell>
          <cell r="B567" t="str">
            <v>Wireless Equipments</v>
          </cell>
          <cell r="C567">
            <v>2</v>
          </cell>
          <cell r="D567">
            <v>0</v>
          </cell>
        </row>
        <row r="568">
          <cell r="A568" t="str">
            <v>201-008-001-0000</v>
          </cell>
          <cell r="B568" t="str">
            <v>Wireless Equipments</v>
          </cell>
          <cell r="C568">
            <v>3</v>
          </cell>
          <cell r="D568">
            <v>0</v>
          </cell>
        </row>
        <row r="569">
          <cell r="A569" t="str">
            <v>201-008-001-0001</v>
          </cell>
          <cell r="B569" t="str">
            <v>Wireless Equipments</v>
          </cell>
          <cell r="C569">
            <v>4</v>
          </cell>
          <cell r="D569">
            <v>0</v>
          </cell>
        </row>
        <row r="570">
          <cell r="A570" t="str">
            <v>201-009-000-0000</v>
          </cell>
          <cell r="B570" t="str">
            <v>Laboratory Equipments</v>
          </cell>
          <cell r="C570">
            <v>2</v>
          </cell>
          <cell r="D570">
            <v>0</v>
          </cell>
        </row>
        <row r="571">
          <cell r="A571" t="str">
            <v>201-009-001-0000</v>
          </cell>
          <cell r="B571" t="str">
            <v>Laboratory Equipments</v>
          </cell>
          <cell r="C571">
            <v>3</v>
          </cell>
          <cell r="D571">
            <v>0</v>
          </cell>
        </row>
        <row r="572">
          <cell r="A572" t="str">
            <v>201-009-001-0001</v>
          </cell>
          <cell r="B572" t="str">
            <v>Laboratory Equipments</v>
          </cell>
          <cell r="C572">
            <v>4</v>
          </cell>
          <cell r="D572">
            <v>0</v>
          </cell>
        </row>
        <row r="573">
          <cell r="A573" t="str">
            <v>201-010-000-0000</v>
          </cell>
          <cell r="B573" t="str">
            <v>Survey Equipments</v>
          </cell>
          <cell r="C573">
            <v>2</v>
          </cell>
          <cell r="D573">
            <v>0</v>
          </cell>
        </row>
        <row r="574">
          <cell r="A574" t="str">
            <v>201-010-001-0000</v>
          </cell>
          <cell r="B574" t="str">
            <v>Survey Equipments</v>
          </cell>
          <cell r="C574">
            <v>3</v>
          </cell>
          <cell r="D574">
            <v>0</v>
          </cell>
        </row>
        <row r="575">
          <cell r="A575" t="str">
            <v>201-010-001-0001</v>
          </cell>
          <cell r="B575" t="str">
            <v>Survey Equipments</v>
          </cell>
          <cell r="C575">
            <v>4</v>
          </cell>
          <cell r="D575">
            <v>0</v>
          </cell>
        </row>
        <row r="576">
          <cell r="A576" t="str">
            <v>201-011-000-0000</v>
          </cell>
          <cell r="B576" t="str">
            <v>Computers</v>
          </cell>
          <cell r="C576">
            <v>2</v>
          </cell>
          <cell r="D576">
            <v>0</v>
          </cell>
        </row>
        <row r="577">
          <cell r="A577" t="str">
            <v>201-011-001-0000</v>
          </cell>
          <cell r="B577" t="str">
            <v>Computers</v>
          </cell>
          <cell r="C577">
            <v>3</v>
          </cell>
          <cell r="D577">
            <v>0</v>
          </cell>
        </row>
        <row r="578">
          <cell r="A578" t="str">
            <v>201-011-001-0001</v>
          </cell>
          <cell r="B578" t="str">
            <v>CPU + Monitors+Key Board+Mouse</v>
          </cell>
          <cell r="C578">
            <v>4</v>
          </cell>
          <cell r="D578">
            <v>0</v>
          </cell>
        </row>
        <row r="579">
          <cell r="A579" t="str">
            <v>201-011-001-0002</v>
          </cell>
          <cell r="B579" t="str">
            <v>Printers</v>
          </cell>
          <cell r="C579">
            <v>4</v>
          </cell>
          <cell r="D579">
            <v>0</v>
          </cell>
        </row>
        <row r="580">
          <cell r="A580" t="str">
            <v>201-011-001-0003</v>
          </cell>
          <cell r="B580" t="str">
            <v>UPS</v>
          </cell>
          <cell r="C580">
            <v>4</v>
          </cell>
          <cell r="D580">
            <v>0</v>
          </cell>
        </row>
        <row r="581">
          <cell r="A581" t="str">
            <v>201-011-001-0004</v>
          </cell>
          <cell r="B581" t="str">
            <v>Stablizers</v>
          </cell>
          <cell r="C581">
            <v>4</v>
          </cell>
          <cell r="D581">
            <v>0</v>
          </cell>
        </row>
        <row r="582">
          <cell r="A582" t="str">
            <v>202-000-000-0000</v>
          </cell>
          <cell r="B582" t="str">
            <v>Accumulated Depriciation of Operating Fixed Assets</v>
          </cell>
          <cell r="C582">
            <v>1</v>
          </cell>
          <cell r="D582">
            <v>-68000</v>
          </cell>
        </row>
        <row r="583">
          <cell r="A583" t="str">
            <v>202-001-000-0000</v>
          </cell>
          <cell r="B583" t="str">
            <v>Accumulated Depriciation of Operating Fixed Assets</v>
          </cell>
          <cell r="C583">
            <v>2</v>
          </cell>
          <cell r="D583">
            <v>-68000</v>
          </cell>
        </row>
        <row r="584">
          <cell r="A584" t="str">
            <v>202-001-001-0000</v>
          </cell>
          <cell r="B584" t="str">
            <v>Accumulated Depriciation of Operating Fixed Assets</v>
          </cell>
          <cell r="C584">
            <v>3</v>
          </cell>
          <cell r="D584">
            <v>-68000</v>
          </cell>
        </row>
        <row r="585">
          <cell r="A585" t="str">
            <v>202-001-001-0001</v>
          </cell>
          <cell r="B585" t="str">
            <v>Accumulated Depriciation of Operating Fixed Assets</v>
          </cell>
          <cell r="C585">
            <v>4</v>
          </cell>
          <cell r="D585">
            <v>-68000</v>
          </cell>
        </row>
        <row r="586">
          <cell r="A586" t="str">
            <v>203-000-000-0000</v>
          </cell>
          <cell r="B586" t="str">
            <v>Assets Subject to Finance Lease</v>
          </cell>
          <cell r="C586">
            <v>1</v>
          </cell>
          <cell r="D586">
            <v>0</v>
          </cell>
        </row>
        <row r="587">
          <cell r="A587" t="str">
            <v>203-001-000-0000</v>
          </cell>
          <cell r="B587" t="str">
            <v>Assets Subject to Finance Lease</v>
          </cell>
          <cell r="C587">
            <v>2</v>
          </cell>
          <cell r="D587">
            <v>0</v>
          </cell>
        </row>
        <row r="588">
          <cell r="A588" t="str">
            <v>203-001-001-0000</v>
          </cell>
          <cell r="B588" t="str">
            <v>Assets Subject to Finance Lease</v>
          </cell>
          <cell r="C588">
            <v>3</v>
          </cell>
          <cell r="D588">
            <v>0</v>
          </cell>
        </row>
        <row r="589">
          <cell r="A589" t="str">
            <v>203-001-001-0001</v>
          </cell>
          <cell r="B589" t="str">
            <v>Assets Subject to Finance Lease</v>
          </cell>
          <cell r="C589">
            <v>4</v>
          </cell>
          <cell r="D589">
            <v>0</v>
          </cell>
        </row>
        <row r="590">
          <cell r="A590" t="str">
            <v>204-000-000-0000</v>
          </cell>
          <cell r="B590" t="str">
            <v>Accumulated Amortisation of Assets Subect to Finan</v>
          </cell>
          <cell r="C590">
            <v>1</v>
          </cell>
          <cell r="D590">
            <v>0</v>
          </cell>
        </row>
        <row r="591">
          <cell r="A591" t="str">
            <v>204-001-000-0000</v>
          </cell>
          <cell r="B591" t="str">
            <v>Accumulated Amortisation of Assets Subect to Finan</v>
          </cell>
          <cell r="C591">
            <v>2</v>
          </cell>
          <cell r="D591">
            <v>0</v>
          </cell>
        </row>
        <row r="592">
          <cell r="A592" t="str">
            <v>204-001-001-0000</v>
          </cell>
          <cell r="B592" t="str">
            <v>Accumulated Amortisation of Assets Subect to Finan</v>
          </cell>
          <cell r="C592">
            <v>3</v>
          </cell>
          <cell r="D592">
            <v>0</v>
          </cell>
        </row>
        <row r="593">
          <cell r="A593" t="str">
            <v>204-001-001-0001</v>
          </cell>
          <cell r="B593" t="str">
            <v>Accumulated Amortisation of Assets Subect to Finan</v>
          </cell>
          <cell r="C593">
            <v>4</v>
          </cell>
          <cell r="D593">
            <v>0</v>
          </cell>
        </row>
        <row r="594">
          <cell r="A594" t="str">
            <v>205-000-000-0000</v>
          </cell>
          <cell r="B594" t="str">
            <v>Capital Work in Progress</v>
          </cell>
          <cell r="C594">
            <v>1</v>
          </cell>
          <cell r="D594">
            <v>0</v>
          </cell>
        </row>
        <row r="595">
          <cell r="A595" t="str">
            <v>205-001-000-0000</v>
          </cell>
          <cell r="B595" t="str">
            <v>Capital Work in Progress</v>
          </cell>
          <cell r="C595">
            <v>2</v>
          </cell>
          <cell r="D595">
            <v>0</v>
          </cell>
        </row>
        <row r="596">
          <cell r="A596" t="str">
            <v>205-001-001-0000</v>
          </cell>
          <cell r="B596" t="str">
            <v>Capital Work in Progress</v>
          </cell>
          <cell r="C596">
            <v>3</v>
          </cell>
          <cell r="D596">
            <v>0</v>
          </cell>
        </row>
        <row r="597">
          <cell r="A597" t="str">
            <v>205-001-001-0001</v>
          </cell>
          <cell r="B597" t="str">
            <v>Capital Work in Progress</v>
          </cell>
          <cell r="C597">
            <v>4</v>
          </cell>
          <cell r="D597">
            <v>0</v>
          </cell>
        </row>
        <row r="598">
          <cell r="A598" t="str">
            <v>206-000-000-0000</v>
          </cell>
          <cell r="B598" t="str">
            <v>Long Term Investments</v>
          </cell>
          <cell r="C598">
            <v>1</v>
          </cell>
          <cell r="D598">
            <v>0</v>
          </cell>
        </row>
        <row r="599">
          <cell r="A599" t="str">
            <v>206-001-000-0000</v>
          </cell>
          <cell r="B599" t="str">
            <v>Long Term Investments</v>
          </cell>
          <cell r="C599">
            <v>2</v>
          </cell>
          <cell r="D599">
            <v>0</v>
          </cell>
        </row>
        <row r="600">
          <cell r="A600" t="str">
            <v>206-001-001-0000</v>
          </cell>
          <cell r="B600" t="str">
            <v>Long Term Investments</v>
          </cell>
          <cell r="C600">
            <v>3</v>
          </cell>
          <cell r="D600">
            <v>0</v>
          </cell>
        </row>
        <row r="601">
          <cell r="A601" t="str">
            <v>206-001-001-0001</v>
          </cell>
          <cell r="B601" t="str">
            <v>Long Term Investments</v>
          </cell>
          <cell r="C601">
            <v>4</v>
          </cell>
          <cell r="D601">
            <v>0</v>
          </cell>
        </row>
        <row r="602">
          <cell r="A602" t="str">
            <v>207-000-000-0000</v>
          </cell>
          <cell r="B602" t="str">
            <v>Long Term Loans, Deposits and Deferred Cost</v>
          </cell>
          <cell r="C602">
            <v>1</v>
          </cell>
          <cell r="D602">
            <v>0</v>
          </cell>
        </row>
        <row r="603">
          <cell r="A603" t="str">
            <v>207-001-000-0000</v>
          </cell>
          <cell r="B603" t="str">
            <v>Long Term Loans, Deposits and Deferred Cost</v>
          </cell>
          <cell r="C603">
            <v>2</v>
          </cell>
          <cell r="D603">
            <v>0</v>
          </cell>
        </row>
        <row r="604">
          <cell r="A604" t="str">
            <v>207-001-001-0000</v>
          </cell>
          <cell r="B604" t="str">
            <v>Long Term Loans</v>
          </cell>
          <cell r="C604">
            <v>3</v>
          </cell>
          <cell r="D604">
            <v>0</v>
          </cell>
        </row>
        <row r="605">
          <cell r="A605" t="str">
            <v>207-001-001-0001</v>
          </cell>
          <cell r="B605" t="str">
            <v>Loan</v>
          </cell>
          <cell r="C605">
            <v>4</v>
          </cell>
          <cell r="D605">
            <v>0</v>
          </cell>
        </row>
        <row r="606">
          <cell r="A606" t="str">
            <v>207-001-002-0000</v>
          </cell>
          <cell r="B606" t="str">
            <v>Long Term Deposits</v>
          </cell>
          <cell r="C606">
            <v>3</v>
          </cell>
          <cell r="D606">
            <v>0</v>
          </cell>
        </row>
        <row r="607">
          <cell r="A607" t="str">
            <v>207-001-002-0001</v>
          </cell>
          <cell r="B607" t="str">
            <v>Deposits</v>
          </cell>
          <cell r="C607">
            <v>4</v>
          </cell>
          <cell r="D607">
            <v>0</v>
          </cell>
        </row>
        <row r="608">
          <cell r="A608" t="str">
            <v>207-001-003-0000</v>
          </cell>
          <cell r="B608" t="str">
            <v>Deferred  Cost</v>
          </cell>
          <cell r="C608">
            <v>3</v>
          </cell>
          <cell r="D608">
            <v>0</v>
          </cell>
        </row>
        <row r="609">
          <cell r="A609" t="str">
            <v>207-001-003-0001</v>
          </cell>
          <cell r="B609" t="str">
            <v>Deferred  Cost</v>
          </cell>
          <cell r="C609">
            <v>4</v>
          </cell>
          <cell r="D609">
            <v>0</v>
          </cell>
        </row>
        <row r="610">
          <cell r="A610" t="str">
            <v>208-000-000-0000</v>
          </cell>
          <cell r="B610" t="str">
            <v>Stores, Spares and Losse Tools</v>
          </cell>
          <cell r="C610">
            <v>1</v>
          </cell>
          <cell r="D610">
            <v>0</v>
          </cell>
        </row>
        <row r="611">
          <cell r="A611" t="str">
            <v>208-001-000-0000</v>
          </cell>
          <cell r="B611" t="str">
            <v>Stores, Spares and Losse Tools</v>
          </cell>
          <cell r="C611">
            <v>2</v>
          </cell>
          <cell r="D611">
            <v>0</v>
          </cell>
        </row>
        <row r="612">
          <cell r="A612" t="str">
            <v>208-001-001-0000</v>
          </cell>
          <cell r="B612" t="str">
            <v>Stores, Spares and Losse Tools</v>
          </cell>
          <cell r="C612">
            <v>3</v>
          </cell>
          <cell r="D612">
            <v>0</v>
          </cell>
        </row>
        <row r="613">
          <cell r="A613" t="str">
            <v>208-001-001-0001</v>
          </cell>
          <cell r="B613" t="str">
            <v>Stores</v>
          </cell>
          <cell r="C613">
            <v>4</v>
          </cell>
          <cell r="D613">
            <v>0</v>
          </cell>
        </row>
        <row r="614">
          <cell r="A614" t="str">
            <v>208-001-001-0002</v>
          </cell>
          <cell r="B614" t="str">
            <v>Spares</v>
          </cell>
          <cell r="C614">
            <v>4</v>
          </cell>
          <cell r="D614">
            <v>0</v>
          </cell>
        </row>
        <row r="615">
          <cell r="A615" t="str">
            <v>208-001-001-0003</v>
          </cell>
          <cell r="B615" t="str">
            <v>Loose Tools</v>
          </cell>
          <cell r="C615">
            <v>4</v>
          </cell>
          <cell r="D615">
            <v>0</v>
          </cell>
        </row>
        <row r="616">
          <cell r="A616" t="str">
            <v>209-000-000-0000</v>
          </cell>
          <cell r="B616" t="str">
            <v>Stock in Trade</v>
          </cell>
          <cell r="C616">
            <v>1</v>
          </cell>
          <cell r="D616">
            <v>0</v>
          </cell>
        </row>
        <row r="617">
          <cell r="A617" t="str">
            <v>209-001-000-0000</v>
          </cell>
          <cell r="B617" t="str">
            <v>Stock in Trade</v>
          </cell>
          <cell r="C617">
            <v>2</v>
          </cell>
          <cell r="D617">
            <v>0</v>
          </cell>
        </row>
        <row r="618">
          <cell r="A618" t="str">
            <v>209-001-001-0000</v>
          </cell>
          <cell r="B618" t="str">
            <v>Stock in Trade</v>
          </cell>
          <cell r="C618">
            <v>3</v>
          </cell>
          <cell r="D618">
            <v>0</v>
          </cell>
        </row>
        <row r="619">
          <cell r="A619" t="str">
            <v>209-001-001-0001</v>
          </cell>
          <cell r="B619" t="str">
            <v>Raw material</v>
          </cell>
          <cell r="C619">
            <v>4</v>
          </cell>
          <cell r="D619">
            <v>0</v>
          </cell>
        </row>
        <row r="620">
          <cell r="A620" t="str">
            <v>209-001-001-0002</v>
          </cell>
          <cell r="B620" t="str">
            <v>Construction material</v>
          </cell>
          <cell r="C620">
            <v>4</v>
          </cell>
          <cell r="D620">
            <v>0</v>
          </cell>
        </row>
        <row r="621">
          <cell r="A621" t="str">
            <v>209-001-001-0003</v>
          </cell>
          <cell r="B621" t="str">
            <v>Precasting factory material</v>
          </cell>
          <cell r="C621">
            <v>4</v>
          </cell>
          <cell r="D621">
            <v>0</v>
          </cell>
        </row>
        <row r="622">
          <cell r="A622" t="str">
            <v>209-001-001-0004</v>
          </cell>
          <cell r="B622" t="str">
            <v>Work in Process</v>
          </cell>
          <cell r="C622">
            <v>4</v>
          </cell>
          <cell r="D622">
            <v>0</v>
          </cell>
        </row>
        <row r="623">
          <cell r="A623" t="str">
            <v>209-001-001-0005</v>
          </cell>
          <cell r="B623" t="str">
            <v>Finished Goods</v>
          </cell>
          <cell r="C623">
            <v>4</v>
          </cell>
          <cell r="D623">
            <v>0</v>
          </cell>
        </row>
        <row r="624">
          <cell r="A624" t="str">
            <v>210-000-000-0000</v>
          </cell>
          <cell r="B624" t="str">
            <v>Work in progress</v>
          </cell>
          <cell r="C624">
            <v>1</v>
          </cell>
          <cell r="D624">
            <v>0</v>
          </cell>
        </row>
        <row r="625">
          <cell r="A625" t="str">
            <v>210-001-000-0000</v>
          </cell>
          <cell r="B625" t="str">
            <v>Work in progress</v>
          </cell>
          <cell r="C625">
            <v>2</v>
          </cell>
          <cell r="D625">
            <v>0</v>
          </cell>
        </row>
        <row r="626">
          <cell r="A626" t="str">
            <v>210-001-001-0000</v>
          </cell>
          <cell r="B626" t="str">
            <v>Work in progress</v>
          </cell>
          <cell r="C626">
            <v>3</v>
          </cell>
          <cell r="D626">
            <v>0</v>
          </cell>
        </row>
        <row r="627">
          <cell r="A627" t="str">
            <v>210-001-001-0001</v>
          </cell>
          <cell r="B627" t="str">
            <v>Work in progress</v>
          </cell>
          <cell r="C627">
            <v>4</v>
          </cell>
          <cell r="D627">
            <v>0</v>
          </cell>
        </row>
        <row r="628">
          <cell r="A628" t="str">
            <v>211-000-000-0000</v>
          </cell>
          <cell r="B628" t="str">
            <v>Contract Receivable/Trade Debts</v>
          </cell>
          <cell r="C628">
            <v>1</v>
          </cell>
          <cell r="D628">
            <v>13124222</v>
          </cell>
        </row>
        <row r="629">
          <cell r="A629" t="str">
            <v>211-001-000-0000</v>
          </cell>
          <cell r="B629" t="str">
            <v>Contract Receivable/Trade Debts</v>
          </cell>
          <cell r="C629">
            <v>2</v>
          </cell>
          <cell r="D629">
            <v>13124222</v>
          </cell>
        </row>
        <row r="630">
          <cell r="A630" t="str">
            <v>211-001-001-0000</v>
          </cell>
          <cell r="B630" t="str">
            <v>Contract Receivable/Trade Debts</v>
          </cell>
          <cell r="C630">
            <v>3</v>
          </cell>
          <cell r="D630">
            <v>13124222</v>
          </cell>
        </row>
        <row r="631">
          <cell r="A631" t="str">
            <v>211-001-001-0001</v>
          </cell>
          <cell r="B631" t="str">
            <v>Contract Receivable from NHA Account RUADP</v>
          </cell>
          <cell r="C631">
            <v>4</v>
          </cell>
          <cell r="D631">
            <v>0</v>
          </cell>
        </row>
        <row r="632">
          <cell r="A632" t="str">
            <v>211-001-001-0002</v>
          </cell>
          <cell r="B632" t="str">
            <v>Contract Receivable from NHA PTCL</v>
          </cell>
          <cell r="C632">
            <v>4</v>
          </cell>
          <cell r="D632">
            <v>0</v>
          </cell>
        </row>
        <row r="633">
          <cell r="A633" t="str">
            <v>211-001-001-0003</v>
          </cell>
          <cell r="B633" t="str">
            <v>Contract Receivable from NHA Cantt Board Project</v>
          </cell>
          <cell r="C633">
            <v>4</v>
          </cell>
          <cell r="D633">
            <v>0</v>
          </cell>
        </row>
        <row r="634">
          <cell r="A634" t="str">
            <v>211-001-001-0004</v>
          </cell>
          <cell r="B634" t="str">
            <v>Contract Receivable from NHA Service Road M-2</v>
          </cell>
          <cell r="C634">
            <v>4</v>
          </cell>
          <cell r="D634">
            <v>0</v>
          </cell>
        </row>
        <row r="635">
          <cell r="A635" t="str">
            <v>211-001-001-0005</v>
          </cell>
          <cell r="B635" t="str">
            <v>Contract Receivable from NHA Cantt Board Prj (FAA)</v>
          </cell>
          <cell r="C635">
            <v>4</v>
          </cell>
          <cell r="D635">
            <v>0</v>
          </cell>
        </row>
        <row r="636">
          <cell r="A636" t="str">
            <v>211-001-001-0006</v>
          </cell>
          <cell r="B636" t="str">
            <v>Contract Receivable from Dina Driving School</v>
          </cell>
          <cell r="C636">
            <v>4</v>
          </cell>
          <cell r="D636">
            <v>0</v>
          </cell>
        </row>
        <row r="637">
          <cell r="A637" t="str">
            <v>211-001-001-0007</v>
          </cell>
          <cell r="B637" t="str">
            <v>Contract Receivable from OTC CMH</v>
          </cell>
          <cell r="C637">
            <v>4</v>
          </cell>
          <cell r="D637">
            <v>13124222</v>
          </cell>
        </row>
        <row r="638">
          <cell r="A638" t="str">
            <v>212-000-000-0000</v>
          </cell>
          <cell r="B638" t="str">
            <v>Loans, Advances, Deposits, Prepayments and other R</v>
          </cell>
          <cell r="C638">
            <v>1</v>
          </cell>
          <cell r="D638">
            <v>2932381</v>
          </cell>
        </row>
        <row r="639">
          <cell r="A639" t="str">
            <v>212-001-000-0000</v>
          </cell>
          <cell r="B639" t="str">
            <v>Loans</v>
          </cell>
          <cell r="C639">
            <v>2</v>
          </cell>
          <cell r="D639">
            <v>0</v>
          </cell>
        </row>
        <row r="640">
          <cell r="A640" t="str">
            <v>212-001-001-0000</v>
          </cell>
          <cell r="B640" t="str">
            <v>Loans to Associated Projects</v>
          </cell>
          <cell r="C640">
            <v>3</v>
          </cell>
          <cell r="D640">
            <v>0</v>
          </cell>
        </row>
        <row r="641">
          <cell r="A641" t="str">
            <v>212-001-001-0001</v>
          </cell>
          <cell r="B641" t="str">
            <v>Local Loans RUADP</v>
          </cell>
          <cell r="C641">
            <v>4</v>
          </cell>
          <cell r="D641">
            <v>0</v>
          </cell>
        </row>
        <row r="642">
          <cell r="A642" t="str">
            <v>212-001-001-0002</v>
          </cell>
          <cell r="B642" t="str">
            <v>Local Loans PTCL Project</v>
          </cell>
          <cell r="C642">
            <v>4</v>
          </cell>
          <cell r="D642">
            <v>0</v>
          </cell>
        </row>
        <row r="643">
          <cell r="A643" t="str">
            <v>212-001-001-0003</v>
          </cell>
          <cell r="B643" t="str">
            <v>Local Loan Cantt Board Projects</v>
          </cell>
          <cell r="C643">
            <v>4</v>
          </cell>
          <cell r="D643">
            <v>0</v>
          </cell>
        </row>
        <row r="644">
          <cell r="A644" t="str">
            <v>212-001-001-0004</v>
          </cell>
          <cell r="B644" t="str">
            <v>Local Loan Service Road M-2</v>
          </cell>
          <cell r="C644">
            <v>4</v>
          </cell>
          <cell r="D644">
            <v>0</v>
          </cell>
        </row>
        <row r="645">
          <cell r="A645" t="str">
            <v>212-001-001-0005</v>
          </cell>
          <cell r="B645" t="str">
            <v>Local Loan Cantt Board Projects (FAA)</v>
          </cell>
          <cell r="C645">
            <v>4</v>
          </cell>
          <cell r="D645">
            <v>0</v>
          </cell>
        </row>
        <row r="646">
          <cell r="A646" t="str">
            <v>212-001-001-0006</v>
          </cell>
          <cell r="B646" t="str">
            <v>Local Loan to Proj Con KRAC</v>
          </cell>
          <cell r="C646">
            <v>4</v>
          </cell>
          <cell r="D646">
            <v>0</v>
          </cell>
        </row>
        <row r="647">
          <cell r="A647" t="str">
            <v>212-001-001-0007</v>
          </cell>
          <cell r="B647" t="str">
            <v>Local Loan to Proj Con MDA(AK)</v>
          </cell>
          <cell r="C647">
            <v>4</v>
          </cell>
          <cell r="D647">
            <v>0</v>
          </cell>
        </row>
        <row r="648">
          <cell r="A648" t="str">
            <v>212-001-001-0008</v>
          </cell>
          <cell r="B648" t="str">
            <v>Local Loan to Proj Con Driving Trac Dina NLC</v>
          </cell>
          <cell r="C648">
            <v>4</v>
          </cell>
          <cell r="D648">
            <v>0</v>
          </cell>
        </row>
        <row r="649">
          <cell r="A649" t="str">
            <v>212-001-001-9001</v>
          </cell>
          <cell r="B649" t="str">
            <v>Sawan camp</v>
          </cell>
          <cell r="C649">
            <v>4</v>
          </cell>
          <cell r="D649">
            <v>0</v>
          </cell>
        </row>
        <row r="650">
          <cell r="A650" t="str">
            <v>212-001-002-0000</v>
          </cell>
          <cell r="B650" t="str">
            <v>Loan To Army Officers</v>
          </cell>
          <cell r="C650">
            <v>3</v>
          </cell>
          <cell r="D650">
            <v>0</v>
          </cell>
        </row>
        <row r="651">
          <cell r="A651" t="str">
            <v>212-001-002-0001</v>
          </cell>
          <cell r="B651" t="str">
            <v>Loan To Army Officers</v>
          </cell>
          <cell r="C651">
            <v>4</v>
          </cell>
          <cell r="D651">
            <v>0</v>
          </cell>
        </row>
        <row r="652">
          <cell r="A652" t="str">
            <v>212-001-003-0000</v>
          </cell>
          <cell r="B652" t="str">
            <v>Loan to Civil Staff</v>
          </cell>
          <cell r="C652">
            <v>3</v>
          </cell>
          <cell r="D652">
            <v>0</v>
          </cell>
        </row>
        <row r="653">
          <cell r="A653" t="str">
            <v>212-001-003-0001</v>
          </cell>
          <cell r="B653" t="str">
            <v>Civilian Staff</v>
          </cell>
          <cell r="C653">
            <v>4</v>
          </cell>
          <cell r="D653">
            <v>0</v>
          </cell>
        </row>
        <row r="654">
          <cell r="A654" t="str">
            <v>212-001-004-0000</v>
          </cell>
          <cell r="B654" t="str">
            <v>Loan to JCOs' staff</v>
          </cell>
          <cell r="C654">
            <v>3</v>
          </cell>
          <cell r="D654">
            <v>0</v>
          </cell>
        </row>
        <row r="655">
          <cell r="A655" t="str">
            <v>212-001-004-0001</v>
          </cell>
          <cell r="B655" t="str">
            <v>Loan To JCO's Staff</v>
          </cell>
          <cell r="C655">
            <v>4</v>
          </cell>
          <cell r="D655">
            <v>0</v>
          </cell>
        </row>
        <row r="656">
          <cell r="A656" t="str">
            <v>212-002-000-0000</v>
          </cell>
          <cell r="B656" t="str">
            <v>Advance to Employees against Salaries</v>
          </cell>
          <cell r="C656">
            <v>2</v>
          </cell>
          <cell r="D656">
            <v>0</v>
          </cell>
        </row>
        <row r="657">
          <cell r="A657" t="str">
            <v>212-002-001-0000</v>
          </cell>
          <cell r="B657" t="str">
            <v>Advance to Army Officers</v>
          </cell>
          <cell r="C657">
            <v>3</v>
          </cell>
          <cell r="D657">
            <v>0</v>
          </cell>
        </row>
        <row r="658">
          <cell r="A658" t="str">
            <v>212-002-001-0001</v>
          </cell>
          <cell r="B658" t="str">
            <v>Army Officers</v>
          </cell>
          <cell r="C658">
            <v>4</v>
          </cell>
          <cell r="D658">
            <v>0</v>
          </cell>
        </row>
        <row r="659">
          <cell r="A659" t="str">
            <v>212-002-002-0000</v>
          </cell>
          <cell r="B659" t="str">
            <v>Advance to Civil staff</v>
          </cell>
          <cell r="C659">
            <v>3</v>
          </cell>
          <cell r="D659">
            <v>0</v>
          </cell>
        </row>
        <row r="660">
          <cell r="A660" t="str">
            <v>212-002-002-0001</v>
          </cell>
          <cell r="B660" t="str">
            <v>Civil staff</v>
          </cell>
          <cell r="C660">
            <v>4</v>
          </cell>
          <cell r="D660">
            <v>0</v>
          </cell>
        </row>
        <row r="661">
          <cell r="A661" t="str">
            <v>212-002-003-0000</v>
          </cell>
          <cell r="B661" t="str">
            <v>Advance to JCOs' Staff</v>
          </cell>
          <cell r="C661">
            <v>3</v>
          </cell>
          <cell r="D661">
            <v>0</v>
          </cell>
        </row>
        <row r="662">
          <cell r="A662" t="str">
            <v>212-003-000-0000</v>
          </cell>
          <cell r="B662" t="str">
            <v>Advance to Employees against Expenses</v>
          </cell>
          <cell r="C662">
            <v>2</v>
          </cell>
          <cell r="D662">
            <v>0</v>
          </cell>
        </row>
        <row r="663">
          <cell r="A663" t="str">
            <v>212-003-001-0000</v>
          </cell>
          <cell r="B663" t="str">
            <v>Advance to Army Officers</v>
          </cell>
          <cell r="C663">
            <v>3</v>
          </cell>
          <cell r="D663">
            <v>0</v>
          </cell>
        </row>
        <row r="664">
          <cell r="A664" t="str">
            <v>212-003-001-0001</v>
          </cell>
          <cell r="B664" t="str">
            <v>Advance To Army Officers</v>
          </cell>
          <cell r="C664">
            <v>4</v>
          </cell>
          <cell r="D664">
            <v>0</v>
          </cell>
        </row>
        <row r="665">
          <cell r="A665" t="str">
            <v>212-003-002-0000</v>
          </cell>
          <cell r="B665" t="str">
            <v>Advance to Civil staff</v>
          </cell>
          <cell r="C665">
            <v>3</v>
          </cell>
          <cell r="D665">
            <v>0</v>
          </cell>
        </row>
        <row r="666">
          <cell r="A666" t="str">
            <v>212-003-003-0000</v>
          </cell>
          <cell r="B666" t="str">
            <v>Advance to JCOs' Staff</v>
          </cell>
          <cell r="C666">
            <v>3</v>
          </cell>
          <cell r="D666">
            <v>0</v>
          </cell>
        </row>
        <row r="667">
          <cell r="A667" t="str">
            <v>212-004-000-0000</v>
          </cell>
          <cell r="B667" t="str">
            <v>Advance to Associated Projects</v>
          </cell>
          <cell r="C667">
            <v>2</v>
          </cell>
          <cell r="D667">
            <v>0</v>
          </cell>
        </row>
        <row r="668">
          <cell r="A668" t="str">
            <v>212-004-001-0000</v>
          </cell>
          <cell r="B668" t="str">
            <v>Advance to Associated Projects</v>
          </cell>
          <cell r="C668">
            <v>3</v>
          </cell>
          <cell r="D668">
            <v>0</v>
          </cell>
        </row>
        <row r="669">
          <cell r="A669" t="str">
            <v>212-005-000-0000</v>
          </cell>
          <cell r="B669" t="str">
            <v>Advance to Contractors</v>
          </cell>
          <cell r="C669">
            <v>2</v>
          </cell>
          <cell r="D669">
            <v>0</v>
          </cell>
        </row>
        <row r="670">
          <cell r="A670" t="str">
            <v>212-005-001-0000</v>
          </cell>
          <cell r="B670" t="str">
            <v>Advance to Contractors</v>
          </cell>
          <cell r="C670">
            <v>3</v>
          </cell>
          <cell r="D670">
            <v>0</v>
          </cell>
        </row>
        <row r="671">
          <cell r="A671" t="str">
            <v>212-005-001-0001</v>
          </cell>
          <cell r="B671" t="str">
            <v>Advance to Contractors</v>
          </cell>
          <cell r="C671">
            <v>4</v>
          </cell>
          <cell r="D671">
            <v>0</v>
          </cell>
        </row>
        <row r="672">
          <cell r="A672" t="str">
            <v>212-006-000-0000</v>
          </cell>
          <cell r="B672" t="str">
            <v>Moblization Advances</v>
          </cell>
          <cell r="C672">
            <v>2</v>
          </cell>
          <cell r="D672">
            <v>0</v>
          </cell>
        </row>
        <row r="673">
          <cell r="A673" t="str">
            <v>212-006-001-0000</v>
          </cell>
          <cell r="B673" t="str">
            <v>Moblization Advances</v>
          </cell>
          <cell r="C673">
            <v>3</v>
          </cell>
          <cell r="D673">
            <v>0</v>
          </cell>
        </row>
        <row r="674">
          <cell r="A674" t="str">
            <v>212-006-001-0001</v>
          </cell>
          <cell r="B674" t="str">
            <v>Moblization Advances NHA</v>
          </cell>
          <cell r="C674">
            <v>4</v>
          </cell>
          <cell r="D674">
            <v>0</v>
          </cell>
        </row>
        <row r="675">
          <cell r="A675" t="str">
            <v>212-006-001-0002</v>
          </cell>
          <cell r="B675" t="str">
            <v>Moblization Advances GHQ</v>
          </cell>
          <cell r="C675">
            <v>4</v>
          </cell>
          <cell r="D675">
            <v>0</v>
          </cell>
        </row>
        <row r="676">
          <cell r="A676" t="str">
            <v>212-006-002-0000</v>
          </cell>
          <cell r="B676" t="str">
            <v>Advance for Legal Charges</v>
          </cell>
          <cell r="C676">
            <v>3</v>
          </cell>
          <cell r="D676">
            <v>0</v>
          </cell>
        </row>
        <row r="677">
          <cell r="A677" t="str">
            <v>212-006-002-0001</v>
          </cell>
          <cell r="B677" t="str">
            <v>Advance for Legal Charges</v>
          </cell>
          <cell r="C677">
            <v>4</v>
          </cell>
          <cell r="D677">
            <v>0</v>
          </cell>
        </row>
        <row r="678">
          <cell r="A678" t="str">
            <v>212-007-000-0000</v>
          </cell>
          <cell r="B678" t="str">
            <v>Deposits</v>
          </cell>
          <cell r="C678">
            <v>2</v>
          </cell>
          <cell r="D678">
            <v>0</v>
          </cell>
        </row>
        <row r="679">
          <cell r="A679" t="str">
            <v>212-007-001-0000</v>
          </cell>
          <cell r="B679" t="str">
            <v>Deposits - Utilities</v>
          </cell>
          <cell r="C679">
            <v>3</v>
          </cell>
          <cell r="D679">
            <v>0</v>
          </cell>
        </row>
        <row r="680">
          <cell r="A680" t="str">
            <v>212-007-001-0001</v>
          </cell>
          <cell r="B680" t="str">
            <v>Telephone Security Deposits</v>
          </cell>
          <cell r="C680">
            <v>4</v>
          </cell>
          <cell r="D680">
            <v>0</v>
          </cell>
        </row>
        <row r="681">
          <cell r="A681" t="str">
            <v>212-007-001-0002</v>
          </cell>
          <cell r="B681" t="str">
            <v>Electricity Security Deposits</v>
          </cell>
          <cell r="C681">
            <v>4</v>
          </cell>
          <cell r="D681">
            <v>0</v>
          </cell>
        </row>
        <row r="682">
          <cell r="A682" t="str">
            <v>212-007-001-0003</v>
          </cell>
          <cell r="B682" t="str">
            <v>Mobilephone Security Deposits</v>
          </cell>
          <cell r="C682">
            <v>4</v>
          </cell>
          <cell r="D682">
            <v>0</v>
          </cell>
        </row>
        <row r="683">
          <cell r="A683" t="str">
            <v>212-007-001-0004</v>
          </cell>
          <cell r="B683" t="str">
            <v>Sui Gas Security Deposits</v>
          </cell>
          <cell r="C683">
            <v>4</v>
          </cell>
          <cell r="D683">
            <v>0</v>
          </cell>
        </row>
        <row r="684">
          <cell r="A684" t="str">
            <v>212-007-002-0000</v>
          </cell>
          <cell r="B684" t="str">
            <v>Security Deposit to Clints</v>
          </cell>
          <cell r="C684">
            <v>3</v>
          </cell>
          <cell r="D684">
            <v>0</v>
          </cell>
        </row>
        <row r="685">
          <cell r="A685" t="str">
            <v>212-008-000-0000</v>
          </cell>
          <cell r="B685" t="str">
            <v>Prepayments</v>
          </cell>
          <cell r="C685">
            <v>2</v>
          </cell>
          <cell r="D685">
            <v>1881000</v>
          </cell>
        </row>
        <row r="686">
          <cell r="A686" t="str">
            <v>212-008-001-0000</v>
          </cell>
          <cell r="B686" t="str">
            <v>Income Tax Deducted at Soruce</v>
          </cell>
          <cell r="C686">
            <v>3</v>
          </cell>
          <cell r="D686">
            <v>0</v>
          </cell>
        </row>
        <row r="687">
          <cell r="A687" t="str">
            <v>212-008-002-0000</v>
          </cell>
          <cell r="B687" t="str">
            <v>Letter of Credits</v>
          </cell>
          <cell r="C687">
            <v>3</v>
          </cell>
          <cell r="D687">
            <v>0</v>
          </cell>
        </row>
        <row r="688">
          <cell r="A688" t="str">
            <v>212-008-003-0000</v>
          </cell>
          <cell r="B688" t="str">
            <v>Bank Guarantee</v>
          </cell>
          <cell r="C688">
            <v>3</v>
          </cell>
          <cell r="D688">
            <v>0</v>
          </cell>
        </row>
        <row r="689">
          <cell r="A689" t="str">
            <v>212-008-004-0000</v>
          </cell>
          <cell r="B689" t="str">
            <v>Retention Money Receivable</v>
          </cell>
          <cell r="C689">
            <v>3</v>
          </cell>
          <cell r="D689">
            <v>1881000</v>
          </cell>
        </row>
        <row r="690">
          <cell r="A690" t="str">
            <v>212-008-004-0001</v>
          </cell>
          <cell r="B690" t="str">
            <v>Retention Money with NHA</v>
          </cell>
          <cell r="C690">
            <v>4</v>
          </cell>
          <cell r="D690">
            <v>0</v>
          </cell>
        </row>
        <row r="691">
          <cell r="A691" t="str">
            <v>212-008-004-0002</v>
          </cell>
          <cell r="B691" t="str">
            <v>Retention Money with PTCL</v>
          </cell>
          <cell r="C691">
            <v>4</v>
          </cell>
          <cell r="D691">
            <v>0</v>
          </cell>
        </row>
        <row r="692">
          <cell r="A692" t="str">
            <v>212-008-004-0003</v>
          </cell>
          <cell r="B692" t="str">
            <v>Retention Money with CBR</v>
          </cell>
          <cell r="C692">
            <v>4</v>
          </cell>
          <cell r="D692">
            <v>0</v>
          </cell>
        </row>
        <row r="693">
          <cell r="A693" t="str">
            <v>212-008-004-0004</v>
          </cell>
          <cell r="B693" t="str">
            <v>Retention Money with SVC Rd M-2</v>
          </cell>
          <cell r="C693">
            <v>4</v>
          </cell>
          <cell r="D693">
            <v>0</v>
          </cell>
        </row>
        <row r="694">
          <cell r="A694" t="str">
            <v>212-008-004-0005</v>
          </cell>
          <cell r="B694" t="str">
            <v>Retention Money with CBR ( FAA )</v>
          </cell>
          <cell r="C694">
            <v>4</v>
          </cell>
          <cell r="D694">
            <v>0</v>
          </cell>
        </row>
        <row r="695">
          <cell r="A695" t="str">
            <v>212-008-004-0007</v>
          </cell>
          <cell r="B695" t="str">
            <v>Retention Money with OTC CMH</v>
          </cell>
          <cell r="C695">
            <v>4</v>
          </cell>
          <cell r="D695">
            <v>1881000</v>
          </cell>
        </row>
        <row r="696">
          <cell r="A696" t="str">
            <v>212-009-000-0000</v>
          </cell>
          <cell r="B696" t="str">
            <v>Other Receivables</v>
          </cell>
          <cell r="C696">
            <v>2</v>
          </cell>
          <cell r="D696">
            <v>0</v>
          </cell>
        </row>
        <row r="697">
          <cell r="A697" t="str">
            <v>212-009-001-0000</v>
          </cell>
          <cell r="B697" t="str">
            <v>Other Receivables</v>
          </cell>
          <cell r="C697">
            <v>3</v>
          </cell>
          <cell r="D697">
            <v>0</v>
          </cell>
        </row>
        <row r="698">
          <cell r="A698" t="str">
            <v>212-009-001-0001</v>
          </cell>
          <cell r="B698" t="str">
            <v>Other Receivables</v>
          </cell>
          <cell r="C698">
            <v>4</v>
          </cell>
          <cell r="D698">
            <v>0</v>
          </cell>
        </row>
        <row r="699">
          <cell r="A699" t="str">
            <v>212-009-001-0002</v>
          </cell>
          <cell r="B699" t="str">
            <v>Profit from Bank Receivable</v>
          </cell>
          <cell r="C699">
            <v>4</v>
          </cell>
          <cell r="D699">
            <v>0</v>
          </cell>
        </row>
        <row r="700">
          <cell r="A700" t="str">
            <v>212-009-001-0003</v>
          </cell>
          <cell r="B700" t="str">
            <v>Hiring Receipts Receivable</v>
          </cell>
          <cell r="C700">
            <v>4</v>
          </cell>
          <cell r="D700">
            <v>0</v>
          </cell>
        </row>
        <row r="701">
          <cell r="A701" t="str">
            <v>212-010-000-0000</v>
          </cell>
          <cell r="B701" t="str">
            <v>Short Term Investment</v>
          </cell>
          <cell r="C701">
            <v>2</v>
          </cell>
          <cell r="D701">
            <v>0</v>
          </cell>
        </row>
        <row r="702">
          <cell r="A702" t="str">
            <v>212-010-001-0000</v>
          </cell>
          <cell r="B702" t="str">
            <v>Short Term Investment</v>
          </cell>
          <cell r="C702">
            <v>3</v>
          </cell>
          <cell r="D702">
            <v>0</v>
          </cell>
        </row>
        <row r="703">
          <cell r="A703" t="str">
            <v>212-011-000-0000</v>
          </cell>
          <cell r="B703" t="str">
            <v>Cash and Bank Balances</v>
          </cell>
          <cell r="C703">
            <v>2</v>
          </cell>
          <cell r="D703">
            <v>1051381</v>
          </cell>
        </row>
        <row r="704">
          <cell r="A704" t="str">
            <v>212-011-001-0000</v>
          </cell>
          <cell r="B704" t="str">
            <v>Cash at Bank in PLS Accounts</v>
          </cell>
          <cell r="C704">
            <v>3</v>
          </cell>
          <cell r="D704">
            <v>1051381</v>
          </cell>
        </row>
        <row r="705">
          <cell r="A705" t="str">
            <v>212-011-001-1001</v>
          </cell>
          <cell r="B705" t="str">
            <v>National Bank of Pakistan RUADP</v>
          </cell>
          <cell r="C705">
            <v>4</v>
          </cell>
          <cell r="D705">
            <v>0</v>
          </cell>
        </row>
        <row r="706">
          <cell r="A706" t="str">
            <v>212-011-001-1002</v>
          </cell>
          <cell r="B706" t="str">
            <v>NBP#005797-5 PTCL Project</v>
          </cell>
          <cell r="C706">
            <v>4</v>
          </cell>
          <cell r="D706">
            <v>0</v>
          </cell>
        </row>
        <row r="707">
          <cell r="A707" t="str">
            <v>212-011-001-1003</v>
          </cell>
          <cell r="B707" t="str">
            <v>National Bank of Pakistan Cantt Board Rds</v>
          </cell>
          <cell r="C707">
            <v>4</v>
          </cell>
          <cell r="D707">
            <v>0</v>
          </cell>
        </row>
        <row r="708">
          <cell r="A708" t="str">
            <v>212-011-001-1004</v>
          </cell>
          <cell r="B708" t="str">
            <v>National Bank of Pakistan Svc Rd M-2</v>
          </cell>
          <cell r="C708">
            <v>4</v>
          </cell>
          <cell r="D708">
            <v>0</v>
          </cell>
        </row>
        <row r="709">
          <cell r="A709" t="str">
            <v>212-011-001-1005</v>
          </cell>
          <cell r="B709" t="str">
            <v>National Bank of Pakistan Cantt Board (FAA)</v>
          </cell>
          <cell r="C709">
            <v>4</v>
          </cell>
          <cell r="D709">
            <v>0</v>
          </cell>
        </row>
        <row r="710">
          <cell r="A710" t="str">
            <v>212-011-001-1006</v>
          </cell>
          <cell r="B710" t="str">
            <v>National Bank of Pakistan Dina Track</v>
          </cell>
          <cell r="C710">
            <v>4</v>
          </cell>
          <cell r="D710">
            <v>0</v>
          </cell>
        </row>
        <row r="711">
          <cell r="A711" t="str">
            <v>212-011-001-1007</v>
          </cell>
          <cell r="B711" t="str">
            <v>National Bank of Pakistan OT Complex</v>
          </cell>
          <cell r="C711">
            <v>4</v>
          </cell>
          <cell r="D711">
            <v>1051381</v>
          </cell>
        </row>
        <row r="712">
          <cell r="A712" t="str">
            <v>212-011-002-0000</v>
          </cell>
          <cell r="B712" t="str">
            <v>Cash at bank in saving accounts 1</v>
          </cell>
          <cell r="C712">
            <v>3</v>
          </cell>
          <cell r="D712">
            <v>0</v>
          </cell>
        </row>
        <row r="713">
          <cell r="A713" t="str">
            <v>212-011-002-1001</v>
          </cell>
          <cell r="B713" t="str">
            <v>Askari Commercial Bank RUADP</v>
          </cell>
          <cell r="C713">
            <v>4</v>
          </cell>
          <cell r="D713">
            <v>0</v>
          </cell>
        </row>
        <row r="714">
          <cell r="A714" t="str">
            <v>212-011-002-1002</v>
          </cell>
          <cell r="B714" t="str">
            <v>Askari Commercial Bank PTCL</v>
          </cell>
          <cell r="C714">
            <v>4</v>
          </cell>
          <cell r="D714">
            <v>0</v>
          </cell>
        </row>
        <row r="715">
          <cell r="A715" t="str">
            <v>212-011-002-1003</v>
          </cell>
          <cell r="B715" t="str">
            <v>Askari Commercial Bank CBR Project</v>
          </cell>
          <cell r="C715">
            <v>4</v>
          </cell>
          <cell r="D715">
            <v>0</v>
          </cell>
        </row>
        <row r="716">
          <cell r="A716" t="str">
            <v>212-011-002-1004</v>
          </cell>
          <cell r="B716" t="str">
            <v>Askari Commercial Bank SVC RD M-2</v>
          </cell>
          <cell r="C716">
            <v>4</v>
          </cell>
          <cell r="D716">
            <v>0</v>
          </cell>
        </row>
        <row r="717">
          <cell r="A717" t="str">
            <v>212-011-002-1005</v>
          </cell>
          <cell r="B717" t="str">
            <v>Askari Commercial Bank CBR (FAA)</v>
          </cell>
          <cell r="C717">
            <v>4</v>
          </cell>
          <cell r="D717">
            <v>0</v>
          </cell>
        </row>
        <row r="718">
          <cell r="A718" t="str">
            <v>212-011-002-1006</v>
          </cell>
          <cell r="B718" t="str">
            <v>Askari Commercial Bank ARMR</v>
          </cell>
          <cell r="C718">
            <v>4</v>
          </cell>
          <cell r="D718">
            <v>0</v>
          </cell>
        </row>
        <row r="719">
          <cell r="A719" t="str">
            <v>212-011-003-0000</v>
          </cell>
          <cell r="B719" t="str">
            <v>Cash at bank in saving accounts 2</v>
          </cell>
          <cell r="C719">
            <v>3</v>
          </cell>
          <cell r="D719">
            <v>0</v>
          </cell>
        </row>
        <row r="720">
          <cell r="A720" t="str">
            <v>212-011-003-1001</v>
          </cell>
          <cell r="B720" t="str">
            <v>United bank Ltd RUADP</v>
          </cell>
          <cell r="C720">
            <v>4</v>
          </cell>
          <cell r="D720">
            <v>0</v>
          </cell>
        </row>
        <row r="721">
          <cell r="A721" t="str">
            <v>212-011-003-1002</v>
          </cell>
          <cell r="B721" t="str">
            <v>United bank Ltd PTCL Project</v>
          </cell>
          <cell r="C721">
            <v>4</v>
          </cell>
          <cell r="D721">
            <v>0</v>
          </cell>
        </row>
        <row r="722">
          <cell r="A722" t="str">
            <v>212-011-003-1003</v>
          </cell>
          <cell r="B722" t="str">
            <v>United bank Ltd Cantt Board Rds Project</v>
          </cell>
          <cell r="C722">
            <v>4</v>
          </cell>
          <cell r="D722">
            <v>0</v>
          </cell>
        </row>
        <row r="723">
          <cell r="A723" t="str">
            <v>212-011-003-1004</v>
          </cell>
          <cell r="B723" t="str">
            <v>United bank Ltd Service Road M-2</v>
          </cell>
          <cell r="C723">
            <v>4</v>
          </cell>
          <cell r="D723">
            <v>0</v>
          </cell>
        </row>
        <row r="724">
          <cell r="A724" t="str">
            <v>212-011-004-0000</v>
          </cell>
          <cell r="B724" t="str">
            <v>Cash at bank in term deposits accounts</v>
          </cell>
          <cell r="C724">
            <v>3</v>
          </cell>
          <cell r="D724">
            <v>0</v>
          </cell>
        </row>
        <row r="725">
          <cell r="A725" t="str">
            <v>212-012-000-0000</v>
          </cell>
          <cell r="B725" t="str">
            <v>Cash in hand</v>
          </cell>
          <cell r="C725">
            <v>2</v>
          </cell>
          <cell r="D725">
            <v>0</v>
          </cell>
        </row>
        <row r="726">
          <cell r="A726" t="str">
            <v>212-012-001-0000</v>
          </cell>
          <cell r="B726" t="str">
            <v>Cash Account (PLS)</v>
          </cell>
          <cell r="C726">
            <v>3</v>
          </cell>
          <cell r="D726">
            <v>0</v>
          </cell>
        </row>
        <row r="727">
          <cell r="A727" t="str">
            <v>212-012-001-1001</v>
          </cell>
          <cell r="B727" t="str">
            <v>Cash account (NBP)RUADP</v>
          </cell>
          <cell r="C727">
            <v>4</v>
          </cell>
          <cell r="D727">
            <v>0</v>
          </cell>
        </row>
        <row r="728">
          <cell r="A728" t="str">
            <v>212-012-001-1002</v>
          </cell>
          <cell r="B728" t="str">
            <v>Cash account (NBP) PTCL Project</v>
          </cell>
          <cell r="C728">
            <v>4</v>
          </cell>
          <cell r="D728">
            <v>0</v>
          </cell>
        </row>
        <row r="729">
          <cell r="A729" t="str">
            <v>212-012-001-1003</v>
          </cell>
          <cell r="B729" t="str">
            <v>Cash account (NBP) Cantt Board Rds</v>
          </cell>
          <cell r="C729">
            <v>4</v>
          </cell>
          <cell r="D729">
            <v>0</v>
          </cell>
        </row>
        <row r="730">
          <cell r="A730" t="str">
            <v>212-012-001-1004</v>
          </cell>
          <cell r="B730" t="str">
            <v>Cash account (NBP) Svc Rd M-2</v>
          </cell>
          <cell r="C730">
            <v>4</v>
          </cell>
          <cell r="D730">
            <v>0</v>
          </cell>
        </row>
        <row r="731">
          <cell r="A731" t="str">
            <v>212-012-001-1005</v>
          </cell>
          <cell r="B731" t="str">
            <v>Cash account (NBP)Cantt Board (FAA)</v>
          </cell>
          <cell r="C731">
            <v>4</v>
          </cell>
          <cell r="D731">
            <v>0</v>
          </cell>
        </row>
        <row r="732">
          <cell r="A732" t="str">
            <v>212-012-001-1006</v>
          </cell>
          <cell r="B732" t="str">
            <v>Cash Account NBP Dina Track</v>
          </cell>
          <cell r="C732">
            <v>4</v>
          </cell>
          <cell r="D732">
            <v>0</v>
          </cell>
        </row>
        <row r="733">
          <cell r="A733" t="str">
            <v>212-012-001-1007</v>
          </cell>
          <cell r="B733" t="str">
            <v>Cash Account NBP OT Complex</v>
          </cell>
          <cell r="C733">
            <v>4</v>
          </cell>
          <cell r="D733">
            <v>0</v>
          </cell>
        </row>
        <row r="734">
          <cell r="A734" t="str">
            <v>212-012-002-1001</v>
          </cell>
          <cell r="B734" t="str">
            <v>Cash account (ACB)RUADP</v>
          </cell>
          <cell r="C734">
            <v>4</v>
          </cell>
          <cell r="D734">
            <v>0</v>
          </cell>
        </row>
        <row r="735">
          <cell r="A735" t="str">
            <v>212-012-002-1002</v>
          </cell>
          <cell r="B735" t="str">
            <v>Cash account (ACB)PTCL</v>
          </cell>
          <cell r="C735">
            <v>4</v>
          </cell>
          <cell r="D735">
            <v>0</v>
          </cell>
        </row>
        <row r="736">
          <cell r="A736" t="str">
            <v>212-012-002-1003</v>
          </cell>
          <cell r="B736" t="str">
            <v>Cash Account (ACB)CBR project</v>
          </cell>
          <cell r="C736">
            <v>4</v>
          </cell>
          <cell r="D736">
            <v>0</v>
          </cell>
        </row>
        <row r="737">
          <cell r="A737" t="str">
            <v>212-012-002-1004</v>
          </cell>
          <cell r="B737" t="str">
            <v>Cash Account (ACB) SVC RD M-2</v>
          </cell>
          <cell r="C737">
            <v>4</v>
          </cell>
          <cell r="D737">
            <v>0</v>
          </cell>
        </row>
        <row r="738">
          <cell r="A738" t="str">
            <v>212-012-002-1005</v>
          </cell>
          <cell r="B738" t="str">
            <v>Cash Account (ACB) CBR (FAA)</v>
          </cell>
          <cell r="C738">
            <v>4</v>
          </cell>
          <cell r="D738">
            <v>0</v>
          </cell>
        </row>
        <row r="739">
          <cell r="A739" t="str">
            <v>212-012-002-1006</v>
          </cell>
          <cell r="B739" t="str">
            <v>Cash Acct ACB ARMR</v>
          </cell>
          <cell r="C739">
            <v>4</v>
          </cell>
          <cell r="D739">
            <v>0</v>
          </cell>
        </row>
        <row r="740">
          <cell r="A740" t="str">
            <v>212-012-003-1001</v>
          </cell>
          <cell r="B740" t="str">
            <v>Cash account (UBL)RUADP</v>
          </cell>
          <cell r="C740">
            <v>4</v>
          </cell>
          <cell r="D740">
            <v>0</v>
          </cell>
        </row>
        <row r="741">
          <cell r="A741" t="str">
            <v>212-012-003-1002</v>
          </cell>
          <cell r="B741" t="str">
            <v>Cash account (UBL)PTCL</v>
          </cell>
          <cell r="C741">
            <v>4</v>
          </cell>
          <cell r="D741">
            <v>0</v>
          </cell>
        </row>
        <row r="742">
          <cell r="A742" t="str">
            <v>212-012-003-1003</v>
          </cell>
          <cell r="B742" t="str">
            <v>Cash account (UBL)Cantt Board Rds</v>
          </cell>
          <cell r="C742">
            <v>4</v>
          </cell>
          <cell r="D742">
            <v>0</v>
          </cell>
        </row>
        <row r="743">
          <cell r="A743" t="str">
            <v>212-012-003-1004</v>
          </cell>
          <cell r="B743" t="str">
            <v>Cash account (UBL)Service Road M-2</v>
          </cell>
          <cell r="C743">
            <v>4</v>
          </cell>
          <cell r="D743">
            <v>0</v>
          </cell>
        </row>
        <row r="744">
          <cell r="A744" t="str">
            <v>212-012-003-1005</v>
          </cell>
          <cell r="B744" t="str">
            <v>Cash account (UBL)Cantt Board (FAA)</v>
          </cell>
          <cell r="C744">
            <v>4</v>
          </cell>
          <cell r="D744">
            <v>0</v>
          </cell>
        </row>
        <row r="745">
          <cell r="A745" t="str">
            <v>212-013-000-0000</v>
          </cell>
          <cell r="B745" t="str">
            <v>Cash in Transit</v>
          </cell>
          <cell r="C745">
            <v>2</v>
          </cell>
          <cell r="D745">
            <v>0</v>
          </cell>
        </row>
        <row r="746">
          <cell r="A746" t="str">
            <v>212-013-001-0000</v>
          </cell>
          <cell r="B746" t="str">
            <v>Cash in Transit</v>
          </cell>
          <cell r="C746">
            <v>3</v>
          </cell>
          <cell r="D746">
            <v>0</v>
          </cell>
        </row>
        <row r="747">
          <cell r="A747" t="str">
            <v>212-013-001-0001</v>
          </cell>
          <cell r="B747" t="str">
            <v>Cash in Transit</v>
          </cell>
          <cell r="C747">
            <v>4</v>
          </cell>
          <cell r="D747">
            <v>0</v>
          </cell>
        </row>
        <row r="748">
          <cell r="A748" t="str">
            <v>301-000-000-0000</v>
          </cell>
          <cell r="B748" t="str">
            <v>Project Revenue</v>
          </cell>
          <cell r="C748">
            <v>1</v>
          </cell>
          <cell r="D748">
            <v>-24000000</v>
          </cell>
        </row>
        <row r="749">
          <cell r="A749" t="str">
            <v>301-001-000-0000</v>
          </cell>
          <cell r="B749" t="str">
            <v>Contract Revenue Construction Project</v>
          </cell>
          <cell r="C749">
            <v>2</v>
          </cell>
          <cell r="D749">
            <v>-24000000</v>
          </cell>
        </row>
        <row r="750">
          <cell r="A750" t="str">
            <v>301-001-001-0000</v>
          </cell>
          <cell r="B750" t="str">
            <v>Contract Revenue Construction Project</v>
          </cell>
          <cell r="C750">
            <v>3</v>
          </cell>
          <cell r="D750">
            <v>-24000000</v>
          </cell>
        </row>
        <row r="751">
          <cell r="A751" t="str">
            <v>301-001-001-0001</v>
          </cell>
          <cell r="B751" t="str">
            <v>Contract Revenue Construction Projects RUADP</v>
          </cell>
          <cell r="C751">
            <v>4</v>
          </cell>
          <cell r="D751">
            <v>0</v>
          </cell>
        </row>
        <row r="752">
          <cell r="A752" t="str">
            <v>301-001-001-0002</v>
          </cell>
          <cell r="B752" t="str">
            <v>Contract Revenue Construction Projects PTCL</v>
          </cell>
          <cell r="C752">
            <v>4</v>
          </cell>
          <cell r="D752">
            <v>0</v>
          </cell>
        </row>
        <row r="753">
          <cell r="A753" t="str">
            <v>301-001-001-0003</v>
          </cell>
          <cell r="B753" t="str">
            <v>Contract Revenue Construction Projects  CBR</v>
          </cell>
          <cell r="C753">
            <v>4</v>
          </cell>
          <cell r="D753">
            <v>0</v>
          </cell>
        </row>
        <row r="754">
          <cell r="A754" t="str">
            <v>301-001-001-0004</v>
          </cell>
          <cell r="B754" t="str">
            <v>Contract Revenue Construction Projects  SVC M-2</v>
          </cell>
          <cell r="C754">
            <v>4</v>
          </cell>
          <cell r="D754">
            <v>0</v>
          </cell>
        </row>
        <row r="755">
          <cell r="A755" t="str">
            <v>301-001-001-0005</v>
          </cell>
          <cell r="B755" t="str">
            <v>Contract Revenue Construction Projects CBR(FAA)</v>
          </cell>
          <cell r="C755">
            <v>4</v>
          </cell>
          <cell r="D755">
            <v>0</v>
          </cell>
        </row>
        <row r="756">
          <cell r="A756" t="str">
            <v>301-001-001-0006</v>
          </cell>
          <cell r="B756" t="str">
            <v>Contract Revenue  Dina Driving School</v>
          </cell>
          <cell r="C756">
            <v>4</v>
          </cell>
          <cell r="D756">
            <v>0</v>
          </cell>
        </row>
        <row r="757">
          <cell r="A757" t="str">
            <v>301-001-001-0007</v>
          </cell>
          <cell r="B757" t="str">
            <v>Contract Revenue  OTC CMH</v>
          </cell>
          <cell r="C757">
            <v>4</v>
          </cell>
          <cell r="D757">
            <v>-24000000</v>
          </cell>
        </row>
        <row r="758">
          <cell r="A758" t="str">
            <v>301-002-000-0000</v>
          </cell>
          <cell r="B758" t="str">
            <v>Toll Plaza Receipts</v>
          </cell>
          <cell r="C758">
            <v>2</v>
          </cell>
          <cell r="D758">
            <v>0</v>
          </cell>
        </row>
        <row r="759">
          <cell r="A759" t="str">
            <v>301-002-001-0000</v>
          </cell>
          <cell r="B759" t="str">
            <v>Toll Plaza Receipts</v>
          </cell>
          <cell r="C759">
            <v>3</v>
          </cell>
          <cell r="D759">
            <v>0</v>
          </cell>
        </row>
        <row r="760">
          <cell r="A760" t="str">
            <v>301-002-001-0001</v>
          </cell>
          <cell r="B760" t="str">
            <v>Toll Plaza Receipts</v>
          </cell>
          <cell r="C760">
            <v>4</v>
          </cell>
          <cell r="D760">
            <v>0</v>
          </cell>
        </row>
        <row r="761">
          <cell r="A761" t="str">
            <v>302-000-000-0000</v>
          </cell>
          <cell r="B761" t="str">
            <v>Sales</v>
          </cell>
          <cell r="C761">
            <v>1</v>
          </cell>
          <cell r="D761">
            <v>0</v>
          </cell>
        </row>
        <row r="762">
          <cell r="A762" t="str">
            <v>302-001-000-0000</v>
          </cell>
          <cell r="B762" t="str">
            <v>Sales</v>
          </cell>
          <cell r="C762">
            <v>2</v>
          </cell>
          <cell r="D762">
            <v>0</v>
          </cell>
        </row>
        <row r="763">
          <cell r="A763" t="str">
            <v>302-001-001-0000</v>
          </cell>
          <cell r="B763" t="str">
            <v>Sales of Pipes</v>
          </cell>
          <cell r="C763">
            <v>3</v>
          </cell>
          <cell r="D763">
            <v>0</v>
          </cell>
        </row>
        <row r="764">
          <cell r="A764" t="str">
            <v>302-001-002-0000</v>
          </cell>
          <cell r="B764" t="str">
            <v>Sales of Slabs</v>
          </cell>
          <cell r="C764">
            <v>3</v>
          </cell>
          <cell r="D764">
            <v>0</v>
          </cell>
        </row>
        <row r="765">
          <cell r="A765" t="str">
            <v>302-001-003-0000</v>
          </cell>
          <cell r="B765" t="str">
            <v>Sales of Kerb Stones</v>
          </cell>
          <cell r="C765">
            <v>3</v>
          </cell>
          <cell r="D765">
            <v>0</v>
          </cell>
        </row>
        <row r="766">
          <cell r="A766" t="str">
            <v>302-001-004-0000</v>
          </cell>
          <cell r="B766" t="str">
            <v>Sales of Asphalt Materials</v>
          </cell>
          <cell r="C766">
            <v>3</v>
          </cell>
          <cell r="D766">
            <v>0</v>
          </cell>
        </row>
        <row r="767">
          <cell r="A767" t="str">
            <v>303-000-000-0000</v>
          </cell>
          <cell r="B767" t="str">
            <v>Lease Hiring Receipts</v>
          </cell>
          <cell r="C767">
            <v>1</v>
          </cell>
          <cell r="D767">
            <v>0</v>
          </cell>
        </row>
        <row r="768">
          <cell r="A768" t="str">
            <v>303-001-000-0000</v>
          </cell>
          <cell r="B768" t="str">
            <v>Lease Hiring Receipts</v>
          </cell>
          <cell r="C768">
            <v>2</v>
          </cell>
          <cell r="D768">
            <v>0</v>
          </cell>
        </row>
        <row r="769">
          <cell r="A769" t="str">
            <v>303-001-001-0000</v>
          </cell>
          <cell r="B769" t="str">
            <v>Asphalt Plant Lease Hiring Receipts</v>
          </cell>
          <cell r="C769">
            <v>3</v>
          </cell>
          <cell r="D769">
            <v>0</v>
          </cell>
        </row>
        <row r="770">
          <cell r="A770" t="str">
            <v>401-000-000-0000</v>
          </cell>
          <cell r="B770" t="str">
            <v>Contract Cost</v>
          </cell>
          <cell r="C770">
            <v>1</v>
          </cell>
          <cell r="D770">
            <v>0</v>
          </cell>
        </row>
        <row r="771">
          <cell r="A771" t="str">
            <v>401-001-000-0000</v>
          </cell>
          <cell r="B771" t="str">
            <v>Opening Stock</v>
          </cell>
          <cell r="C771">
            <v>2</v>
          </cell>
          <cell r="D771">
            <v>0</v>
          </cell>
        </row>
        <row r="772">
          <cell r="A772" t="str">
            <v>401-001-001-0000</v>
          </cell>
          <cell r="B772" t="str">
            <v>Opening Stock</v>
          </cell>
          <cell r="C772">
            <v>3</v>
          </cell>
          <cell r="D772">
            <v>0</v>
          </cell>
        </row>
        <row r="773">
          <cell r="A773" t="str">
            <v>401-001-001-0001</v>
          </cell>
          <cell r="B773" t="str">
            <v>Opening Stock</v>
          </cell>
          <cell r="C773">
            <v>4</v>
          </cell>
          <cell r="D773">
            <v>0</v>
          </cell>
        </row>
        <row r="774">
          <cell r="A774" t="str">
            <v>402-000-000-0000</v>
          </cell>
          <cell r="B774" t="str">
            <v>Construction Material Purchases</v>
          </cell>
          <cell r="C774">
            <v>1</v>
          </cell>
          <cell r="D774">
            <v>0</v>
          </cell>
        </row>
        <row r="775">
          <cell r="A775" t="str">
            <v>402-001-000-0000</v>
          </cell>
          <cell r="B775" t="str">
            <v>Construction Material Purchases</v>
          </cell>
          <cell r="C775">
            <v>2</v>
          </cell>
          <cell r="D775">
            <v>0</v>
          </cell>
        </row>
        <row r="776">
          <cell r="A776" t="str">
            <v>402-001-001-0000</v>
          </cell>
          <cell r="B776" t="str">
            <v>Construction Material Purchases</v>
          </cell>
          <cell r="C776">
            <v>3</v>
          </cell>
          <cell r="D776">
            <v>0</v>
          </cell>
        </row>
        <row r="777">
          <cell r="A777" t="str">
            <v>402-001-001-0001</v>
          </cell>
          <cell r="B777" t="str">
            <v>Bricks</v>
          </cell>
          <cell r="C777">
            <v>4</v>
          </cell>
          <cell r="D777">
            <v>0</v>
          </cell>
        </row>
        <row r="778">
          <cell r="A778" t="str">
            <v>402-001-001-0002</v>
          </cell>
          <cell r="B778" t="str">
            <v>Steel Rods</v>
          </cell>
          <cell r="C778">
            <v>4</v>
          </cell>
          <cell r="D778">
            <v>0</v>
          </cell>
        </row>
        <row r="779">
          <cell r="A779" t="str">
            <v>402-001-001-0003</v>
          </cell>
          <cell r="B779" t="str">
            <v>Cement</v>
          </cell>
          <cell r="C779">
            <v>4</v>
          </cell>
          <cell r="D779">
            <v>0</v>
          </cell>
        </row>
        <row r="780">
          <cell r="A780" t="str">
            <v>402-001-001-0004</v>
          </cell>
          <cell r="B780" t="str">
            <v>Bitumen</v>
          </cell>
          <cell r="C780">
            <v>4</v>
          </cell>
          <cell r="D780">
            <v>0</v>
          </cell>
        </row>
        <row r="781">
          <cell r="A781" t="str">
            <v>402-001-001-0005</v>
          </cell>
          <cell r="B781" t="str">
            <v>Crush</v>
          </cell>
          <cell r="C781">
            <v>4</v>
          </cell>
          <cell r="D781">
            <v>0</v>
          </cell>
        </row>
        <row r="782">
          <cell r="A782" t="str">
            <v>402-001-001-0006</v>
          </cell>
          <cell r="B782" t="str">
            <v>Pipes</v>
          </cell>
          <cell r="C782">
            <v>4</v>
          </cell>
          <cell r="D782">
            <v>0</v>
          </cell>
        </row>
        <row r="783">
          <cell r="A783" t="str">
            <v>402-001-001-0007</v>
          </cell>
          <cell r="B783" t="str">
            <v>PVC Pipes and Accessories</v>
          </cell>
          <cell r="C783">
            <v>4</v>
          </cell>
          <cell r="D783">
            <v>0</v>
          </cell>
        </row>
        <row r="784">
          <cell r="A784" t="str">
            <v>402-001-001-0008</v>
          </cell>
          <cell r="B784" t="str">
            <v>Slabs</v>
          </cell>
          <cell r="C784">
            <v>4</v>
          </cell>
          <cell r="D784">
            <v>0</v>
          </cell>
        </row>
        <row r="785">
          <cell r="A785" t="str">
            <v>402-001-001-0009</v>
          </cell>
          <cell r="B785" t="str">
            <v>Sand</v>
          </cell>
          <cell r="C785">
            <v>4</v>
          </cell>
          <cell r="D785">
            <v>0</v>
          </cell>
        </row>
        <row r="786">
          <cell r="A786" t="str">
            <v>402-001-001-0010</v>
          </cell>
          <cell r="B786" t="str">
            <v>Sub base Material</v>
          </cell>
          <cell r="C786">
            <v>4</v>
          </cell>
          <cell r="D786">
            <v>0</v>
          </cell>
        </row>
        <row r="787">
          <cell r="A787" t="str">
            <v>402-001-001-0011</v>
          </cell>
          <cell r="B787" t="str">
            <v>Stone dust</v>
          </cell>
          <cell r="C787">
            <v>4</v>
          </cell>
          <cell r="D787">
            <v>0</v>
          </cell>
        </row>
        <row r="788">
          <cell r="A788" t="str">
            <v>402-001-001-0012</v>
          </cell>
          <cell r="B788" t="str">
            <v>Tuff Pavers</v>
          </cell>
          <cell r="C788">
            <v>4</v>
          </cell>
          <cell r="D788">
            <v>0</v>
          </cell>
        </row>
        <row r="789">
          <cell r="A789" t="str">
            <v>402-001-001-0013</v>
          </cell>
          <cell r="B789" t="str">
            <v>Coal</v>
          </cell>
          <cell r="C789">
            <v>4</v>
          </cell>
          <cell r="D789">
            <v>0</v>
          </cell>
        </row>
        <row r="790">
          <cell r="A790" t="str">
            <v>402-001-001-0014</v>
          </cell>
          <cell r="B790" t="str">
            <v>Asphalt Supplied</v>
          </cell>
          <cell r="C790">
            <v>4</v>
          </cell>
          <cell r="D790">
            <v>0</v>
          </cell>
        </row>
        <row r="791">
          <cell r="A791" t="str">
            <v>402-001-001-0015</v>
          </cell>
          <cell r="B791" t="str">
            <v>Oil and Lubricants</v>
          </cell>
          <cell r="C791">
            <v>4</v>
          </cell>
          <cell r="D791">
            <v>0</v>
          </cell>
        </row>
        <row r="792">
          <cell r="A792" t="str">
            <v>402-001-001-0016</v>
          </cell>
          <cell r="B792" t="str">
            <v>Stores and Spares</v>
          </cell>
          <cell r="C792">
            <v>4</v>
          </cell>
          <cell r="D792">
            <v>0</v>
          </cell>
        </row>
        <row r="793">
          <cell r="A793" t="str">
            <v>402-001-001-0017</v>
          </cell>
          <cell r="B793" t="str">
            <v>Loose Tools</v>
          </cell>
          <cell r="C793">
            <v>4</v>
          </cell>
          <cell r="D793">
            <v>0</v>
          </cell>
        </row>
        <row r="794">
          <cell r="A794" t="str">
            <v>402-001-001-0018</v>
          </cell>
          <cell r="B794" t="str">
            <v>Construction Material</v>
          </cell>
          <cell r="C794">
            <v>4</v>
          </cell>
          <cell r="D794">
            <v>0</v>
          </cell>
        </row>
        <row r="795">
          <cell r="A795" t="str">
            <v>402-001-001-0019</v>
          </cell>
          <cell r="B795" t="str">
            <v>Traffic Signals Accessories</v>
          </cell>
          <cell r="C795">
            <v>4</v>
          </cell>
          <cell r="D795">
            <v>0</v>
          </cell>
        </row>
        <row r="796">
          <cell r="A796" t="str">
            <v>402-001-001-0020</v>
          </cell>
          <cell r="B796" t="str">
            <v>Split Unit A/C</v>
          </cell>
          <cell r="C796">
            <v>4</v>
          </cell>
          <cell r="D796">
            <v>0</v>
          </cell>
        </row>
        <row r="797">
          <cell r="A797" t="str">
            <v>402-001-001-0021</v>
          </cell>
          <cell r="B797" t="str">
            <v>Gully Gratings</v>
          </cell>
          <cell r="C797">
            <v>4</v>
          </cell>
          <cell r="D797">
            <v>0</v>
          </cell>
        </row>
        <row r="798">
          <cell r="A798" t="str">
            <v>402-001-001-0022</v>
          </cell>
          <cell r="B798" t="str">
            <v>Tubelar Poles (Steel)</v>
          </cell>
          <cell r="C798">
            <v>4</v>
          </cell>
          <cell r="D798">
            <v>0</v>
          </cell>
        </row>
        <row r="799">
          <cell r="A799" t="str">
            <v>402-001-001-0023</v>
          </cell>
          <cell r="B799" t="str">
            <v>Kerb Stones</v>
          </cell>
          <cell r="C799">
            <v>4</v>
          </cell>
          <cell r="D799">
            <v>0</v>
          </cell>
        </row>
        <row r="800">
          <cell r="A800" t="str">
            <v>402-001-001-0024</v>
          </cell>
          <cell r="B800" t="str">
            <v>Street Sign Boards</v>
          </cell>
          <cell r="C800">
            <v>4</v>
          </cell>
          <cell r="D800">
            <v>0</v>
          </cell>
        </row>
        <row r="801">
          <cell r="A801" t="str">
            <v>402-001-001-0025</v>
          </cell>
          <cell r="B801" t="str">
            <v>Base Material</v>
          </cell>
          <cell r="C801">
            <v>4</v>
          </cell>
          <cell r="D801">
            <v>0</v>
          </cell>
        </row>
        <row r="802">
          <cell r="A802" t="str">
            <v>402-001-001-0026</v>
          </cell>
          <cell r="B802" t="str">
            <v>Man Hole Covers</v>
          </cell>
          <cell r="C802">
            <v>4</v>
          </cell>
          <cell r="D802">
            <v>0</v>
          </cell>
        </row>
        <row r="803">
          <cell r="A803" t="str">
            <v>402-001-001-0027</v>
          </cell>
          <cell r="B803" t="str">
            <v>Earth Filling Material</v>
          </cell>
          <cell r="C803">
            <v>4</v>
          </cell>
          <cell r="D803">
            <v>0</v>
          </cell>
        </row>
        <row r="804">
          <cell r="A804" t="str">
            <v>402-001-001-0028</v>
          </cell>
          <cell r="B804" t="str">
            <v>Fiber Glass</v>
          </cell>
          <cell r="C804">
            <v>4</v>
          </cell>
          <cell r="D804">
            <v>0</v>
          </cell>
        </row>
        <row r="805">
          <cell r="A805" t="str">
            <v>402-001-001-0029</v>
          </cell>
          <cell r="B805" t="str">
            <v>Kassu</v>
          </cell>
          <cell r="C805">
            <v>4</v>
          </cell>
          <cell r="D805">
            <v>0</v>
          </cell>
        </row>
        <row r="806">
          <cell r="A806" t="str">
            <v>402-001-001-0030</v>
          </cell>
          <cell r="B806" t="str">
            <v>Tiles</v>
          </cell>
          <cell r="C806">
            <v>4</v>
          </cell>
          <cell r="D806">
            <v>0</v>
          </cell>
        </row>
        <row r="807">
          <cell r="A807" t="str">
            <v>402-001-001-0031</v>
          </cell>
          <cell r="B807" t="str">
            <v>Medium Curing-70 (Bitumen)</v>
          </cell>
          <cell r="C807">
            <v>4</v>
          </cell>
          <cell r="D807">
            <v>0</v>
          </cell>
        </row>
        <row r="808">
          <cell r="A808" t="str">
            <v>402-001-001-0032</v>
          </cell>
          <cell r="B808" t="str">
            <v>Rapid Curing-70 (Bitumen)</v>
          </cell>
          <cell r="C808">
            <v>4</v>
          </cell>
          <cell r="D808">
            <v>0</v>
          </cell>
        </row>
        <row r="809">
          <cell r="A809" t="str">
            <v>402-001-001-0033</v>
          </cell>
          <cell r="B809" t="str">
            <v>Asphalt Pre Mixing Charges</v>
          </cell>
          <cell r="C809">
            <v>4</v>
          </cell>
          <cell r="D809">
            <v>0</v>
          </cell>
        </row>
        <row r="810">
          <cell r="A810" t="str">
            <v>402-001-001-0034</v>
          </cell>
          <cell r="B810" t="str">
            <v>Paint</v>
          </cell>
          <cell r="C810">
            <v>4</v>
          </cell>
          <cell r="D810">
            <v>0</v>
          </cell>
        </row>
        <row r="811">
          <cell r="A811" t="str">
            <v>402-001-001-0035</v>
          </cell>
          <cell r="B811" t="str">
            <v>Khaka</v>
          </cell>
          <cell r="C811">
            <v>4</v>
          </cell>
          <cell r="D811">
            <v>0</v>
          </cell>
        </row>
        <row r="812">
          <cell r="A812" t="str">
            <v>402-001-001-0036</v>
          </cell>
          <cell r="B812" t="str">
            <v>Cones</v>
          </cell>
          <cell r="C812">
            <v>4</v>
          </cell>
          <cell r="D812">
            <v>0</v>
          </cell>
        </row>
        <row r="813">
          <cell r="A813" t="str">
            <v>402-001-001-0037</v>
          </cell>
          <cell r="B813" t="str">
            <v>Electric Light Poles</v>
          </cell>
          <cell r="C813">
            <v>4</v>
          </cell>
          <cell r="D813">
            <v>0</v>
          </cell>
        </row>
        <row r="814">
          <cell r="A814" t="str">
            <v>402-001-001-0038</v>
          </cell>
          <cell r="B814" t="str">
            <v>Rail Track</v>
          </cell>
          <cell r="C814">
            <v>4</v>
          </cell>
          <cell r="D814">
            <v>0</v>
          </cell>
        </row>
        <row r="815">
          <cell r="A815" t="str">
            <v>402-001-001-0039</v>
          </cell>
          <cell r="B815" t="str">
            <v>Chain</v>
          </cell>
          <cell r="C815">
            <v>4</v>
          </cell>
          <cell r="D815">
            <v>0</v>
          </cell>
        </row>
        <row r="816">
          <cell r="A816" t="str">
            <v>402-001-001-0040</v>
          </cell>
          <cell r="B816" t="str">
            <v>Stainless Steel</v>
          </cell>
          <cell r="C816">
            <v>4</v>
          </cell>
          <cell r="D816">
            <v>0</v>
          </cell>
        </row>
        <row r="817">
          <cell r="A817" t="str">
            <v>402-001-001-0041</v>
          </cell>
          <cell r="B817" t="str">
            <v>Jerssey Barrier</v>
          </cell>
          <cell r="C817">
            <v>4</v>
          </cell>
          <cell r="D817">
            <v>0</v>
          </cell>
        </row>
        <row r="818">
          <cell r="A818" t="str">
            <v>403-000-000-0000</v>
          </cell>
          <cell r="B818" t="str">
            <v>Closing Stock</v>
          </cell>
          <cell r="C818">
            <v>1</v>
          </cell>
          <cell r="D818">
            <v>0</v>
          </cell>
        </row>
        <row r="819">
          <cell r="A819" t="str">
            <v>403-001-000-0000</v>
          </cell>
          <cell r="B819" t="str">
            <v>Closing Stock</v>
          </cell>
          <cell r="C819">
            <v>2</v>
          </cell>
          <cell r="D819">
            <v>0</v>
          </cell>
        </row>
        <row r="820">
          <cell r="A820" t="str">
            <v>403-001-001-0000</v>
          </cell>
          <cell r="B820" t="str">
            <v>Closing Stock</v>
          </cell>
          <cell r="C820">
            <v>3</v>
          </cell>
          <cell r="D820">
            <v>0</v>
          </cell>
        </row>
        <row r="821">
          <cell r="A821" t="str">
            <v>403-001-001-0001</v>
          </cell>
          <cell r="B821" t="str">
            <v>Closing Stock</v>
          </cell>
          <cell r="C821">
            <v>4</v>
          </cell>
          <cell r="D821">
            <v>0</v>
          </cell>
        </row>
        <row r="822">
          <cell r="A822" t="str">
            <v>404-000-000-0000</v>
          </cell>
          <cell r="B822" t="str">
            <v>Direct Labour</v>
          </cell>
          <cell r="C822">
            <v>1</v>
          </cell>
          <cell r="D822">
            <v>0</v>
          </cell>
        </row>
        <row r="823">
          <cell r="A823" t="str">
            <v>404-001-000-0000</v>
          </cell>
          <cell r="B823" t="str">
            <v>Muster Rolls</v>
          </cell>
          <cell r="C823">
            <v>2</v>
          </cell>
          <cell r="D823">
            <v>0</v>
          </cell>
        </row>
        <row r="824">
          <cell r="A824" t="str">
            <v>404-001-001-0000</v>
          </cell>
          <cell r="B824" t="str">
            <v>Muster Rolls</v>
          </cell>
          <cell r="C824">
            <v>3</v>
          </cell>
          <cell r="D824">
            <v>0</v>
          </cell>
        </row>
        <row r="825">
          <cell r="A825" t="str">
            <v>404-001-001-0001</v>
          </cell>
          <cell r="B825" t="str">
            <v>Muster Rolls Regular Labour</v>
          </cell>
          <cell r="C825">
            <v>4</v>
          </cell>
          <cell r="D825">
            <v>0</v>
          </cell>
        </row>
        <row r="826">
          <cell r="A826" t="str">
            <v>404-001-001-0002</v>
          </cell>
          <cell r="B826" t="str">
            <v>Muster Rolls Casual Labour</v>
          </cell>
          <cell r="C826">
            <v>4</v>
          </cell>
          <cell r="D826">
            <v>0</v>
          </cell>
        </row>
        <row r="827">
          <cell r="A827" t="str">
            <v>404-001-001-0003</v>
          </cell>
          <cell r="B827" t="str">
            <v>Muster Rolls Subcontractors</v>
          </cell>
          <cell r="C827">
            <v>4</v>
          </cell>
          <cell r="D827">
            <v>0</v>
          </cell>
        </row>
        <row r="828">
          <cell r="A828" t="str">
            <v>405-000-000-0000</v>
          </cell>
          <cell r="B828" t="str">
            <v>Overheads</v>
          </cell>
          <cell r="C828">
            <v>1</v>
          </cell>
          <cell r="D828">
            <v>491518</v>
          </cell>
        </row>
        <row r="829">
          <cell r="A829" t="str">
            <v>405-001-000-0000</v>
          </cell>
          <cell r="B829" t="str">
            <v>Salaries and Benefits</v>
          </cell>
          <cell r="C829">
            <v>2</v>
          </cell>
          <cell r="D829">
            <v>150808</v>
          </cell>
        </row>
        <row r="830">
          <cell r="A830" t="str">
            <v>405-001-001-0000</v>
          </cell>
          <cell r="B830" t="str">
            <v>Salaries and Benefits Army Officers</v>
          </cell>
          <cell r="C830">
            <v>3</v>
          </cell>
          <cell r="D830">
            <v>0</v>
          </cell>
        </row>
        <row r="831">
          <cell r="A831" t="str">
            <v>405-001-001-0001</v>
          </cell>
          <cell r="B831" t="str">
            <v>Salaries Army Officers</v>
          </cell>
          <cell r="C831">
            <v>4</v>
          </cell>
          <cell r="D831">
            <v>0</v>
          </cell>
        </row>
        <row r="832">
          <cell r="A832" t="str">
            <v>405-001-001-0002</v>
          </cell>
          <cell r="B832" t="str">
            <v>Benefits Army Officers</v>
          </cell>
          <cell r="C832">
            <v>4</v>
          </cell>
          <cell r="D832">
            <v>0</v>
          </cell>
        </row>
        <row r="833">
          <cell r="A833" t="str">
            <v>405-001-001-0003</v>
          </cell>
          <cell r="B833" t="str">
            <v>Overtime Army Officers</v>
          </cell>
          <cell r="C833">
            <v>4</v>
          </cell>
          <cell r="D833">
            <v>0</v>
          </cell>
        </row>
        <row r="834">
          <cell r="A834" t="str">
            <v>405-001-001-0004</v>
          </cell>
          <cell r="B834" t="str">
            <v>Medical Army Officers</v>
          </cell>
          <cell r="C834">
            <v>4</v>
          </cell>
          <cell r="D834">
            <v>0</v>
          </cell>
        </row>
        <row r="835">
          <cell r="A835" t="str">
            <v>405-001-002-0000</v>
          </cell>
          <cell r="B835" t="str">
            <v>Salaries and Benefits Civilian Staff</v>
          </cell>
          <cell r="C835">
            <v>3</v>
          </cell>
          <cell r="D835">
            <v>150808</v>
          </cell>
        </row>
        <row r="836">
          <cell r="A836" t="str">
            <v>405-001-002-0001</v>
          </cell>
          <cell r="B836" t="str">
            <v>Salaries Civilian Staff</v>
          </cell>
          <cell r="C836">
            <v>4</v>
          </cell>
          <cell r="D836">
            <v>146534</v>
          </cell>
        </row>
        <row r="837">
          <cell r="A837" t="str">
            <v>405-001-002-0002</v>
          </cell>
          <cell r="B837" t="str">
            <v>Benefits Civilian Staff</v>
          </cell>
          <cell r="C837">
            <v>4</v>
          </cell>
          <cell r="D837">
            <v>1000</v>
          </cell>
        </row>
        <row r="838">
          <cell r="A838" t="str">
            <v>405-001-002-0003</v>
          </cell>
          <cell r="B838" t="str">
            <v>Overtime Civilian Staff</v>
          </cell>
          <cell r="C838">
            <v>4</v>
          </cell>
          <cell r="D838">
            <v>3274</v>
          </cell>
        </row>
        <row r="839">
          <cell r="A839" t="str">
            <v>405-001-002-0004</v>
          </cell>
          <cell r="B839" t="str">
            <v>Medical Civilian Staff</v>
          </cell>
          <cell r="C839">
            <v>4</v>
          </cell>
          <cell r="D839">
            <v>0</v>
          </cell>
        </row>
        <row r="840">
          <cell r="A840" t="str">
            <v>405-001-003-0000</v>
          </cell>
          <cell r="B840" t="str">
            <v>Salaries and Benefits JCO's Staff</v>
          </cell>
          <cell r="C840">
            <v>3</v>
          </cell>
          <cell r="D840">
            <v>0</v>
          </cell>
        </row>
        <row r="841">
          <cell r="A841" t="str">
            <v>405-001-003-0001</v>
          </cell>
          <cell r="B841" t="str">
            <v>Salaries JCO's Staff</v>
          </cell>
          <cell r="C841">
            <v>4</v>
          </cell>
          <cell r="D841">
            <v>0</v>
          </cell>
        </row>
        <row r="842">
          <cell r="A842" t="str">
            <v>405-001-003-0002</v>
          </cell>
          <cell r="B842" t="str">
            <v>Benefits JCO's Staff</v>
          </cell>
          <cell r="C842">
            <v>4</v>
          </cell>
          <cell r="D842">
            <v>0</v>
          </cell>
        </row>
        <row r="843">
          <cell r="A843" t="str">
            <v>405-001-003-0003</v>
          </cell>
          <cell r="B843" t="str">
            <v>Overtime JCO's Staff</v>
          </cell>
          <cell r="C843">
            <v>4</v>
          </cell>
          <cell r="D843">
            <v>0</v>
          </cell>
        </row>
        <row r="844">
          <cell r="A844" t="str">
            <v>405-001-003-0004</v>
          </cell>
          <cell r="B844" t="str">
            <v>Medical JCO's Staff</v>
          </cell>
          <cell r="C844">
            <v>4</v>
          </cell>
          <cell r="D844">
            <v>0</v>
          </cell>
        </row>
        <row r="845">
          <cell r="A845" t="str">
            <v>405-002-000-0000</v>
          </cell>
          <cell r="B845" t="str">
            <v>Uniform to Staff</v>
          </cell>
          <cell r="C845">
            <v>2</v>
          </cell>
          <cell r="D845">
            <v>0</v>
          </cell>
        </row>
        <row r="846">
          <cell r="A846" t="str">
            <v>405-002-001-0000</v>
          </cell>
          <cell r="B846" t="str">
            <v>Uniform to Staff</v>
          </cell>
          <cell r="C846">
            <v>3</v>
          </cell>
          <cell r="D846">
            <v>0</v>
          </cell>
        </row>
        <row r="847">
          <cell r="A847" t="str">
            <v>405-002-001-0001</v>
          </cell>
          <cell r="B847" t="str">
            <v>Uniform Army Officers</v>
          </cell>
          <cell r="C847">
            <v>4</v>
          </cell>
          <cell r="D847">
            <v>0</v>
          </cell>
        </row>
        <row r="848">
          <cell r="A848" t="str">
            <v>405-002-001-0002</v>
          </cell>
          <cell r="B848" t="str">
            <v>Uniform Civilin Staff</v>
          </cell>
          <cell r="C848">
            <v>4</v>
          </cell>
          <cell r="D848">
            <v>0</v>
          </cell>
        </row>
        <row r="849">
          <cell r="A849" t="str">
            <v>405-002-001-0003</v>
          </cell>
          <cell r="B849" t="str">
            <v>Uniform JCO's Staff</v>
          </cell>
          <cell r="C849">
            <v>4</v>
          </cell>
          <cell r="D849">
            <v>0</v>
          </cell>
        </row>
        <row r="850">
          <cell r="A850" t="str">
            <v>405-003-000-0000</v>
          </cell>
          <cell r="B850" t="str">
            <v>Rent, rates and taxes</v>
          </cell>
          <cell r="C850">
            <v>2</v>
          </cell>
          <cell r="D850">
            <v>0</v>
          </cell>
        </row>
        <row r="851">
          <cell r="A851" t="str">
            <v>405-003-001-0000</v>
          </cell>
          <cell r="B851" t="str">
            <v>Rent, rates and taxes</v>
          </cell>
          <cell r="C851">
            <v>3</v>
          </cell>
          <cell r="D851">
            <v>0</v>
          </cell>
        </row>
        <row r="852">
          <cell r="A852" t="str">
            <v>405-003-001-0001</v>
          </cell>
          <cell r="B852" t="str">
            <v>Rent</v>
          </cell>
          <cell r="C852">
            <v>4</v>
          </cell>
          <cell r="D852">
            <v>0</v>
          </cell>
        </row>
        <row r="853">
          <cell r="A853" t="str">
            <v>405-003-001-0002</v>
          </cell>
          <cell r="B853" t="str">
            <v>Rates and Taxes</v>
          </cell>
          <cell r="C853">
            <v>4</v>
          </cell>
          <cell r="D853">
            <v>0</v>
          </cell>
        </row>
        <row r="854">
          <cell r="A854" t="str">
            <v>405-004-000-0000</v>
          </cell>
          <cell r="B854" t="str">
            <v>Travelling and Conveyance</v>
          </cell>
          <cell r="C854">
            <v>2</v>
          </cell>
          <cell r="D854">
            <v>0</v>
          </cell>
        </row>
        <row r="855">
          <cell r="A855" t="str">
            <v>405-004-001-0000</v>
          </cell>
          <cell r="B855" t="str">
            <v>Travelling and Conveyance</v>
          </cell>
          <cell r="C855">
            <v>3</v>
          </cell>
          <cell r="D855">
            <v>0</v>
          </cell>
        </row>
        <row r="856">
          <cell r="A856" t="str">
            <v>405-004-001-0001</v>
          </cell>
          <cell r="B856" t="str">
            <v>Travelling and Conveyance to Army Officers</v>
          </cell>
          <cell r="C856">
            <v>4</v>
          </cell>
          <cell r="D856">
            <v>0</v>
          </cell>
        </row>
        <row r="857">
          <cell r="A857" t="str">
            <v>405-004-001-0002</v>
          </cell>
          <cell r="B857" t="str">
            <v>Travelling and Conveyance to Civilin Staff</v>
          </cell>
          <cell r="C857">
            <v>4</v>
          </cell>
          <cell r="D857">
            <v>0</v>
          </cell>
        </row>
        <row r="858">
          <cell r="A858" t="str">
            <v>405-004-001-0003</v>
          </cell>
          <cell r="B858" t="str">
            <v>Travelling and Conveyance to JCO's Staff</v>
          </cell>
          <cell r="C858">
            <v>4</v>
          </cell>
          <cell r="D858">
            <v>0</v>
          </cell>
        </row>
        <row r="859">
          <cell r="A859" t="str">
            <v>405-004-001-0004</v>
          </cell>
          <cell r="B859" t="str">
            <v>Travelling and Conveyance to Associated Projects</v>
          </cell>
          <cell r="C859">
            <v>4</v>
          </cell>
          <cell r="D859">
            <v>0</v>
          </cell>
        </row>
        <row r="860">
          <cell r="A860" t="str">
            <v>405-004-001-0005</v>
          </cell>
          <cell r="B860" t="str">
            <v>Travelling and Conveyance shared with HQ</v>
          </cell>
          <cell r="C860">
            <v>4</v>
          </cell>
          <cell r="D860">
            <v>0</v>
          </cell>
        </row>
        <row r="861">
          <cell r="A861" t="str">
            <v>405-005-000-0000</v>
          </cell>
          <cell r="B861" t="str">
            <v>Vehicle Running Expenses</v>
          </cell>
          <cell r="C861">
            <v>2</v>
          </cell>
          <cell r="D861">
            <v>0</v>
          </cell>
        </row>
        <row r="862">
          <cell r="A862" t="str">
            <v>405-005-001-0000</v>
          </cell>
          <cell r="B862" t="str">
            <v>Heavy  Vehicle Running Expenses</v>
          </cell>
          <cell r="C862">
            <v>3</v>
          </cell>
          <cell r="D862">
            <v>0</v>
          </cell>
        </row>
        <row r="863">
          <cell r="A863" t="str">
            <v>405-005-001-0001</v>
          </cell>
          <cell r="B863" t="str">
            <v>Heavy  Vehicle Running Expenses</v>
          </cell>
          <cell r="C863">
            <v>4</v>
          </cell>
          <cell r="D863">
            <v>0</v>
          </cell>
        </row>
        <row r="864">
          <cell r="A864" t="str">
            <v>405-005-002-0000</v>
          </cell>
          <cell r="B864" t="str">
            <v>Light Vehicls Running Expenses</v>
          </cell>
          <cell r="C864">
            <v>3</v>
          </cell>
          <cell r="D864">
            <v>0</v>
          </cell>
        </row>
        <row r="865">
          <cell r="A865" t="str">
            <v>405-005-002-0001</v>
          </cell>
          <cell r="B865" t="str">
            <v>Light Vehicls Running Expenses</v>
          </cell>
          <cell r="C865">
            <v>4</v>
          </cell>
          <cell r="D865">
            <v>0</v>
          </cell>
        </row>
        <row r="866">
          <cell r="A866" t="str">
            <v>405-006-000-0000</v>
          </cell>
          <cell r="B866" t="str">
            <v>Repair and Maintenance</v>
          </cell>
          <cell r="C866">
            <v>2</v>
          </cell>
          <cell r="D866">
            <v>242960</v>
          </cell>
        </row>
        <row r="867">
          <cell r="A867" t="str">
            <v>405-006-001-0000</v>
          </cell>
          <cell r="B867" t="str">
            <v>Heavy Vehicles Repair and Maintainance</v>
          </cell>
          <cell r="C867">
            <v>3</v>
          </cell>
          <cell r="D867">
            <v>0</v>
          </cell>
        </row>
        <row r="868">
          <cell r="A868" t="str">
            <v>405-006-001-0001</v>
          </cell>
          <cell r="B868" t="str">
            <v>Heavy Vehicles Repair and Maintainance</v>
          </cell>
          <cell r="C868">
            <v>4</v>
          </cell>
          <cell r="D868">
            <v>0</v>
          </cell>
        </row>
        <row r="869">
          <cell r="A869" t="str">
            <v>405-006-002-0000</v>
          </cell>
          <cell r="B869" t="str">
            <v>Light Vehicles Repair and Maintainance</v>
          </cell>
          <cell r="C869">
            <v>3</v>
          </cell>
          <cell r="D869">
            <v>0</v>
          </cell>
        </row>
        <row r="870">
          <cell r="A870" t="str">
            <v>405-006-002-0001</v>
          </cell>
          <cell r="B870" t="str">
            <v>Light Vehicles Repair and Maintainance</v>
          </cell>
          <cell r="C870">
            <v>4</v>
          </cell>
          <cell r="D870">
            <v>0</v>
          </cell>
        </row>
        <row r="871">
          <cell r="A871" t="str">
            <v>405-006-003-0000</v>
          </cell>
          <cell r="B871" t="str">
            <v>Spares of Vehicles</v>
          </cell>
          <cell r="C871">
            <v>3</v>
          </cell>
          <cell r="D871">
            <v>0</v>
          </cell>
        </row>
        <row r="872">
          <cell r="A872" t="str">
            <v>405-006-003-0001</v>
          </cell>
          <cell r="B872" t="str">
            <v>Spares of Vehicles</v>
          </cell>
          <cell r="C872">
            <v>4</v>
          </cell>
          <cell r="D872">
            <v>0</v>
          </cell>
        </row>
        <row r="873">
          <cell r="A873" t="str">
            <v>405-006-004-0000</v>
          </cell>
          <cell r="B873" t="str">
            <v>Plant and Machinery Repair and Maintainance</v>
          </cell>
          <cell r="C873">
            <v>3</v>
          </cell>
          <cell r="D873">
            <v>2960</v>
          </cell>
        </row>
        <row r="874">
          <cell r="A874" t="str">
            <v>405-006-004-0001</v>
          </cell>
          <cell r="B874" t="str">
            <v>Plant and Machinery Repair and Maintainance</v>
          </cell>
          <cell r="C874">
            <v>4</v>
          </cell>
          <cell r="D874">
            <v>2960</v>
          </cell>
        </row>
        <row r="875">
          <cell r="A875" t="str">
            <v>405-006-005-0000</v>
          </cell>
          <cell r="B875" t="str">
            <v>Site Frrniture and Fixture Repair and Maintainance</v>
          </cell>
          <cell r="C875">
            <v>3</v>
          </cell>
          <cell r="D875">
            <v>0</v>
          </cell>
        </row>
        <row r="876">
          <cell r="A876" t="str">
            <v>405-006-005-0001</v>
          </cell>
          <cell r="B876" t="str">
            <v>Site Frrniture and Fixture Repair and Maintainance</v>
          </cell>
          <cell r="C876">
            <v>4</v>
          </cell>
          <cell r="D876">
            <v>0</v>
          </cell>
        </row>
        <row r="877">
          <cell r="A877" t="str">
            <v>405-006-006-0000</v>
          </cell>
          <cell r="B877" t="str">
            <v>Site Office Equipment Repair and Maintainance</v>
          </cell>
          <cell r="C877">
            <v>3</v>
          </cell>
          <cell r="D877">
            <v>0</v>
          </cell>
        </row>
        <row r="878">
          <cell r="A878" t="str">
            <v>405-006-006-0001</v>
          </cell>
          <cell r="B878" t="str">
            <v>Site Office Equipment Repair and Maintainance</v>
          </cell>
          <cell r="C878">
            <v>4</v>
          </cell>
          <cell r="D878">
            <v>0</v>
          </cell>
        </row>
        <row r="879">
          <cell r="A879" t="str">
            <v>405-006-007-0000</v>
          </cell>
          <cell r="B879" t="str">
            <v>Site Electrical Equipment Repair and Maintainance</v>
          </cell>
          <cell r="C879">
            <v>3</v>
          </cell>
          <cell r="D879">
            <v>0</v>
          </cell>
        </row>
        <row r="880">
          <cell r="A880" t="str">
            <v>405-006-007-0001</v>
          </cell>
          <cell r="B880" t="str">
            <v>Site Electrical Equipment Repair and Maintainance</v>
          </cell>
          <cell r="C880">
            <v>4</v>
          </cell>
          <cell r="D880">
            <v>0</v>
          </cell>
        </row>
        <row r="881">
          <cell r="A881" t="str">
            <v>405-006-007-0002</v>
          </cell>
          <cell r="B881" t="str">
            <v>Site misc works</v>
          </cell>
          <cell r="C881">
            <v>4</v>
          </cell>
          <cell r="D881">
            <v>0</v>
          </cell>
        </row>
        <row r="882">
          <cell r="A882" t="str">
            <v>405-006-008-0000</v>
          </cell>
          <cell r="B882" t="str">
            <v>Labortory and Survey Equipment Repair and Maintain</v>
          </cell>
          <cell r="C882">
            <v>3</v>
          </cell>
          <cell r="D882">
            <v>0</v>
          </cell>
        </row>
        <row r="883">
          <cell r="A883" t="str">
            <v>405-006-008-0001</v>
          </cell>
          <cell r="B883" t="str">
            <v>Labortory and Survey Equipment Repair and Maintain</v>
          </cell>
          <cell r="C883">
            <v>4</v>
          </cell>
          <cell r="D883">
            <v>0</v>
          </cell>
        </row>
        <row r="884">
          <cell r="A884" t="str">
            <v>405-006-009-0000</v>
          </cell>
          <cell r="B884" t="str">
            <v>Site Computers Repairs and Maintainance</v>
          </cell>
          <cell r="C884">
            <v>3</v>
          </cell>
          <cell r="D884">
            <v>0</v>
          </cell>
        </row>
        <row r="885">
          <cell r="A885" t="str">
            <v>405-006-009-0001</v>
          </cell>
          <cell r="B885" t="str">
            <v>Site Computers Repairs and Maintainance</v>
          </cell>
          <cell r="C885">
            <v>4</v>
          </cell>
          <cell r="D885">
            <v>0</v>
          </cell>
        </row>
        <row r="886">
          <cell r="A886" t="str">
            <v>405-006-009-0002</v>
          </cell>
          <cell r="B886" t="str">
            <v>Computers for NHA</v>
          </cell>
          <cell r="C886">
            <v>4</v>
          </cell>
          <cell r="D886">
            <v>0</v>
          </cell>
        </row>
        <row r="887">
          <cell r="A887" t="str">
            <v>405-006-010-0000</v>
          </cell>
          <cell r="B887" t="str">
            <v>Generators Repairs and Maintainance</v>
          </cell>
          <cell r="C887">
            <v>3</v>
          </cell>
          <cell r="D887">
            <v>0</v>
          </cell>
        </row>
        <row r="888">
          <cell r="A888" t="str">
            <v>405-006-010-0001</v>
          </cell>
          <cell r="B888" t="str">
            <v>Generators Repairs and Maintainance</v>
          </cell>
          <cell r="C888">
            <v>4</v>
          </cell>
          <cell r="D888">
            <v>0</v>
          </cell>
        </row>
        <row r="889">
          <cell r="A889" t="str">
            <v>405-006-011-0000</v>
          </cell>
          <cell r="B889" t="str">
            <v>Fax, Telephones and  Exchange Repair and Maintaina</v>
          </cell>
          <cell r="C889">
            <v>3</v>
          </cell>
          <cell r="D889">
            <v>0</v>
          </cell>
        </row>
        <row r="890">
          <cell r="A890" t="str">
            <v>405-006-011-0001</v>
          </cell>
          <cell r="B890" t="str">
            <v>Fax, Telephones and  Exchange Repair and Maintaina</v>
          </cell>
          <cell r="C890">
            <v>4</v>
          </cell>
          <cell r="D890">
            <v>0</v>
          </cell>
        </row>
        <row r="891">
          <cell r="A891" t="str">
            <v>405-006-012-0000</v>
          </cell>
          <cell r="B891" t="str">
            <v>Site Office Electric  Repair and Maintainance</v>
          </cell>
          <cell r="C891">
            <v>3</v>
          </cell>
          <cell r="D891">
            <v>0</v>
          </cell>
        </row>
        <row r="892">
          <cell r="A892" t="str">
            <v>405-006-012-0001</v>
          </cell>
          <cell r="B892" t="str">
            <v>Site Office Electric  Repair and Maintainance</v>
          </cell>
          <cell r="C892">
            <v>4</v>
          </cell>
          <cell r="D892">
            <v>0</v>
          </cell>
        </row>
        <row r="893">
          <cell r="A893" t="str">
            <v>405-006-013-0000</v>
          </cell>
          <cell r="B893" t="str">
            <v>Site Office Building Repair and Maintainance</v>
          </cell>
          <cell r="C893">
            <v>3</v>
          </cell>
          <cell r="D893">
            <v>0</v>
          </cell>
        </row>
        <row r="894">
          <cell r="A894" t="str">
            <v>405-006-013-0001</v>
          </cell>
          <cell r="B894" t="str">
            <v>Site Office Building Repair and Maintainance</v>
          </cell>
          <cell r="C894">
            <v>4</v>
          </cell>
          <cell r="D894">
            <v>0</v>
          </cell>
        </row>
        <row r="895">
          <cell r="A895" t="str">
            <v>405-006-014-0000</v>
          </cell>
          <cell r="B895" t="str">
            <v>Furniture &amp; Fixture Repair &amp; Maintenance</v>
          </cell>
          <cell r="C895">
            <v>3</v>
          </cell>
          <cell r="D895">
            <v>0</v>
          </cell>
        </row>
        <row r="896">
          <cell r="A896" t="str">
            <v>405-006-014-0001</v>
          </cell>
          <cell r="B896" t="str">
            <v>Furniture &amp; Fixture Repair &amp; Maintenance</v>
          </cell>
          <cell r="C896">
            <v>4</v>
          </cell>
          <cell r="D896">
            <v>0</v>
          </cell>
        </row>
        <row r="897">
          <cell r="A897" t="str">
            <v>405-006-015-0000</v>
          </cell>
          <cell r="B897" t="str">
            <v>Wireless Equipment Repair Charges</v>
          </cell>
          <cell r="C897">
            <v>3</v>
          </cell>
          <cell r="D897">
            <v>0</v>
          </cell>
        </row>
        <row r="898">
          <cell r="A898" t="str">
            <v>405-006-015-0001</v>
          </cell>
          <cell r="B898" t="str">
            <v>Wireless Equipment Repair Charges</v>
          </cell>
          <cell r="C898">
            <v>4</v>
          </cell>
          <cell r="D898">
            <v>0</v>
          </cell>
        </row>
        <row r="899">
          <cell r="A899" t="str">
            <v>405-006-016-0000</v>
          </cell>
          <cell r="B899" t="str">
            <v>Project Maintainance Cost</v>
          </cell>
          <cell r="C899">
            <v>3</v>
          </cell>
          <cell r="D899">
            <v>240000</v>
          </cell>
        </row>
        <row r="900">
          <cell r="A900" t="str">
            <v>405-006-016-0001</v>
          </cell>
          <cell r="B900" t="str">
            <v>Project Maintainance Cost</v>
          </cell>
          <cell r="C900">
            <v>4</v>
          </cell>
          <cell r="D900">
            <v>240000</v>
          </cell>
        </row>
        <row r="901">
          <cell r="A901" t="str">
            <v>405-007-000-0000</v>
          </cell>
          <cell r="B901" t="str">
            <v>Printing and stationery</v>
          </cell>
          <cell r="C901">
            <v>2</v>
          </cell>
          <cell r="D901">
            <v>0</v>
          </cell>
        </row>
        <row r="902">
          <cell r="A902" t="str">
            <v>405-007-001-0000</v>
          </cell>
          <cell r="B902" t="str">
            <v>Printing and stationery</v>
          </cell>
          <cell r="C902">
            <v>3</v>
          </cell>
          <cell r="D902">
            <v>0</v>
          </cell>
        </row>
        <row r="903">
          <cell r="A903" t="str">
            <v>405-007-001-0001</v>
          </cell>
          <cell r="B903" t="str">
            <v>Printing expenses</v>
          </cell>
          <cell r="C903">
            <v>4</v>
          </cell>
          <cell r="D903">
            <v>0</v>
          </cell>
        </row>
        <row r="904">
          <cell r="A904" t="str">
            <v>405-007-001-0002</v>
          </cell>
          <cell r="B904" t="str">
            <v>Stationery expenses</v>
          </cell>
          <cell r="C904">
            <v>4</v>
          </cell>
          <cell r="D904">
            <v>0</v>
          </cell>
        </row>
        <row r="905">
          <cell r="A905" t="str">
            <v>405-007-001-0003</v>
          </cell>
          <cell r="B905" t="str">
            <v>Computer stationery</v>
          </cell>
          <cell r="C905">
            <v>4</v>
          </cell>
          <cell r="D905">
            <v>0</v>
          </cell>
        </row>
        <row r="906">
          <cell r="A906" t="str">
            <v>405-007-001-0004</v>
          </cell>
          <cell r="B906" t="str">
            <v>Photocopies</v>
          </cell>
          <cell r="C906">
            <v>4</v>
          </cell>
          <cell r="D906">
            <v>0</v>
          </cell>
        </row>
        <row r="907">
          <cell r="A907" t="str">
            <v>405-008-000-0000</v>
          </cell>
          <cell r="B907" t="str">
            <v>Electric, Water and Gas Charges</v>
          </cell>
          <cell r="C907">
            <v>2</v>
          </cell>
          <cell r="D907">
            <v>0</v>
          </cell>
        </row>
        <row r="908">
          <cell r="A908" t="str">
            <v>405-008-001-0000</v>
          </cell>
          <cell r="B908" t="str">
            <v>Electricity</v>
          </cell>
          <cell r="C908">
            <v>3</v>
          </cell>
          <cell r="D908">
            <v>0</v>
          </cell>
        </row>
        <row r="909">
          <cell r="A909" t="str">
            <v>405-008-001-0001</v>
          </cell>
          <cell r="B909" t="str">
            <v>Electricity Installition Charges</v>
          </cell>
          <cell r="C909">
            <v>4</v>
          </cell>
          <cell r="D909">
            <v>0</v>
          </cell>
        </row>
        <row r="910">
          <cell r="A910" t="str">
            <v>405-008-001-0002</v>
          </cell>
          <cell r="B910" t="str">
            <v>Electricity Charges GHQ Share</v>
          </cell>
          <cell r="C910">
            <v>4</v>
          </cell>
          <cell r="D910">
            <v>0</v>
          </cell>
        </row>
        <row r="911">
          <cell r="A911" t="str">
            <v>405-008-001-0003</v>
          </cell>
          <cell r="B911" t="str">
            <v>Electricity Charges Bill #</v>
          </cell>
          <cell r="C911">
            <v>4</v>
          </cell>
          <cell r="D911">
            <v>0</v>
          </cell>
        </row>
        <row r="912">
          <cell r="A912" t="str">
            <v>405-008-001-0004</v>
          </cell>
          <cell r="B912" t="str">
            <v>Electricity Charges Bill #</v>
          </cell>
          <cell r="C912">
            <v>4</v>
          </cell>
          <cell r="D912">
            <v>0</v>
          </cell>
        </row>
        <row r="913">
          <cell r="A913" t="str">
            <v>405-008-001-0005</v>
          </cell>
          <cell r="B913" t="str">
            <v>Electricity Charges Bill #</v>
          </cell>
          <cell r="C913">
            <v>4</v>
          </cell>
          <cell r="D913">
            <v>0</v>
          </cell>
        </row>
        <row r="914">
          <cell r="A914" t="str">
            <v>405-008-002-0000</v>
          </cell>
          <cell r="B914" t="str">
            <v>Water charges</v>
          </cell>
          <cell r="C914">
            <v>3</v>
          </cell>
          <cell r="D914">
            <v>0</v>
          </cell>
        </row>
        <row r="915">
          <cell r="A915" t="str">
            <v>405-008-002-0001</v>
          </cell>
          <cell r="B915" t="str">
            <v>Water Installation Charges</v>
          </cell>
          <cell r="C915">
            <v>4</v>
          </cell>
          <cell r="D915">
            <v>0</v>
          </cell>
        </row>
        <row r="916">
          <cell r="A916" t="str">
            <v>405-008-002-0002</v>
          </cell>
          <cell r="B916" t="str">
            <v>Water Charges GHQ Share</v>
          </cell>
          <cell r="C916">
            <v>4</v>
          </cell>
          <cell r="D916">
            <v>0</v>
          </cell>
        </row>
        <row r="917">
          <cell r="A917" t="str">
            <v>405-008-002-0003</v>
          </cell>
          <cell r="B917" t="str">
            <v>Water Charges Bill #</v>
          </cell>
          <cell r="C917">
            <v>4</v>
          </cell>
          <cell r="D917">
            <v>0</v>
          </cell>
        </row>
        <row r="918">
          <cell r="A918" t="str">
            <v>405-008-003-0000</v>
          </cell>
          <cell r="B918" t="str">
            <v>Gas charges</v>
          </cell>
          <cell r="C918">
            <v>3</v>
          </cell>
          <cell r="D918">
            <v>0</v>
          </cell>
        </row>
        <row r="919">
          <cell r="A919" t="str">
            <v>405-008-003-0001</v>
          </cell>
          <cell r="B919" t="str">
            <v>Sui Gas Installation Charges</v>
          </cell>
          <cell r="C919">
            <v>4</v>
          </cell>
          <cell r="D919">
            <v>0</v>
          </cell>
        </row>
        <row r="920">
          <cell r="A920" t="str">
            <v>405-008-003-0002</v>
          </cell>
          <cell r="B920" t="str">
            <v>Sui Gas Charges Bill # GHQ Share</v>
          </cell>
          <cell r="C920">
            <v>4</v>
          </cell>
          <cell r="D920">
            <v>0</v>
          </cell>
        </row>
        <row r="921">
          <cell r="A921" t="str">
            <v>405-008-003-0003</v>
          </cell>
          <cell r="B921" t="str">
            <v>Sui Gas Charges Bill #</v>
          </cell>
          <cell r="C921">
            <v>4</v>
          </cell>
          <cell r="D921">
            <v>0</v>
          </cell>
        </row>
        <row r="922">
          <cell r="A922" t="str">
            <v>405-008-003-0004</v>
          </cell>
          <cell r="B922" t="str">
            <v>Sui Gas Cylinder</v>
          </cell>
          <cell r="C922">
            <v>4</v>
          </cell>
          <cell r="D922">
            <v>0</v>
          </cell>
        </row>
        <row r="923">
          <cell r="A923" t="str">
            <v>405-009-000-0000</v>
          </cell>
          <cell r="B923" t="str">
            <v>Communication Charges</v>
          </cell>
          <cell r="C923">
            <v>2</v>
          </cell>
          <cell r="D923">
            <v>0</v>
          </cell>
        </row>
        <row r="924">
          <cell r="A924" t="str">
            <v>405-009-001-0000</v>
          </cell>
          <cell r="B924" t="str">
            <v>Telephone charges</v>
          </cell>
          <cell r="C924">
            <v>3</v>
          </cell>
          <cell r="D924">
            <v>0</v>
          </cell>
        </row>
        <row r="925">
          <cell r="A925" t="str">
            <v>405-009-001-0001</v>
          </cell>
          <cell r="B925" t="str">
            <v>Telephone Installation Charges</v>
          </cell>
          <cell r="C925">
            <v>4</v>
          </cell>
          <cell r="D925">
            <v>0</v>
          </cell>
        </row>
        <row r="926">
          <cell r="A926" t="str">
            <v>405-009-001-0002</v>
          </cell>
          <cell r="B926" t="str">
            <v>Telephone Charges GHQ Share</v>
          </cell>
          <cell r="C926">
            <v>4</v>
          </cell>
          <cell r="D926">
            <v>0</v>
          </cell>
        </row>
        <row r="927">
          <cell r="A927" t="str">
            <v>405-009-001-0003</v>
          </cell>
          <cell r="B927" t="str">
            <v>Telephone Bill</v>
          </cell>
          <cell r="C927">
            <v>4</v>
          </cell>
          <cell r="D927">
            <v>0</v>
          </cell>
        </row>
        <row r="928">
          <cell r="A928" t="str">
            <v>405-009-002-0000</v>
          </cell>
          <cell r="B928" t="str">
            <v>Mobile Phone Charges</v>
          </cell>
          <cell r="C928">
            <v>3</v>
          </cell>
          <cell r="D928">
            <v>0</v>
          </cell>
        </row>
        <row r="929">
          <cell r="A929" t="str">
            <v>405-009-002-0001</v>
          </cell>
          <cell r="B929" t="str">
            <v>Mobile Phone Installation Charges</v>
          </cell>
          <cell r="C929">
            <v>4</v>
          </cell>
          <cell r="D929">
            <v>0</v>
          </cell>
        </row>
        <row r="930">
          <cell r="A930" t="str">
            <v>405-009-002-0002</v>
          </cell>
          <cell r="B930" t="str">
            <v>Mobile Phone  Charges GHQ Share</v>
          </cell>
          <cell r="C930">
            <v>4</v>
          </cell>
          <cell r="D930">
            <v>0</v>
          </cell>
        </row>
        <row r="931">
          <cell r="A931" t="str">
            <v>405-009-002-0003</v>
          </cell>
          <cell r="B931" t="str">
            <v>Mobile Phone  Bill ( No.7759322 )</v>
          </cell>
          <cell r="C931">
            <v>4</v>
          </cell>
          <cell r="D931">
            <v>0</v>
          </cell>
        </row>
        <row r="932">
          <cell r="A932" t="str">
            <v>405-009-003-0000</v>
          </cell>
          <cell r="B932" t="str">
            <v>Fax charges</v>
          </cell>
          <cell r="C932">
            <v>3</v>
          </cell>
          <cell r="D932">
            <v>0</v>
          </cell>
        </row>
        <row r="933">
          <cell r="A933" t="str">
            <v>405-009-003-0001</v>
          </cell>
          <cell r="B933" t="str">
            <v>Fax#</v>
          </cell>
          <cell r="C933">
            <v>4</v>
          </cell>
          <cell r="D933">
            <v>0</v>
          </cell>
        </row>
        <row r="934">
          <cell r="A934" t="str">
            <v>405-009-004-0000</v>
          </cell>
          <cell r="B934" t="str">
            <v>Telex and telegram</v>
          </cell>
          <cell r="C934">
            <v>3</v>
          </cell>
          <cell r="D934">
            <v>0</v>
          </cell>
        </row>
        <row r="935">
          <cell r="A935" t="str">
            <v>405-009-004-0001</v>
          </cell>
          <cell r="B935" t="str">
            <v>Telex and telegram</v>
          </cell>
          <cell r="C935">
            <v>4</v>
          </cell>
          <cell r="D935">
            <v>0</v>
          </cell>
        </row>
        <row r="936">
          <cell r="A936" t="str">
            <v>405-009-005-0000</v>
          </cell>
          <cell r="B936" t="str">
            <v>Postage</v>
          </cell>
          <cell r="C936">
            <v>3</v>
          </cell>
          <cell r="D936">
            <v>0</v>
          </cell>
        </row>
        <row r="937">
          <cell r="A937" t="str">
            <v>405-009-005-0001</v>
          </cell>
          <cell r="B937" t="str">
            <v>Postage</v>
          </cell>
          <cell r="C937">
            <v>4</v>
          </cell>
          <cell r="D937">
            <v>0</v>
          </cell>
        </row>
        <row r="938">
          <cell r="A938" t="str">
            <v>405-009-006-0000</v>
          </cell>
          <cell r="B938" t="str">
            <v>Pager</v>
          </cell>
          <cell r="C938">
            <v>3</v>
          </cell>
          <cell r="D938">
            <v>0</v>
          </cell>
        </row>
        <row r="939">
          <cell r="A939" t="str">
            <v>405-009-006-0001</v>
          </cell>
          <cell r="B939" t="str">
            <v>Pager</v>
          </cell>
          <cell r="C939">
            <v>4</v>
          </cell>
          <cell r="D939">
            <v>0</v>
          </cell>
        </row>
        <row r="940">
          <cell r="A940" t="str">
            <v>405-009-007-0000</v>
          </cell>
          <cell r="B940" t="str">
            <v>Internet charges</v>
          </cell>
          <cell r="C940">
            <v>3</v>
          </cell>
          <cell r="D940">
            <v>0</v>
          </cell>
        </row>
        <row r="941">
          <cell r="A941" t="str">
            <v>405-009-007-0001</v>
          </cell>
          <cell r="B941" t="str">
            <v>Internet charges</v>
          </cell>
          <cell r="C941">
            <v>4</v>
          </cell>
          <cell r="D941">
            <v>0</v>
          </cell>
        </row>
        <row r="942">
          <cell r="A942" t="str">
            <v>405-009-008-0000</v>
          </cell>
          <cell r="B942" t="str">
            <v>Wireless Charges</v>
          </cell>
          <cell r="C942">
            <v>3</v>
          </cell>
          <cell r="D942">
            <v>0</v>
          </cell>
        </row>
        <row r="943">
          <cell r="A943" t="str">
            <v>405-009-008-0001</v>
          </cell>
          <cell r="B943" t="str">
            <v>Wireless Charges</v>
          </cell>
          <cell r="C943">
            <v>4</v>
          </cell>
          <cell r="D943">
            <v>0</v>
          </cell>
        </row>
        <row r="944">
          <cell r="A944" t="str">
            <v>405-010-000-0000</v>
          </cell>
          <cell r="B944" t="str">
            <v>Entertainment</v>
          </cell>
          <cell r="C944">
            <v>2</v>
          </cell>
          <cell r="D944">
            <v>0</v>
          </cell>
        </row>
        <row r="945">
          <cell r="A945" t="str">
            <v>405-010-001-0000</v>
          </cell>
          <cell r="B945" t="str">
            <v>Entertainment</v>
          </cell>
          <cell r="C945">
            <v>3</v>
          </cell>
          <cell r="D945">
            <v>0</v>
          </cell>
        </row>
        <row r="946">
          <cell r="A946" t="str">
            <v>405-010-001-0001</v>
          </cell>
          <cell r="B946" t="str">
            <v>Project Office Entertainement</v>
          </cell>
          <cell r="C946">
            <v>4</v>
          </cell>
          <cell r="D946">
            <v>0</v>
          </cell>
        </row>
        <row r="947">
          <cell r="A947" t="str">
            <v>405-010-001-0002</v>
          </cell>
          <cell r="B947" t="str">
            <v>Field Staff Entertainment</v>
          </cell>
          <cell r="C947">
            <v>4</v>
          </cell>
          <cell r="D947">
            <v>0</v>
          </cell>
        </row>
        <row r="948">
          <cell r="A948" t="str">
            <v>405-011-000-0000</v>
          </cell>
          <cell r="B948" t="str">
            <v>Consultants Charges</v>
          </cell>
          <cell r="C948">
            <v>2</v>
          </cell>
          <cell r="D948">
            <v>8250</v>
          </cell>
        </row>
        <row r="949">
          <cell r="A949" t="str">
            <v>405-011-001-0000</v>
          </cell>
          <cell r="B949" t="str">
            <v>Consultants Charges</v>
          </cell>
          <cell r="C949">
            <v>3</v>
          </cell>
          <cell r="D949">
            <v>8250</v>
          </cell>
        </row>
        <row r="950">
          <cell r="A950" t="str">
            <v>405-011-001-0001</v>
          </cell>
          <cell r="B950" t="str">
            <v>Client Charges</v>
          </cell>
          <cell r="C950">
            <v>4</v>
          </cell>
          <cell r="D950">
            <v>8250</v>
          </cell>
        </row>
        <row r="951">
          <cell r="A951" t="str">
            <v>405-012-000-0000</v>
          </cell>
          <cell r="B951" t="str">
            <v>Auditors Remuneration</v>
          </cell>
          <cell r="C951">
            <v>2</v>
          </cell>
          <cell r="D951">
            <v>0</v>
          </cell>
        </row>
        <row r="952">
          <cell r="A952" t="str">
            <v>405-012-001-0000</v>
          </cell>
          <cell r="B952" t="str">
            <v>Auditors Remuneration</v>
          </cell>
          <cell r="C952">
            <v>3</v>
          </cell>
          <cell r="D952">
            <v>0</v>
          </cell>
        </row>
        <row r="953">
          <cell r="A953" t="str">
            <v>405-012-001-0001</v>
          </cell>
          <cell r="B953" t="str">
            <v>Auditors Remuneration</v>
          </cell>
          <cell r="C953">
            <v>4</v>
          </cell>
          <cell r="D953">
            <v>0</v>
          </cell>
        </row>
        <row r="954">
          <cell r="A954" t="str">
            <v>405-013-000-0000</v>
          </cell>
          <cell r="B954" t="str">
            <v>Fee and subscription</v>
          </cell>
          <cell r="C954">
            <v>2</v>
          </cell>
          <cell r="D954">
            <v>0</v>
          </cell>
        </row>
        <row r="955">
          <cell r="A955" t="str">
            <v>405-013-001-0000</v>
          </cell>
          <cell r="B955" t="str">
            <v>Fee and subscription</v>
          </cell>
          <cell r="C955">
            <v>3</v>
          </cell>
          <cell r="D955">
            <v>0</v>
          </cell>
        </row>
        <row r="956">
          <cell r="A956" t="str">
            <v>405-014-000-0000</v>
          </cell>
          <cell r="B956" t="str">
            <v>Insurance Expenses</v>
          </cell>
          <cell r="C956">
            <v>2</v>
          </cell>
          <cell r="D956">
            <v>0</v>
          </cell>
        </row>
        <row r="957">
          <cell r="A957" t="str">
            <v>405-014-001-0000</v>
          </cell>
          <cell r="B957" t="str">
            <v>Insurance Expenses</v>
          </cell>
          <cell r="C957">
            <v>3</v>
          </cell>
          <cell r="D957">
            <v>0</v>
          </cell>
        </row>
        <row r="958">
          <cell r="A958" t="str">
            <v>405-014-001-0001</v>
          </cell>
          <cell r="B958" t="str">
            <v>Cash Insurance Expenses</v>
          </cell>
          <cell r="C958">
            <v>4</v>
          </cell>
          <cell r="D958">
            <v>0</v>
          </cell>
        </row>
        <row r="959">
          <cell r="A959" t="str">
            <v>405-015-000-0000</v>
          </cell>
          <cell r="B959" t="str">
            <v>Professional Tax</v>
          </cell>
          <cell r="C959">
            <v>2</v>
          </cell>
          <cell r="D959">
            <v>0</v>
          </cell>
        </row>
        <row r="960">
          <cell r="A960" t="str">
            <v>405-015-001-0000</v>
          </cell>
          <cell r="B960" t="str">
            <v>Professional Tax</v>
          </cell>
          <cell r="C960">
            <v>3</v>
          </cell>
          <cell r="D960">
            <v>0</v>
          </cell>
        </row>
        <row r="961">
          <cell r="A961" t="str">
            <v>405-015-001-0001</v>
          </cell>
          <cell r="B961" t="str">
            <v>Professional Tax</v>
          </cell>
          <cell r="C961">
            <v>4</v>
          </cell>
          <cell r="D961">
            <v>0</v>
          </cell>
        </row>
        <row r="962">
          <cell r="A962" t="str">
            <v>405-016-000-0000</v>
          </cell>
          <cell r="B962" t="str">
            <v>News paper and periodicals</v>
          </cell>
          <cell r="C962">
            <v>2</v>
          </cell>
          <cell r="D962">
            <v>0</v>
          </cell>
        </row>
        <row r="963">
          <cell r="A963" t="str">
            <v>405-016-001-0000</v>
          </cell>
          <cell r="B963" t="str">
            <v>News paper and periodicals</v>
          </cell>
          <cell r="C963">
            <v>3</v>
          </cell>
          <cell r="D963">
            <v>0</v>
          </cell>
        </row>
        <row r="964">
          <cell r="A964" t="str">
            <v>405-016-001-0001</v>
          </cell>
          <cell r="B964" t="str">
            <v>Newspapers</v>
          </cell>
          <cell r="C964">
            <v>4</v>
          </cell>
          <cell r="D964">
            <v>0</v>
          </cell>
        </row>
        <row r="965">
          <cell r="A965" t="str">
            <v>405-017-000-0000</v>
          </cell>
          <cell r="B965" t="str">
            <v>Charity and donation</v>
          </cell>
          <cell r="C965">
            <v>2</v>
          </cell>
          <cell r="D965">
            <v>0</v>
          </cell>
        </row>
        <row r="966">
          <cell r="A966" t="str">
            <v>405-017-001-0000</v>
          </cell>
          <cell r="B966" t="str">
            <v>Charity and Donation</v>
          </cell>
          <cell r="C966">
            <v>3</v>
          </cell>
          <cell r="D966">
            <v>0</v>
          </cell>
        </row>
        <row r="967">
          <cell r="A967" t="str">
            <v>405-017-001-0001</v>
          </cell>
          <cell r="B967" t="str">
            <v>Charity</v>
          </cell>
          <cell r="C967">
            <v>4</v>
          </cell>
          <cell r="D967">
            <v>0</v>
          </cell>
        </row>
        <row r="968">
          <cell r="A968" t="str">
            <v>405-017-001-0002</v>
          </cell>
          <cell r="B968" t="str">
            <v>Donations</v>
          </cell>
          <cell r="C968">
            <v>4</v>
          </cell>
          <cell r="D968">
            <v>0</v>
          </cell>
        </row>
        <row r="969">
          <cell r="A969" t="str">
            <v>405-018-000-0000</v>
          </cell>
          <cell r="B969" t="str">
            <v>Advertisement expenses</v>
          </cell>
          <cell r="C969">
            <v>2</v>
          </cell>
          <cell r="D969">
            <v>0</v>
          </cell>
        </row>
        <row r="970">
          <cell r="A970" t="str">
            <v>405-018-001-0000</v>
          </cell>
          <cell r="B970" t="str">
            <v>Advertisement expenses</v>
          </cell>
          <cell r="C970">
            <v>3</v>
          </cell>
          <cell r="D970">
            <v>0</v>
          </cell>
        </row>
        <row r="971">
          <cell r="A971" t="str">
            <v>405-018-001-0001</v>
          </cell>
          <cell r="B971" t="str">
            <v>Advertisement Newspapers</v>
          </cell>
          <cell r="C971">
            <v>4</v>
          </cell>
          <cell r="D971">
            <v>0</v>
          </cell>
        </row>
        <row r="972">
          <cell r="A972" t="str">
            <v>405-019-000-0000</v>
          </cell>
          <cell r="B972" t="str">
            <v>Research, Development and Planning</v>
          </cell>
          <cell r="C972">
            <v>2</v>
          </cell>
          <cell r="D972">
            <v>21500</v>
          </cell>
        </row>
        <row r="973">
          <cell r="A973" t="str">
            <v>405-019-001-0000</v>
          </cell>
          <cell r="B973" t="str">
            <v>Research, Development and Planning</v>
          </cell>
          <cell r="C973">
            <v>3</v>
          </cell>
          <cell r="D973">
            <v>21500</v>
          </cell>
        </row>
        <row r="974">
          <cell r="A974" t="str">
            <v>405-019-001-0001</v>
          </cell>
          <cell r="B974" t="str">
            <v>Documentations Expenses</v>
          </cell>
          <cell r="C974">
            <v>4</v>
          </cell>
          <cell r="D974">
            <v>0</v>
          </cell>
        </row>
        <row r="975">
          <cell r="A975" t="str">
            <v>405-019-001-0002</v>
          </cell>
          <cell r="B975" t="str">
            <v>Photography Expenses</v>
          </cell>
          <cell r="C975">
            <v>4</v>
          </cell>
          <cell r="D975">
            <v>0</v>
          </cell>
        </row>
        <row r="976">
          <cell r="A976" t="str">
            <v>405-019-001-0003</v>
          </cell>
          <cell r="B976" t="str">
            <v>Vedio Making Expenses</v>
          </cell>
          <cell r="C976">
            <v>4</v>
          </cell>
          <cell r="D976">
            <v>0</v>
          </cell>
        </row>
        <row r="977">
          <cell r="A977" t="str">
            <v>405-019-001-0004</v>
          </cell>
          <cell r="B977" t="str">
            <v>Survey Expenses</v>
          </cell>
          <cell r="C977">
            <v>4</v>
          </cell>
          <cell r="D977">
            <v>0</v>
          </cell>
        </row>
        <row r="978">
          <cell r="A978" t="str">
            <v>405-019-001-0005</v>
          </cell>
          <cell r="B978" t="str">
            <v>Laboratory  Expenses</v>
          </cell>
          <cell r="C978">
            <v>4</v>
          </cell>
          <cell r="D978">
            <v>21500</v>
          </cell>
        </row>
        <row r="979">
          <cell r="A979" t="str">
            <v>405-019-001-0006</v>
          </cell>
          <cell r="B979" t="str">
            <v>Consultancy Charges</v>
          </cell>
          <cell r="C979">
            <v>4</v>
          </cell>
          <cell r="D979">
            <v>0</v>
          </cell>
        </row>
        <row r="980">
          <cell r="A980" t="str">
            <v>405-019-001-0007</v>
          </cell>
          <cell r="B980" t="str">
            <v>Desingning Charges</v>
          </cell>
          <cell r="C980">
            <v>4</v>
          </cell>
          <cell r="D980">
            <v>0</v>
          </cell>
        </row>
        <row r="981">
          <cell r="A981" t="str">
            <v>405-019-001-0008</v>
          </cell>
          <cell r="B981" t="str">
            <v>Site Auxiliry Work</v>
          </cell>
          <cell r="C981">
            <v>4</v>
          </cell>
          <cell r="D981">
            <v>0</v>
          </cell>
        </row>
        <row r="982">
          <cell r="A982" t="str">
            <v>405-019-001-0009</v>
          </cell>
          <cell r="B982" t="str">
            <v>Temporary Hutting</v>
          </cell>
          <cell r="C982">
            <v>4</v>
          </cell>
          <cell r="D982">
            <v>0</v>
          </cell>
        </row>
        <row r="983">
          <cell r="A983" t="str">
            <v>405-019-001-0010</v>
          </cell>
          <cell r="B983" t="str">
            <v>Consultancy Charges for Financial Documents</v>
          </cell>
          <cell r="C983">
            <v>4</v>
          </cell>
          <cell r="D983">
            <v>0</v>
          </cell>
        </row>
        <row r="984">
          <cell r="A984" t="str">
            <v>405-019-001-0011</v>
          </cell>
          <cell r="B984" t="str">
            <v>Shifting Services(Purch&amp;Laying Optical fibre cable</v>
          </cell>
          <cell r="C984">
            <v>4</v>
          </cell>
          <cell r="D984">
            <v>0</v>
          </cell>
        </row>
        <row r="985">
          <cell r="A985" t="str">
            <v>405-019-001-0012</v>
          </cell>
          <cell r="B985" t="str">
            <v>Computer Consultancy Charges</v>
          </cell>
          <cell r="C985">
            <v>4</v>
          </cell>
          <cell r="D985">
            <v>0</v>
          </cell>
        </row>
        <row r="986">
          <cell r="A986" t="str">
            <v>405-019-001-0013</v>
          </cell>
          <cell r="B986" t="str">
            <v>Computerised Billing Charges</v>
          </cell>
          <cell r="C986">
            <v>4</v>
          </cell>
          <cell r="D986">
            <v>0</v>
          </cell>
        </row>
        <row r="987">
          <cell r="A987" t="str">
            <v>405-019-001-0014</v>
          </cell>
          <cell r="B987" t="str">
            <v>Lahore Kahna Road Feasibility Report</v>
          </cell>
          <cell r="C987">
            <v>4</v>
          </cell>
          <cell r="D987">
            <v>0</v>
          </cell>
        </row>
        <row r="988">
          <cell r="A988" t="str">
            <v>405-019-001-0015</v>
          </cell>
          <cell r="B988" t="str">
            <v>Cost of Tender Project</v>
          </cell>
          <cell r="C988">
            <v>4</v>
          </cell>
          <cell r="D988">
            <v>0</v>
          </cell>
        </row>
        <row r="989">
          <cell r="A989" t="str">
            <v>405-020-000-0000</v>
          </cell>
          <cell r="B989" t="str">
            <v>Transportation, Carriage and Freight Expenses</v>
          </cell>
          <cell r="C989">
            <v>2</v>
          </cell>
          <cell r="D989">
            <v>0</v>
          </cell>
        </row>
        <row r="990">
          <cell r="A990" t="str">
            <v>405-020-001-0000</v>
          </cell>
          <cell r="B990" t="str">
            <v>Transportation, Carriage and Freight Expenses</v>
          </cell>
          <cell r="C990">
            <v>3</v>
          </cell>
          <cell r="D990">
            <v>0</v>
          </cell>
        </row>
        <row r="991">
          <cell r="A991" t="str">
            <v>405-020-001-0001</v>
          </cell>
          <cell r="B991" t="str">
            <v>Transportation Expenses</v>
          </cell>
          <cell r="C991">
            <v>4</v>
          </cell>
          <cell r="D991">
            <v>0</v>
          </cell>
        </row>
        <row r="992">
          <cell r="A992" t="str">
            <v>405-020-001-0002</v>
          </cell>
          <cell r="B992" t="str">
            <v>Carriage and Freight Expenses</v>
          </cell>
          <cell r="C992">
            <v>4</v>
          </cell>
          <cell r="D992">
            <v>0</v>
          </cell>
        </row>
        <row r="993">
          <cell r="A993" t="str">
            <v>405-020-001-0003</v>
          </cell>
          <cell r="B993" t="str">
            <v>Loading, Unloading</v>
          </cell>
          <cell r="C993">
            <v>4</v>
          </cell>
          <cell r="D993">
            <v>0</v>
          </cell>
        </row>
        <row r="994">
          <cell r="A994" t="str">
            <v>405-021-000-0000</v>
          </cell>
          <cell r="B994" t="str">
            <v>Hiring Charges</v>
          </cell>
          <cell r="C994">
            <v>2</v>
          </cell>
          <cell r="D994">
            <v>0</v>
          </cell>
        </row>
        <row r="995">
          <cell r="A995" t="str">
            <v>405-021-001-0000</v>
          </cell>
          <cell r="B995" t="str">
            <v>Heavy Vehicle Hiring charges</v>
          </cell>
          <cell r="C995">
            <v>3</v>
          </cell>
          <cell r="D995">
            <v>0</v>
          </cell>
        </row>
        <row r="996">
          <cell r="A996" t="str">
            <v>405-021-001-0001</v>
          </cell>
          <cell r="B996" t="str">
            <v>Control Heavy Vehicle Hiring charges</v>
          </cell>
          <cell r="C996">
            <v>4</v>
          </cell>
          <cell r="D996">
            <v>0</v>
          </cell>
        </row>
        <row r="997">
          <cell r="A997" t="str">
            <v>405-021-002-0000</v>
          </cell>
          <cell r="B997" t="str">
            <v>Light Vehicle Hiring charges</v>
          </cell>
          <cell r="C997">
            <v>3</v>
          </cell>
          <cell r="D997">
            <v>0</v>
          </cell>
        </row>
        <row r="998">
          <cell r="A998" t="str">
            <v>405-021-002-0001</v>
          </cell>
          <cell r="B998" t="str">
            <v>Control Light Vehicle Hiring charges</v>
          </cell>
          <cell r="C998">
            <v>4</v>
          </cell>
          <cell r="D998">
            <v>0</v>
          </cell>
        </row>
        <row r="999">
          <cell r="A999" t="str">
            <v>405-021-003-0000</v>
          </cell>
          <cell r="B999" t="str">
            <v>Plant and Machinery Hiring charges</v>
          </cell>
          <cell r="C999">
            <v>3</v>
          </cell>
          <cell r="D999">
            <v>0</v>
          </cell>
        </row>
        <row r="1000">
          <cell r="A1000" t="str">
            <v>405-021-003-0001</v>
          </cell>
          <cell r="B1000" t="str">
            <v>Plant and Machinery Hiring charges</v>
          </cell>
          <cell r="C1000">
            <v>4</v>
          </cell>
          <cell r="D1000">
            <v>0</v>
          </cell>
        </row>
        <row r="1001">
          <cell r="A1001" t="str">
            <v>405-021-004-0000</v>
          </cell>
          <cell r="B1001" t="str">
            <v>Equipment Hiring Charges</v>
          </cell>
          <cell r="C1001">
            <v>3</v>
          </cell>
          <cell r="D1001">
            <v>0</v>
          </cell>
        </row>
        <row r="1002">
          <cell r="A1002" t="str">
            <v>405-021-004-0001</v>
          </cell>
          <cell r="B1002" t="str">
            <v>Equipment Hiring Charges</v>
          </cell>
          <cell r="C1002">
            <v>4</v>
          </cell>
          <cell r="D1002">
            <v>0</v>
          </cell>
        </row>
        <row r="1003">
          <cell r="A1003" t="str">
            <v>405-021-005-0000</v>
          </cell>
          <cell r="B1003" t="str">
            <v>Machinery Hiring Charges</v>
          </cell>
          <cell r="C1003">
            <v>3</v>
          </cell>
          <cell r="D1003">
            <v>0</v>
          </cell>
        </row>
        <row r="1004">
          <cell r="A1004" t="str">
            <v>405-021-005-0001</v>
          </cell>
          <cell r="B1004" t="str">
            <v>Machinery Hiring Charges</v>
          </cell>
          <cell r="C1004">
            <v>4</v>
          </cell>
          <cell r="D1004">
            <v>0</v>
          </cell>
        </row>
        <row r="1005">
          <cell r="A1005" t="str">
            <v>405-021-006-0000</v>
          </cell>
          <cell r="B1005" t="str">
            <v>Crane Hiring Charges</v>
          </cell>
          <cell r="C1005">
            <v>3</v>
          </cell>
          <cell r="D1005">
            <v>0</v>
          </cell>
        </row>
        <row r="1006">
          <cell r="A1006" t="str">
            <v>405-021-006-0001</v>
          </cell>
          <cell r="B1006" t="str">
            <v>Crane Hiring Charges</v>
          </cell>
          <cell r="C1006">
            <v>4</v>
          </cell>
          <cell r="D1006">
            <v>0</v>
          </cell>
        </row>
        <row r="1007">
          <cell r="A1007" t="str">
            <v>405-022-000-0000</v>
          </cell>
          <cell r="B1007" t="str">
            <v>Lease Rent</v>
          </cell>
          <cell r="C1007">
            <v>2</v>
          </cell>
          <cell r="D1007">
            <v>0</v>
          </cell>
        </row>
        <row r="1008">
          <cell r="A1008" t="str">
            <v>405-022-001-0000</v>
          </cell>
          <cell r="B1008" t="str">
            <v>Lease Rent</v>
          </cell>
          <cell r="C1008">
            <v>3</v>
          </cell>
          <cell r="D1008">
            <v>0</v>
          </cell>
        </row>
        <row r="1009">
          <cell r="A1009" t="str">
            <v>405-022-001-0001</v>
          </cell>
          <cell r="B1009" t="str">
            <v>Land Lease Rent Charges</v>
          </cell>
          <cell r="C1009">
            <v>4</v>
          </cell>
          <cell r="D1009">
            <v>0</v>
          </cell>
        </row>
        <row r="1010">
          <cell r="A1010" t="str">
            <v>405-023-000-0000</v>
          </cell>
          <cell r="B1010" t="str">
            <v>Depreciation of Operating Fixed Assets</v>
          </cell>
          <cell r="C1010">
            <v>2</v>
          </cell>
          <cell r="D1010">
            <v>68000</v>
          </cell>
        </row>
        <row r="1011">
          <cell r="A1011" t="str">
            <v>405-023-001-0000</v>
          </cell>
          <cell r="B1011" t="str">
            <v>Depreciation of Operating Fixed Assets</v>
          </cell>
          <cell r="C1011">
            <v>3</v>
          </cell>
          <cell r="D1011">
            <v>68000</v>
          </cell>
        </row>
        <row r="1012">
          <cell r="A1012" t="str">
            <v>405-023-001-0001</v>
          </cell>
          <cell r="B1012" t="str">
            <v>Depreciation of Operating Fixed Assets</v>
          </cell>
          <cell r="C1012">
            <v>4</v>
          </cell>
          <cell r="D1012">
            <v>68000</v>
          </cell>
        </row>
        <row r="1013">
          <cell r="A1013" t="str">
            <v>405-024-000-0000</v>
          </cell>
          <cell r="B1013" t="str">
            <v>Amortisation of Lease Assets</v>
          </cell>
          <cell r="C1013">
            <v>2</v>
          </cell>
          <cell r="D1013">
            <v>0</v>
          </cell>
        </row>
        <row r="1014">
          <cell r="A1014" t="str">
            <v>405-024-001-0000</v>
          </cell>
          <cell r="B1014" t="str">
            <v>Amortisation of Lease Assets</v>
          </cell>
          <cell r="C1014">
            <v>3</v>
          </cell>
          <cell r="D1014">
            <v>0</v>
          </cell>
        </row>
        <row r="1015">
          <cell r="A1015" t="str">
            <v>405-024-001-0001</v>
          </cell>
          <cell r="B1015" t="str">
            <v>Amortisation of Lease Assets</v>
          </cell>
          <cell r="C1015">
            <v>4</v>
          </cell>
          <cell r="D1015">
            <v>0</v>
          </cell>
        </row>
        <row r="1016">
          <cell r="A1016" t="str">
            <v>405-025-000-0000</v>
          </cell>
          <cell r="B1016" t="str">
            <v>Amortisation of deferred cost</v>
          </cell>
          <cell r="C1016">
            <v>2</v>
          </cell>
          <cell r="D1016">
            <v>0</v>
          </cell>
        </row>
        <row r="1017">
          <cell r="A1017" t="str">
            <v>405-025-001-0000</v>
          </cell>
          <cell r="B1017" t="str">
            <v>Amortisation of deferred cost</v>
          </cell>
          <cell r="C1017">
            <v>3</v>
          </cell>
          <cell r="D1017">
            <v>0</v>
          </cell>
        </row>
        <row r="1018">
          <cell r="A1018" t="str">
            <v>405-025-001-0001</v>
          </cell>
          <cell r="B1018" t="str">
            <v>Amortisation of deferred cost</v>
          </cell>
          <cell r="C1018">
            <v>4</v>
          </cell>
          <cell r="D1018">
            <v>0</v>
          </cell>
        </row>
        <row r="1019">
          <cell r="A1019" t="str">
            <v>405-026-000-0000</v>
          </cell>
          <cell r="B1019" t="str">
            <v>Miscellaneous Expenses</v>
          </cell>
          <cell r="C1019">
            <v>2</v>
          </cell>
          <cell r="D1019">
            <v>0</v>
          </cell>
        </row>
        <row r="1020">
          <cell r="A1020" t="str">
            <v>405-026-001-0000</v>
          </cell>
          <cell r="B1020" t="str">
            <v>Miscellaneous Expenses</v>
          </cell>
          <cell r="C1020">
            <v>3</v>
          </cell>
          <cell r="D1020">
            <v>0</v>
          </cell>
        </row>
        <row r="1021">
          <cell r="A1021" t="str">
            <v>405-026-001-0001</v>
          </cell>
          <cell r="B1021" t="str">
            <v>Miscellaneous Expenses</v>
          </cell>
          <cell r="C1021">
            <v>4</v>
          </cell>
          <cell r="D1021">
            <v>0</v>
          </cell>
        </row>
        <row r="1022">
          <cell r="A1022" t="str">
            <v>406-000-000-0000</v>
          </cell>
          <cell r="B1022" t="str">
            <v>Work done subcontractors</v>
          </cell>
          <cell r="C1022">
            <v>1</v>
          </cell>
          <cell r="D1022">
            <v>29407070</v>
          </cell>
        </row>
        <row r="1023">
          <cell r="A1023" t="str">
            <v>406-001-000-0000</v>
          </cell>
          <cell r="B1023" t="str">
            <v>Work done subcontractors</v>
          </cell>
          <cell r="C1023">
            <v>2</v>
          </cell>
          <cell r="D1023">
            <v>29407070</v>
          </cell>
        </row>
        <row r="1024">
          <cell r="A1024" t="str">
            <v>406-001-001-0000</v>
          </cell>
          <cell r="B1024" t="str">
            <v>Work done subcontractors</v>
          </cell>
          <cell r="C1024">
            <v>3</v>
          </cell>
          <cell r="D1024">
            <v>29407070</v>
          </cell>
        </row>
        <row r="1025">
          <cell r="A1025" t="str">
            <v>406-001-001-1001</v>
          </cell>
          <cell r="B1025" t="str">
            <v>Aamir Builders Work Done</v>
          </cell>
          <cell r="C1025">
            <v>4</v>
          </cell>
          <cell r="D1025">
            <v>0</v>
          </cell>
        </row>
        <row r="1026">
          <cell r="A1026" t="str">
            <v>406-001-001-1002</v>
          </cell>
          <cell r="B1026" t="str">
            <v>Sadat Construction Co Work done</v>
          </cell>
          <cell r="C1026">
            <v>4</v>
          </cell>
          <cell r="D1026">
            <v>0</v>
          </cell>
        </row>
        <row r="1027">
          <cell r="A1027" t="str">
            <v>406-001-001-1003</v>
          </cell>
          <cell r="B1027" t="str">
            <v>Concrete master workdone</v>
          </cell>
          <cell r="C1027">
            <v>4</v>
          </cell>
          <cell r="D1027">
            <v>0</v>
          </cell>
        </row>
        <row r="1028">
          <cell r="A1028" t="str">
            <v>406-001-001-1004</v>
          </cell>
          <cell r="B1028" t="str">
            <v>Crescent Associates work done</v>
          </cell>
          <cell r="C1028">
            <v>4</v>
          </cell>
          <cell r="D1028">
            <v>0</v>
          </cell>
        </row>
        <row r="1029">
          <cell r="A1029" t="str">
            <v>406-001-001-1005</v>
          </cell>
          <cell r="B1029" t="str">
            <v>Dynamic enterprises work done</v>
          </cell>
          <cell r="C1029">
            <v>4</v>
          </cell>
          <cell r="D1029">
            <v>0</v>
          </cell>
        </row>
        <row r="1030">
          <cell r="A1030" t="str">
            <v>406-001-001-1006</v>
          </cell>
          <cell r="B1030" t="str">
            <v>Foar Engineering System work done</v>
          </cell>
          <cell r="C1030">
            <v>4</v>
          </cell>
          <cell r="D1030">
            <v>0</v>
          </cell>
        </row>
        <row r="1031">
          <cell r="A1031" t="str">
            <v>406-001-001-1007</v>
          </cell>
          <cell r="B1031" t="str">
            <v>FRS Associates work done</v>
          </cell>
          <cell r="C1031">
            <v>4</v>
          </cell>
          <cell r="D1031">
            <v>0</v>
          </cell>
        </row>
        <row r="1032">
          <cell r="A1032" t="str">
            <v>406-001-001-1008</v>
          </cell>
          <cell r="B1032" t="str">
            <v>Haidry Construction work done</v>
          </cell>
          <cell r="C1032">
            <v>4</v>
          </cell>
          <cell r="D1032">
            <v>0</v>
          </cell>
        </row>
        <row r="1033">
          <cell r="A1033" t="str">
            <v>406-001-001-1009</v>
          </cell>
          <cell r="B1033" t="str">
            <v>Karcon Pvt Ltd work done</v>
          </cell>
          <cell r="C1033">
            <v>4</v>
          </cell>
          <cell r="D1033">
            <v>0</v>
          </cell>
        </row>
        <row r="1034">
          <cell r="A1034" t="str">
            <v>406-001-001-1010</v>
          </cell>
          <cell r="B1034" t="str">
            <v>Massed Developers work done</v>
          </cell>
          <cell r="C1034">
            <v>4</v>
          </cell>
          <cell r="D1034">
            <v>0</v>
          </cell>
        </row>
        <row r="1035">
          <cell r="A1035" t="str">
            <v>406-001-001-1011</v>
          </cell>
          <cell r="B1035" t="str">
            <v>Malik Ijaz Amjad work done</v>
          </cell>
          <cell r="C1035">
            <v>4</v>
          </cell>
          <cell r="D1035">
            <v>0</v>
          </cell>
        </row>
        <row r="1036">
          <cell r="A1036" t="str">
            <v>406-001-001-1012</v>
          </cell>
          <cell r="B1036" t="str">
            <v>Mian Muhammad Sharif  work done</v>
          </cell>
          <cell r="C1036">
            <v>4</v>
          </cell>
          <cell r="D1036">
            <v>0</v>
          </cell>
        </row>
        <row r="1037">
          <cell r="A1037" t="str">
            <v>406-001-001-1013</v>
          </cell>
          <cell r="B1037" t="str">
            <v>Mian Nisar and Company workdone</v>
          </cell>
          <cell r="C1037">
            <v>4</v>
          </cell>
          <cell r="D1037">
            <v>0</v>
          </cell>
        </row>
        <row r="1038">
          <cell r="A1038" t="str">
            <v>406-001-001-1014</v>
          </cell>
          <cell r="B1038" t="str">
            <v>Platnium Enterprises workdone</v>
          </cell>
          <cell r="C1038">
            <v>4</v>
          </cell>
          <cell r="D1038">
            <v>0</v>
          </cell>
        </row>
        <row r="1039">
          <cell r="A1039" t="str">
            <v>406-001-001-1015</v>
          </cell>
          <cell r="B1039" t="str">
            <v>Sambu Construction workdone</v>
          </cell>
          <cell r="C1039">
            <v>4</v>
          </cell>
          <cell r="D1039">
            <v>0</v>
          </cell>
        </row>
        <row r="1040">
          <cell r="A1040" t="str">
            <v>406-001-001-1016</v>
          </cell>
          <cell r="B1040" t="str">
            <v>Signage security system work done</v>
          </cell>
          <cell r="C1040">
            <v>4</v>
          </cell>
          <cell r="D1040">
            <v>0</v>
          </cell>
        </row>
        <row r="1041">
          <cell r="A1041" t="str">
            <v>406-001-001-1017</v>
          </cell>
          <cell r="B1041" t="str">
            <v>Syed sultan saeed work done</v>
          </cell>
          <cell r="C1041">
            <v>4</v>
          </cell>
          <cell r="D1041">
            <v>0</v>
          </cell>
        </row>
        <row r="1042">
          <cell r="A1042" t="str">
            <v>406-001-001-1018</v>
          </cell>
          <cell r="B1042" t="str">
            <v>SASA  international work done</v>
          </cell>
          <cell r="C1042">
            <v>4</v>
          </cell>
          <cell r="D1042">
            <v>0</v>
          </cell>
        </row>
        <row r="1043">
          <cell r="A1043" t="str">
            <v>406-001-001-1019</v>
          </cell>
          <cell r="B1043" t="str">
            <v>Swift Services work done</v>
          </cell>
          <cell r="C1043">
            <v>4</v>
          </cell>
          <cell r="D1043">
            <v>0</v>
          </cell>
        </row>
        <row r="1044">
          <cell r="A1044" t="str">
            <v>406-001-001-1020</v>
          </cell>
          <cell r="B1044" t="str">
            <v>Tyco Integrated System work done</v>
          </cell>
          <cell r="C1044">
            <v>4</v>
          </cell>
          <cell r="D1044">
            <v>0</v>
          </cell>
        </row>
        <row r="1045">
          <cell r="A1045" t="str">
            <v>406-001-001-1021</v>
          </cell>
          <cell r="B1045" t="str">
            <v>Nadir Constrution Company work done</v>
          </cell>
          <cell r="C1045">
            <v>4</v>
          </cell>
          <cell r="D1045">
            <v>0</v>
          </cell>
        </row>
        <row r="1046">
          <cell r="A1046" t="str">
            <v>406-001-001-1022</v>
          </cell>
          <cell r="B1046" t="str">
            <v>Zahir Khan and Brothers work done</v>
          </cell>
          <cell r="C1046">
            <v>4</v>
          </cell>
          <cell r="D1046">
            <v>0</v>
          </cell>
        </row>
        <row r="1047">
          <cell r="A1047" t="str">
            <v>406-001-001-1023</v>
          </cell>
          <cell r="B1047" t="str">
            <v>Rashid Associates Work Done</v>
          </cell>
          <cell r="C1047">
            <v>4</v>
          </cell>
          <cell r="D1047">
            <v>0</v>
          </cell>
        </row>
        <row r="1048">
          <cell r="A1048" t="str">
            <v>406-001-001-1032</v>
          </cell>
          <cell r="B1048" t="str">
            <v>Xen Wapda Work Done</v>
          </cell>
          <cell r="C1048">
            <v>4</v>
          </cell>
          <cell r="D1048">
            <v>0</v>
          </cell>
        </row>
        <row r="1049">
          <cell r="A1049" t="str">
            <v>406-001-001-1033</v>
          </cell>
          <cell r="B1049" t="str">
            <v>M/S Techman Civil Engineering Work done</v>
          </cell>
          <cell r="C1049">
            <v>4</v>
          </cell>
          <cell r="D1049">
            <v>0</v>
          </cell>
        </row>
        <row r="1050">
          <cell r="A1050" t="str">
            <v>406-001-001-1034</v>
          </cell>
          <cell r="B1050" t="str">
            <v>M/S Syed Guftar Shah Work Done</v>
          </cell>
          <cell r="C1050">
            <v>4</v>
          </cell>
          <cell r="D1050">
            <v>0</v>
          </cell>
        </row>
        <row r="1051">
          <cell r="A1051" t="str">
            <v>406-001-001-1035</v>
          </cell>
          <cell r="B1051" t="str">
            <v>M/S Muhammad Hussain Work Done</v>
          </cell>
          <cell r="C1051">
            <v>4</v>
          </cell>
          <cell r="D1051">
            <v>0</v>
          </cell>
        </row>
        <row r="1052">
          <cell r="A1052" t="str">
            <v>406-001-001-1036</v>
          </cell>
          <cell r="B1052" t="str">
            <v>M/S Muhammad Aamir Khan Work Dome</v>
          </cell>
          <cell r="C1052">
            <v>4</v>
          </cell>
          <cell r="D1052">
            <v>0</v>
          </cell>
        </row>
        <row r="1053">
          <cell r="A1053" t="str">
            <v>406-001-001-1037</v>
          </cell>
          <cell r="B1053" t="str">
            <v>M/S Muhammad Zaib Work Done</v>
          </cell>
          <cell r="C1053">
            <v>4</v>
          </cell>
          <cell r="D1053">
            <v>0</v>
          </cell>
        </row>
        <row r="1054">
          <cell r="A1054" t="str">
            <v>406-001-001-1045</v>
          </cell>
          <cell r="B1054" t="str">
            <v>Highway Contractors Work done</v>
          </cell>
          <cell r="C1054">
            <v>4</v>
          </cell>
          <cell r="D1054">
            <v>0</v>
          </cell>
        </row>
        <row r="1055">
          <cell r="A1055" t="str">
            <v>406-001-001-1046</v>
          </cell>
          <cell r="B1055" t="str">
            <v>M/S Muhammad Azam</v>
          </cell>
          <cell r="C1055">
            <v>4</v>
          </cell>
          <cell r="D1055">
            <v>0</v>
          </cell>
        </row>
        <row r="1056">
          <cell r="A1056" t="str">
            <v>406-001-001-1047</v>
          </cell>
          <cell r="B1056" t="str">
            <v>M/S MRRP</v>
          </cell>
          <cell r="C1056">
            <v>4</v>
          </cell>
          <cell r="D1056">
            <v>0</v>
          </cell>
        </row>
        <row r="1057">
          <cell r="A1057" t="str">
            <v>406-001-001-1048</v>
          </cell>
          <cell r="B1057" t="str">
            <v>M/S Technoline Work Done</v>
          </cell>
          <cell r="C1057">
            <v>4</v>
          </cell>
          <cell r="D1057">
            <v>0</v>
          </cell>
        </row>
        <row r="1058">
          <cell r="A1058" t="str">
            <v>406-001-001-1049</v>
          </cell>
          <cell r="B1058" t="str">
            <v>M/S J &amp; W workdone</v>
          </cell>
          <cell r="C1058">
            <v>4</v>
          </cell>
          <cell r="D1058">
            <v>0</v>
          </cell>
        </row>
        <row r="1059">
          <cell r="A1059" t="str">
            <v>406-001-001-1050</v>
          </cell>
          <cell r="B1059" t="str">
            <v>M/S Asad Rameez Work Done</v>
          </cell>
          <cell r="C1059">
            <v>4</v>
          </cell>
          <cell r="D1059">
            <v>0</v>
          </cell>
        </row>
        <row r="1060">
          <cell r="A1060" t="str">
            <v>406-001-001-1051</v>
          </cell>
          <cell r="B1060" t="str">
            <v>M/S Saleem &amp; Brothers Work Done</v>
          </cell>
          <cell r="C1060">
            <v>4</v>
          </cell>
          <cell r="D1060">
            <v>0</v>
          </cell>
        </row>
        <row r="1061">
          <cell r="A1061" t="str">
            <v>406-001-001-1052</v>
          </cell>
          <cell r="B1061" t="str">
            <v>M/S Syed Associates Work Done</v>
          </cell>
          <cell r="C1061">
            <v>4</v>
          </cell>
          <cell r="D1061">
            <v>0</v>
          </cell>
        </row>
        <row r="1062">
          <cell r="A1062" t="str">
            <v>406-001-001-1053</v>
          </cell>
          <cell r="B1062" t="str">
            <v>M/S Ali Associates Work Done</v>
          </cell>
          <cell r="C1062">
            <v>4</v>
          </cell>
          <cell r="D1062">
            <v>0</v>
          </cell>
        </row>
        <row r="1063">
          <cell r="A1063" t="str">
            <v>406-001-001-1054</v>
          </cell>
          <cell r="B1063" t="str">
            <v>M/S Tripple M Work Done</v>
          </cell>
          <cell r="C1063">
            <v>4</v>
          </cell>
          <cell r="D1063">
            <v>0</v>
          </cell>
        </row>
        <row r="1064">
          <cell r="A1064" t="str">
            <v>406-001-001-1055</v>
          </cell>
          <cell r="B1064" t="str">
            <v>M/S Swayra Enterprise Work Done</v>
          </cell>
          <cell r="C1064">
            <v>4</v>
          </cell>
          <cell r="D1064">
            <v>0</v>
          </cell>
        </row>
        <row r="1065">
          <cell r="A1065" t="str">
            <v>406-001-001-1056</v>
          </cell>
          <cell r="B1065" t="str">
            <v>M/S (Closed) Ali Associates W.D</v>
          </cell>
          <cell r="C1065">
            <v>4</v>
          </cell>
          <cell r="D1065">
            <v>0</v>
          </cell>
        </row>
        <row r="1066">
          <cell r="A1066" t="str">
            <v>406-001-001-1057</v>
          </cell>
          <cell r="B1066" t="str">
            <v>M/S Foar Road Marking</v>
          </cell>
          <cell r="C1066">
            <v>4</v>
          </cell>
          <cell r="D1066">
            <v>0</v>
          </cell>
        </row>
        <row r="1067">
          <cell r="A1067" t="str">
            <v>406-001-001-1058</v>
          </cell>
          <cell r="B1067" t="str">
            <v>M/S Javed Mumtaz (Pvt) Ltd</v>
          </cell>
          <cell r="C1067">
            <v>4</v>
          </cell>
          <cell r="D1067">
            <v>0</v>
          </cell>
        </row>
        <row r="1068">
          <cell r="A1068" t="str">
            <v>406-001-001-1064</v>
          </cell>
          <cell r="B1068" t="str">
            <v>M/S Sajjad (Pvt) Ltd</v>
          </cell>
          <cell r="C1068">
            <v>4</v>
          </cell>
          <cell r="D1068">
            <v>0</v>
          </cell>
        </row>
        <row r="1069">
          <cell r="A1069" t="str">
            <v>406-001-001-1065</v>
          </cell>
          <cell r="B1069" t="str">
            <v>M/S Sky Engineers</v>
          </cell>
          <cell r="C1069">
            <v>4</v>
          </cell>
          <cell r="D1069">
            <v>0</v>
          </cell>
        </row>
        <row r="1070">
          <cell r="A1070" t="str">
            <v>406-001-001-1066</v>
          </cell>
          <cell r="B1070" t="str">
            <v>M/S Eastern Highway</v>
          </cell>
          <cell r="C1070">
            <v>4</v>
          </cell>
          <cell r="D1070">
            <v>0</v>
          </cell>
        </row>
        <row r="1071">
          <cell r="A1071" t="str">
            <v>406-001-001-1067</v>
          </cell>
          <cell r="B1071" t="str">
            <v>M/S Yar Muhammad Khan Khattak</v>
          </cell>
          <cell r="C1071">
            <v>4</v>
          </cell>
          <cell r="D1071">
            <v>0</v>
          </cell>
        </row>
        <row r="1072">
          <cell r="A1072" t="str">
            <v>406-001-001-1069</v>
          </cell>
          <cell r="B1072" t="str">
            <v>M/S Sadaat Enterprises</v>
          </cell>
          <cell r="C1072">
            <v>4</v>
          </cell>
          <cell r="D1072">
            <v>0</v>
          </cell>
        </row>
        <row r="1073">
          <cell r="A1073" t="str">
            <v>406-001-001-1070</v>
          </cell>
          <cell r="B1073" t="str">
            <v>M/S Shad Khan &amp; Sons</v>
          </cell>
          <cell r="C1073">
            <v>4</v>
          </cell>
          <cell r="D1073">
            <v>14284381</v>
          </cell>
        </row>
        <row r="1074">
          <cell r="A1074" t="str">
            <v>406-001-001-1071</v>
          </cell>
          <cell r="B1074" t="str">
            <v>M/S Amir Iqbal &amp; Co.</v>
          </cell>
          <cell r="C1074">
            <v>4</v>
          </cell>
          <cell r="D1074">
            <v>0</v>
          </cell>
        </row>
        <row r="1075">
          <cell r="A1075" t="str">
            <v>406-001-001-1072</v>
          </cell>
          <cell r="B1075" t="str">
            <v>M/S Ascent Associates</v>
          </cell>
          <cell r="C1075">
            <v>4</v>
          </cell>
          <cell r="D1075">
            <v>7677699</v>
          </cell>
        </row>
        <row r="1076">
          <cell r="A1076" t="str">
            <v>406-001-001-1073</v>
          </cell>
          <cell r="B1076" t="str">
            <v>M/S Omer Farooq Co.</v>
          </cell>
          <cell r="C1076">
            <v>4</v>
          </cell>
          <cell r="D1076">
            <v>7444990</v>
          </cell>
        </row>
        <row r="1077">
          <cell r="A1077" t="str">
            <v>406-001-001-9999</v>
          </cell>
          <cell r="B1077" t="str">
            <v>Final Bill Work done</v>
          </cell>
          <cell r="C1077">
            <v>4</v>
          </cell>
          <cell r="D1077">
            <v>0</v>
          </cell>
        </row>
        <row r="1078">
          <cell r="A1078" t="str">
            <v>407-000-000-0000</v>
          </cell>
          <cell r="B1078" t="str">
            <v>Work in Progress</v>
          </cell>
          <cell r="C1078">
            <v>1</v>
          </cell>
          <cell r="D1078">
            <v>0</v>
          </cell>
        </row>
        <row r="1079">
          <cell r="A1079" t="str">
            <v>407-001-000-0000</v>
          </cell>
          <cell r="B1079" t="str">
            <v>Work in Progress</v>
          </cell>
          <cell r="C1079">
            <v>2</v>
          </cell>
          <cell r="D1079">
            <v>0</v>
          </cell>
        </row>
        <row r="1080">
          <cell r="A1080" t="str">
            <v>407-001-001-0000</v>
          </cell>
          <cell r="B1080" t="str">
            <v>Work in Progress</v>
          </cell>
          <cell r="C1080">
            <v>3</v>
          </cell>
          <cell r="D1080">
            <v>0</v>
          </cell>
        </row>
        <row r="1081">
          <cell r="A1081" t="str">
            <v>407-001-001-0001</v>
          </cell>
          <cell r="B1081" t="str">
            <v>Work in Progress</v>
          </cell>
          <cell r="C1081">
            <v>4</v>
          </cell>
          <cell r="D1081">
            <v>0</v>
          </cell>
        </row>
        <row r="1082">
          <cell r="A1082" t="str">
            <v>408-000-000-0000</v>
          </cell>
          <cell r="B1082" t="str">
            <v>Work in process</v>
          </cell>
          <cell r="C1082">
            <v>1</v>
          </cell>
          <cell r="D1082">
            <v>0</v>
          </cell>
        </row>
        <row r="1083">
          <cell r="A1083" t="str">
            <v>408-001-000-0000</v>
          </cell>
          <cell r="B1083" t="str">
            <v>Work in process</v>
          </cell>
          <cell r="C1083">
            <v>2</v>
          </cell>
          <cell r="D1083">
            <v>0</v>
          </cell>
        </row>
        <row r="1084">
          <cell r="A1084" t="str">
            <v>408-001-001-0000</v>
          </cell>
          <cell r="B1084" t="str">
            <v>Work in process</v>
          </cell>
          <cell r="C1084">
            <v>3</v>
          </cell>
          <cell r="D1084">
            <v>0</v>
          </cell>
        </row>
        <row r="1085">
          <cell r="A1085" t="str">
            <v>408-001-001-0001</v>
          </cell>
          <cell r="B1085" t="str">
            <v>Work in process</v>
          </cell>
          <cell r="C1085">
            <v>4</v>
          </cell>
          <cell r="D1085">
            <v>0</v>
          </cell>
        </row>
        <row r="1086">
          <cell r="A1086" t="str">
            <v>409-000-000-0000</v>
          </cell>
          <cell r="B1086" t="str">
            <v>Finished Goods</v>
          </cell>
          <cell r="C1086">
            <v>1</v>
          </cell>
          <cell r="D1086">
            <v>0</v>
          </cell>
        </row>
        <row r="1087">
          <cell r="A1087" t="str">
            <v>409-001-000-0000</v>
          </cell>
          <cell r="B1087" t="str">
            <v>Finished Goods</v>
          </cell>
          <cell r="C1087">
            <v>2</v>
          </cell>
          <cell r="D1087">
            <v>0</v>
          </cell>
        </row>
        <row r="1088">
          <cell r="A1088" t="str">
            <v>409-001-001-0000</v>
          </cell>
          <cell r="B1088" t="str">
            <v>Finished Goods</v>
          </cell>
          <cell r="C1088">
            <v>3</v>
          </cell>
          <cell r="D1088">
            <v>0</v>
          </cell>
        </row>
        <row r="1089">
          <cell r="A1089" t="str">
            <v>409-001-001-0001</v>
          </cell>
          <cell r="B1089" t="str">
            <v>Finished Goods</v>
          </cell>
          <cell r="C1089">
            <v>4</v>
          </cell>
          <cell r="D1089">
            <v>0</v>
          </cell>
        </row>
        <row r="1090">
          <cell r="A1090" t="str">
            <v>500-000-000-0000</v>
          </cell>
          <cell r="B1090" t="str">
            <v>Administrative and General Expanses</v>
          </cell>
          <cell r="C1090">
            <v>1</v>
          </cell>
          <cell r="D1090">
            <v>136860</v>
          </cell>
        </row>
        <row r="1091">
          <cell r="A1091" t="str">
            <v>500-001-000-0000</v>
          </cell>
          <cell r="B1091" t="str">
            <v>Salaries and benefits</v>
          </cell>
          <cell r="C1091">
            <v>2</v>
          </cell>
          <cell r="D1091">
            <v>0</v>
          </cell>
        </row>
        <row r="1092">
          <cell r="A1092" t="str">
            <v>500-001-001-0000</v>
          </cell>
          <cell r="B1092" t="str">
            <v>Salaries and Benefits Army Officeres</v>
          </cell>
          <cell r="C1092">
            <v>3</v>
          </cell>
          <cell r="D1092">
            <v>0</v>
          </cell>
        </row>
        <row r="1093">
          <cell r="A1093" t="str">
            <v>500-001-001-0001</v>
          </cell>
          <cell r="B1093" t="str">
            <v>Salaries Army Officeres</v>
          </cell>
          <cell r="C1093">
            <v>4</v>
          </cell>
          <cell r="D1093">
            <v>0</v>
          </cell>
        </row>
        <row r="1094">
          <cell r="A1094" t="str">
            <v>500-001-001-0002</v>
          </cell>
          <cell r="B1094" t="str">
            <v>Benefits Army Officeres</v>
          </cell>
          <cell r="C1094">
            <v>4</v>
          </cell>
          <cell r="D1094">
            <v>0</v>
          </cell>
        </row>
        <row r="1095">
          <cell r="A1095" t="str">
            <v>500-001-001-0003</v>
          </cell>
          <cell r="B1095" t="str">
            <v>Overtime Army Officeres</v>
          </cell>
          <cell r="C1095">
            <v>4</v>
          </cell>
          <cell r="D1095">
            <v>0</v>
          </cell>
        </row>
        <row r="1096">
          <cell r="A1096" t="str">
            <v>500-001-001-0004</v>
          </cell>
          <cell r="B1096" t="str">
            <v>Medical Army Officeres</v>
          </cell>
          <cell r="C1096">
            <v>4</v>
          </cell>
          <cell r="D1096">
            <v>0</v>
          </cell>
        </row>
        <row r="1097">
          <cell r="A1097" t="str">
            <v>500-001-002-0000</v>
          </cell>
          <cell r="B1097" t="str">
            <v>Salaries and Benefits Civilian Staff</v>
          </cell>
          <cell r="C1097">
            <v>3</v>
          </cell>
          <cell r="D1097">
            <v>0</v>
          </cell>
        </row>
        <row r="1098">
          <cell r="A1098" t="str">
            <v>500-001-002-0001</v>
          </cell>
          <cell r="B1098" t="str">
            <v>Salaries Civilian Staff</v>
          </cell>
          <cell r="C1098">
            <v>4</v>
          </cell>
          <cell r="D1098">
            <v>0</v>
          </cell>
        </row>
        <row r="1099">
          <cell r="A1099" t="str">
            <v>500-001-002-0002</v>
          </cell>
          <cell r="B1099" t="str">
            <v>Benefits Civilian Staff</v>
          </cell>
          <cell r="C1099">
            <v>4</v>
          </cell>
          <cell r="D1099">
            <v>0</v>
          </cell>
        </row>
        <row r="1100">
          <cell r="A1100" t="str">
            <v>500-001-002-0003</v>
          </cell>
          <cell r="B1100" t="str">
            <v>Overtime Civilian Staff</v>
          </cell>
          <cell r="C1100">
            <v>4</v>
          </cell>
          <cell r="D1100">
            <v>0</v>
          </cell>
        </row>
        <row r="1101">
          <cell r="A1101" t="str">
            <v>500-001-002-0004</v>
          </cell>
          <cell r="B1101" t="str">
            <v>Medical Civilian Staff</v>
          </cell>
          <cell r="C1101">
            <v>4</v>
          </cell>
          <cell r="D1101">
            <v>0</v>
          </cell>
        </row>
        <row r="1102">
          <cell r="A1102" t="str">
            <v>500-001-003-0000</v>
          </cell>
          <cell r="B1102" t="str">
            <v>Salaries and Benefits JCO's Staff</v>
          </cell>
          <cell r="C1102">
            <v>3</v>
          </cell>
          <cell r="D1102">
            <v>0</v>
          </cell>
        </row>
        <row r="1103">
          <cell r="A1103" t="str">
            <v>500-001-003-0001</v>
          </cell>
          <cell r="B1103" t="str">
            <v>Salaries JCO's Staff</v>
          </cell>
          <cell r="C1103">
            <v>4</v>
          </cell>
          <cell r="D1103">
            <v>0</v>
          </cell>
        </row>
        <row r="1104">
          <cell r="A1104" t="str">
            <v>500-001-003-0002</v>
          </cell>
          <cell r="B1104" t="str">
            <v>Benefits JCO's Staff</v>
          </cell>
          <cell r="C1104">
            <v>4</v>
          </cell>
          <cell r="D1104">
            <v>0</v>
          </cell>
        </row>
        <row r="1105">
          <cell r="A1105" t="str">
            <v>500-001-003-0003</v>
          </cell>
          <cell r="B1105" t="str">
            <v>Overtime JCO's Staff</v>
          </cell>
          <cell r="C1105">
            <v>4</v>
          </cell>
          <cell r="D1105">
            <v>0</v>
          </cell>
        </row>
        <row r="1106">
          <cell r="A1106" t="str">
            <v>500-001-003-0004</v>
          </cell>
          <cell r="B1106" t="str">
            <v>Medical JCO's Staff</v>
          </cell>
          <cell r="C1106">
            <v>4</v>
          </cell>
          <cell r="D1106">
            <v>0</v>
          </cell>
        </row>
        <row r="1107">
          <cell r="A1107" t="str">
            <v>500-002-000-0000</v>
          </cell>
          <cell r="B1107" t="str">
            <v>Uniform to Staff</v>
          </cell>
          <cell r="C1107">
            <v>2</v>
          </cell>
          <cell r="D1107">
            <v>0</v>
          </cell>
        </row>
        <row r="1108">
          <cell r="A1108" t="str">
            <v>500-002-001-0000</v>
          </cell>
          <cell r="B1108" t="str">
            <v>Uniform to Staff</v>
          </cell>
          <cell r="C1108">
            <v>3</v>
          </cell>
          <cell r="D1108">
            <v>0</v>
          </cell>
        </row>
        <row r="1109">
          <cell r="A1109" t="str">
            <v>500-002-001-0001</v>
          </cell>
          <cell r="B1109" t="str">
            <v>Uniform Army Officers</v>
          </cell>
          <cell r="C1109">
            <v>4</v>
          </cell>
          <cell r="D1109">
            <v>0</v>
          </cell>
        </row>
        <row r="1110">
          <cell r="A1110" t="str">
            <v>500-002-001-0002</v>
          </cell>
          <cell r="B1110" t="str">
            <v>Uniform Civilin Staff</v>
          </cell>
          <cell r="C1110">
            <v>4</v>
          </cell>
          <cell r="D1110">
            <v>0</v>
          </cell>
        </row>
        <row r="1111">
          <cell r="A1111" t="str">
            <v>500-002-001-0003</v>
          </cell>
          <cell r="B1111" t="str">
            <v>Uniform JCO's Staff</v>
          </cell>
          <cell r="C1111">
            <v>4</v>
          </cell>
          <cell r="D1111">
            <v>0</v>
          </cell>
        </row>
        <row r="1112">
          <cell r="A1112" t="str">
            <v>500-003-000-0000</v>
          </cell>
          <cell r="B1112" t="str">
            <v>Rent, rates and taxes</v>
          </cell>
          <cell r="C1112">
            <v>2</v>
          </cell>
          <cell r="D1112">
            <v>0</v>
          </cell>
        </row>
        <row r="1113">
          <cell r="A1113" t="str">
            <v>500-003-001-0000</v>
          </cell>
          <cell r="B1113" t="str">
            <v>Rent, rates and taxes</v>
          </cell>
          <cell r="C1113">
            <v>3</v>
          </cell>
          <cell r="D1113">
            <v>0</v>
          </cell>
        </row>
        <row r="1114">
          <cell r="A1114" t="str">
            <v>500-003-001-0001</v>
          </cell>
          <cell r="B1114" t="str">
            <v>Rent</v>
          </cell>
          <cell r="C1114">
            <v>4</v>
          </cell>
          <cell r="D1114">
            <v>0</v>
          </cell>
        </row>
        <row r="1115">
          <cell r="A1115" t="str">
            <v>500-003-001-0002</v>
          </cell>
          <cell r="B1115" t="str">
            <v>Rates and Taxes</v>
          </cell>
          <cell r="C1115">
            <v>4</v>
          </cell>
          <cell r="D1115">
            <v>0</v>
          </cell>
        </row>
        <row r="1116">
          <cell r="A1116" t="str">
            <v>500-004-000-0000</v>
          </cell>
          <cell r="B1116" t="str">
            <v>Travelling and Conveyance</v>
          </cell>
          <cell r="C1116">
            <v>2</v>
          </cell>
          <cell r="D1116">
            <v>0</v>
          </cell>
        </row>
        <row r="1117">
          <cell r="A1117" t="str">
            <v>500-004-001-0000</v>
          </cell>
          <cell r="B1117" t="str">
            <v>Travelling and Conveyance</v>
          </cell>
          <cell r="C1117">
            <v>3</v>
          </cell>
          <cell r="D1117">
            <v>0</v>
          </cell>
        </row>
        <row r="1118">
          <cell r="A1118" t="str">
            <v>500-004-001-0001</v>
          </cell>
          <cell r="B1118" t="str">
            <v>Travelling and Conveyance to Army Officers</v>
          </cell>
          <cell r="C1118">
            <v>4</v>
          </cell>
          <cell r="D1118">
            <v>0</v>
          </cell>
        </row>
        <row r="1119">
          <cell r="A1119" t="str">
            <v>500-004-001-0002</v>
          </cell>
          <cell r="B1119" t="str">
            <v>Travelling and Conveyance to Civilin Staff</v>
          </cell>
          <cell r="C1119">
            <v>4</v>
          </cell>
          <cell r="D1119">
            <v>0</v>
          </cell>
        </row>
        <row r="1120">
          <cell r="A1120" t="str">
            <v>500-004-001-0003</v>
          </cell>
          <cell r="B1120" t="str">
            <v>Travelling and Conveyance to JCO's Staff</v>
          </cell>
          <cell r="C1120">
            <v>4</v>
          </cell>
          <cell r="D1120">
            <v>0</v>
          </cell>
        </row>
        <row r="1121">
          <cell r="A1121" t="str">
            <v>500-004-001-0004</v>
          </cell>
          <cell r="B1121" t="str">
            <v>Travelling and Conveyance to Associated Projects</v>
          </cell>
          <cell r="C1121">
            <v>4</v>
          </cell>
          <cell r="D1121">
            <v>0</v>
          </cell>
        </row>
        <row r="1122">
          <cell r="A1122" t="str">
            <v>500-004-001-0005</v>
          </cell>
          <cell r="B1122" t="str">
            <v>Travelling and Conveyance shared with HQ</v>
          </cell>
          <cell r="C1122">
            <v>4</v>
          </cell>
          <cell r="D1122">
            <v>0</v>
          </cell>
        </row>
        <row r="1123">
          <cell r="A1123" t="str">
            <v>500-005-000-0000</v>
          </cell>
          <cell r="B1123" t="str">
            <v>Vehicle Running Expenses</v>
          </cell>
          <cell r="C1123">
            <v>2</v>
          </cell>
          <cell r="D1123">
            <v>47682</v>
          </cell>
        </row>
        <row r="1124">
          <cell r="A1124" t="str">
            <v>500-005-001-0000</v>
          </cell>
          <cell r="B1124" t="str">
            <v>Light Vehicls Running Expenses</v>
          </cell>
          <cell r="C1124">
            <v>3</v>
          </cell>
          <cell r="D1124">
            <v>47682</v>
          </cell>
        </row>
        <row r="1125">
          <cell r="A1125" t="str">
            <v>500-005-001-0001</v>
          </cell>
          <cell r="B1125" t="str">
            <v>Light Vehicls Running Expenses</v>
          </cell>
          <cell r="C1125">
            <v>4</v>
          </cell>
          <cell r="D1125">
            <v>47682</v>
          </cell>
        </row>
        <row r="1126">
          <cell r="A1126" t="str">
            <v>500-006-000-0000</v>
          </cell>
          <cell r="B1126" t="str">
            <v>Repair and Maintainance</v>
          </cell>
          <cell r="C1126">
            <v>2</v>
          </cell>
          <cell r="D1126">
            <v>9364</v>
          </cell>
        </row>
        <row r="1127">
          <cell r="A1127" t="str">
            <v>500-006-001-0000</v>
          </cell>
          <cell r="B1127" t="str">
            <v>Repair &amp; Maintance Light Vehicle</v>
          </cell>
          <cell r="C1127">
            <v>3</v>
          </cell>
          <cell r="D1127">
            <v>2740</v>
          </cell>
        </row>
        <row r="1128">
          <cell r="A1128" t="str">
            <v>500-006-001-0001</v>
          </cell>
          <cell r="B1128" t="str">
            <v>Repair &amp; Maintance Light Vehicle</v>
          </cell>
          <cell r="C1128">
            <v>4</v>
          </cell>
          <cell r="D1128">
            <v>2740</v>
          </cell>
        </row>
        <row r="1129">
          <cell r="A1129" t="str">
            <v>500-006-002-0000</v>
          </cell>
          <cell r="B1129" t="str">
            <v>Computer Repair and Maintainance</v>
          </cell>
          <cell r="C1129">
            <v>3</v>
          </cell>
          <cell r="D1129">
            <v>0</v>
          </cell>
        </row>
        <row r="1130">
          <cell r="A1130" t="str">
            <v>500-006-002-0001</v>
          </cell>
          <cell r="B1130" t="str">
            <v>Computer Repair and Maintainance</v>
          </cell>
          <cell r="C1130">
            <v>4</v>
          </cell>
          <cell r="D1130">
            <v>0</v>
          </cell>
        </row>
        <row r="1131">
          <cell r="A1131" t="str">
            <v>500-006-002-0002</v>
          </cell>
          <cell r="B1131" t="str">
            <v>UPS Repair &amp; Maintenance</v>
          </cell>
          <cell r="C1131">
            <v>4</v>
          </cell>
          <cell r="D1131">
            <v>0</v>
          </cell>
        </row>
        <row r="1132">
          <cell r="A1132" t="str">
            <v>500-006-003-0000</v>
          </cell>
          <cell r="B1132" t="str">
            <v>Fax, Telephones and  Exchange Repair and Maintaina</v>
          </cell>
          <cell r="C1132">
            <v>3</v>
          </cell>
          <cell r="D1132">
            <v>6624</v>
          </cell>
        </row>
        <row r="1133">
          <cell r="A1133" t="str">
            <v>500-006-003-0001</v>
          </cell>
          <cell r="B1133" t="str">
            <v>Fax, Telephones and  Exchange Repair and Maintaina</v>
          </cell>
          <cell r="C1133">
            <v>4</v>
          </cell>
          <cell r="D1133">
            <v>6624</v>
          </cell>
        </row>
        <row r="1134">
          <cell r="A1134" t="str">
            <v>500-006-004-0000</v>
          </cell>
          <cell r="B1134" t="str">
            <v>Electric  Repair and Maintainance</v>
          </cell>
          <cell r="C1134">
            <v>3</v>
          </cell>
          <cell r="D1134">
            <v>0</v>
          </cell>
        </row>
        <row r="1135">
          <cell r="A1135" t="str">
            <v>500-006-004-0001</v>
          </cell>
          <cell r="B1135" t="str">
            <v>Electric  Repair and Maintainance</v>
          </cell>
          <cell r="C1135">
            <v>4</v>
          </cell>
          <cell r="D1135">
            <v>0</v>
          </cell>
        </row>
        <row r="1136">
          <cell r="A1136" t="str">
            <v>500-006-005-0000</v>
          </cell>
          <cell r="B1136" t="str">
            <v>Building Rapair and Maintenance</v>
          </cell>
          <cell r="C1136">
            <v>3</v>
          </cell>
          <cell r="D1136">
            <v>0</v>
          </cell>
        </row>
        <row r="1137">
          <cell r="A1137" t="str">
            <v>500-006-005-0001</v>
          </cell>
          <cell r="B1137" t="str">
            <v>Building Rapair and Maintenance</v>
          </cell>
          <cell r="C1137">
            <v>4</v>
          </cell>
          <cell r="D1137">
            <v>0</v>
          </cell>
        </row>
        <row r="1138">
          <cell r="A1138" t="str">
            <v>500-006-006-0000</v>
          </cell>
          <cell r="B1138" t="str">
            <v>Furniture &amp; Fixture Repair &amp; Maintenance</v>
          </cell>
          <cell r="C1138">
            <v>3</v>
          </cell>
          <cell r="D1138">
            <v>0</v>
          </cell>
        </row>
        <row r="1139">
          <cell r="A1139" t="str">
            <v>500-006-006-0001</v>
          </cell>
          <cell r="B1139" t="str">
            <v>Furniture &amp; Fixture Repair &amp; Maintenance</v>
          </cell>
          <cell r="C1139">
            <v>4</v>
          </cell>
          <cell r="D1139">
            <v>0</v>
          </cell>
        </row>
        <row r="1140">
          <cell r="A1140" t="str">
            <v>500-006-007-0000</v>
          </cell>
          <cell r="B1140" t="str">
            <v>Wireless Equipment Repair Charges</v>
          </cell>
          <cell r="C1140">
            <v>3</v>
          </cell>
          <cell r="D1140">
            <v>0</v>
          </cell>
        </row>
        <row r="1141">
          <cell r="A1141" t="str">
            <v>500-006-007-0001</v>
          </cell>
          <cell r="B1141" t="str">
            <v>Wireless Equipment Repair Charges</v>
          </cell>
          <cell r="C1141">
            <v>4</v>
          </cell>
          <cell r="D1141">
            <v>0</v>
          </cell>
        </row>
        <row r="1142">
          <cell r="A1142" t="str">
            <v>500-007-000-0000</v>
          </cell>
          <cell r="B1142" t="str">
            <v>Printing and stationery</v>
          </cell>
          <cell r="C1142">
            <v>2</v>
          </cell>
          <cell r="D1142">
            <v>15249</v>
          </cell>
        </row>
        <row r="1143">
          <cell r="A1143" t="str">
            <v>500-007-001-0000</v>
          </cell>
          <cell r="B1143" t="str">
            <v>Printing and stationery</v>
          </cell>
          <cell r="C1143">
            <v>3</v>
          </cell>
          <cell r="D1143">
            <v>15249</v>
          </cell>
        </row>
        <row r="1144">
          <cell r="A1144" t="str">
            <v>500-007-001-0001</v>
          </cell>
          <cell r="B1144" t="str">
            <v>Printing expenses</v>
          </cell>
          <cell r="C1144">
            <v>4</v>
          </cell>
          <cell r="D1144">
            <v>0</v>
          </cell>
        </row>
        <row r="1145">
          <cell r="A1145" t="str">
            <v>500-007-001-0002</v>
          </cell>
          <cell r="B1145" t="str">
            <v>Stationery expenses</v>
          </cell>
          <cell r="C1145">
            <v>4</v>
          </cell>
          <cell r="D1145">
            <v>9972</v>
          </cell>
        </row>
        <row r="1146">
          <cell r="A1146" t="str">
            <v>500-007-001-0003</v>
          </cell>
          <cell r="B1146" t="str">
            <v>Computer stationery</v>
          </cell>
          <cell r="C1146">
            <v>4</v>
          </cell>
          <cell r="D1146">
            <v>0</v>
          </cell>
        </row>
        <row r="1147">
          <cell r="A1147" t="str">
            <v>500-007-001-0004</v>
          </cell>
          <cell r="B1147" t="str">
            <v>Photocopies</v>
          </cell>
          <cell r="C1147">
            <v>4</v>
          </cell>
          <cell r="D1147">
            <v>5277</v>
          </cell>
        </row>
        <row r="1148">
          <cell r="A1148" t="str">
            <v>500-008-000-0000</v>
          </cell>
          <cell r="B1148" t="str">
            <v>Electric, Water and Gas Charges</v>
          </cell>
          <cell r="C1148">
            <v>2</v>
          </cell>
          <cell r="D1148">
            <v>19210</v>
          </cell>
        </row>
        <row r="1149">
          <cell r="A1149" t="str">
            <v>500-008-001-0000</v>
          </cell>
          <cell r="B1149" t="str">
            <v>Electricity</v>
          </cell>
          <cell r="C1149">
            <v>3</v>
          </cell>
          <cell r="D1149">
            <v>19210</v>
          </cell>
        </row>
        <row r="1150">
          <cell r="A1150" t="str">
            <v>500-008-001-0001</v>
          </cell>
          <cell r="B1150" t="str">
            <v>Electricity Installition Charges</v>
          </cell>
          <cell r="C1150">
            <v>4</v>
          </cell>
          <cell r="D1150">
            <v>0</v>
          </cell>
        </row>
        <row r="1151">
          <cell r="A1151" t="str">
            <v>500-008-001-0002</v>
          </cell>
          <cell r="B1151" t="str">
            <v>Electricity Charges GHQ Share</v>
          </cell>
          <cell r="C1151">
            <v>4</v>
          </cell>
          <cell r="D1151">
            <v>0</v>
          </cell>
        </row>
        <row r="1152">
          <cell r="A1152" t="str">
            <v>500-008-001-0003</v>
          </cell>
          <cell r="B1152" t="str">
            <v>Electricity Charges Bill #</v>
          </cell>
          <cell r="C1152">
            <v>4</v>
          </cell>
          <cell r="D1152">
            <v>19210</v>
          </cell>
        </row>
        <row r="1153">
          <cell r="A1153" t="str">
            <v>500-008-002-0000</v>
          </cell>
          <cell r="B1153" t="str">
            <v>Water charges</v>
          </cell>
          <cell r="C1153">
            <v>3</v>
          </cell>
          <cell r="D1153">
            <v>0</v>
          </cell>
        </row>
        <row r="1154">
          <cell r="A1154" t="str">
            <v>500-008-002-0001</v>
          </cell>
          <cell r="B1154" t="str">
            <v>Water Installition Charges</v>
          </cell>
          <cell r="C1154">
            <v>4</v>
          </cell>
          <cell r="D1154">
            <v>0</v>
          </cell>
        </row>
        <row r="1155">
          <cell r="A1155" t="str">
            <v>500-008-002-0002</v>
          </cell>
          <cell r="B1155" t="str">
            <v>Water Charges GHQ Share</v>
          </cell>
          <cell r="C1155">
            <v>4</v>
          </cell>
          <cell r="D1155">
            <v>0</v>
          </cell>
        </row>
        <row r="1156">
          <cell r="A1156" t="str">
            <v>500-008-002-0003</v>
          </cell>
          <cell r="B1156" t="str">
            <v>Water Charges Bill #</v>
          </cell>
          <cell r="C1156">
            <v>4</v>
          </cell>
          <cell r="D1156">
            <v>0</v>
          </cell>
        </row>
        <row r="1157">
          <cell r="A1157" t="str">
            <v>500-008-003-0000</v>
          </cell>
          <cell r="B1157" t="str">
            <v>Gas charges</v>
          </cell>
          <cell r="C1157">
            <v>3</v>
          </cell>
          <cell r="D1157">
            <v>0</v>
          </cell>
        </row>
        <row r="1158">
          <cell r="A1158" t="str">
            <v>500-008-003-0001</v>
          </cell>
          <cell r="B1158" t="str">
            <v>Sui Gas Installation Charges</v>
          </cell>
          <cell r="C1158">
            <v>4</v>
          </cell>
          <cell r="D1158">
            <v>0</v>
          </cell>
        </row>
        <row r="1159">
          <cell r="A1159" t="str">
            <v>500-008-003-0002</v>
          </cell>
          <cell r="B1159" t="str">
            <v>Sui Gas Charges Bill # GHQ Share</v>
          </cell>
          <cell r="C1159">
            <v>4</v>
          </cell>
          <cell r="D1159">
            <v>0</v>
          </cell>
        </row>
        <row r="1160">
          <cell r="A1160" t="str">
            <v>500-008-003-0003</v>
          </cell>
          <cell r="B1160" t="str">
            <v>Sui Gas Charges Bill #</v>
          </cell>
          <cell r="C1160">
            <v>4</v>
          </cell>
          <cell r="D1160">
            <v>0</v>
          </cell>
        </row>
        <row r="1161">
          <cell r="A1161" t="str">
            <v>500-009-000-0000</v>
          </cell>
          <cell r="B1161" t="str">
            <v>Communication Charges</v>
          </cell>
          <cell r="C1161">
            <v>2</v>
          </cell>
          <cell r="D1161">
            <v>22414</v>
          </cell>
        </row>
        <row r="1162">
          <cell r="A1162" t="str">
            <v>500-009-001-0000</v>
          </cell>
          <cell r="B1162" t="str">
            <v>Telephone charges</v>
          </cell>
          <cell r="C1162">
            <v>3</v>
          </cell>
          <cell r="D1162">
            <v>0</v>
          </cell>
        </row>
        <row r="1163">
          <cell r="A1163" t="str">
            <v>500-009-001-0001</v>
          </cell>
          <cell r="B1163" t="str">
            <v>Telephone Bill</v>
          </cell>
          <cell r="C1163">
            <v>4</v>
          </cell>
          <cell r="D1163">
            <v>0</v>
          </cell>
        </row>
        <row r="1164">
          <cell r="A1164" t="str">
            <v>500-009-001-0002</v>
          </cell>
          <cell r="B1164" t="str">
            <v>Telephone Charges GHQ Share</v>
          </cell>
          <cell r="C1164">
            <v>4</v>
          </cell>
          <cell r="D1164">
            <v>0</v>
          </cell>
        </row>
        <row r="1165">
          <cell r="A1165" t="str">
            <v>500-009-002-0000</v>
          </cell>
          <cell r="B1165" t="str">
            <v>Mobile Phone Charges</v>
          </cell>
          <cell r="C1165">
            <v>3</v>
          </cell>
          <cell r="D1165">
            <v>22414</v>
          </cell>
        </row>
        <row r="1166">
          <cell r="A1166" t="str">
            <v>500-009-002-0001</v>
          </cell>
          <cell r="B1166" t="str">
            <v>Mobile Phone Bill</v>
          </cell>
          <cell r="C1166">
            <v>4</v>
          </cell>
          <cell r="D1166">
            <v>21069</v>
          </cell>
        </row>
        <row r="1167">
          <cell r="A1167" t="str">
            <v>500-009-002-0002</v>
          </cell>
          <cell r="B1167" t="str">
            <v>Mobile Phone Connection Charges</v>
          </cell>
          <cell r="C1167">
            <v>4</v>
          </cell>
          <cell r="D1167">
            <v>1345</v>
          </cell>
        </row>
        <row r="1168">
          <cell r="A1168" t="str">
            <v>500-009-003-0000</v>
          </cell>
          <cell r="B1168" t="str">
            <v>Fax charges</v>
          </cell>
          <cell r="C1168">
            <v>3</v>
          </cell>
          <cell r="D1168">
            <v>0</v>
          </cell>
        </row>
        <row r="1169">
          <cell r="A1169" t="str">
            <v>500-009-003-0001</v>
          </cell>
          <cell r="B1169" t="str">
            <v>Fax#</v>
          </cell>
          <cell r="C1169">
            <v>4</v>
          </cell>
          <cell r="D1169">
            <v>0</v>
          </cell>
        </row>
        <row r="1170">
          <cell r="A1170" t="str">
            <v>500-009-004-0000</v>
          </cell>
          <cell r="B1170" t="str">
            <v>Telex and telegram</v>
          </cell>
          <cell r="C1170">
            <v>3</v>
          </cell>
          <cell r="D1170">
            <v>0</v>
          </cell>
        </row>
        <row r="1171">
          <cell r="A1171" t="str">
            <v>500-009-004-0001</v>
          </cell>
          <cell r="B1171" t="str">
            <v>Telex and telegram</v>
          </cell>
          <cell r="C1171">
            <v>4</v>
          </cell>
          <cell r="D1171">
            <v>0</v>
          </cell>
        </row>
        <row r="1172">
          <cell r="A1172" t="str">
            <v>500-009-005-0000</v>
          </cell>
          <cell r="B1172" t="str">
            <v>Postage</v>
          </cell>
          <cell r="C1172">
            <v>3</v>
          </cell>
          <cell r="D1172">
            <v>0</v>
          </cell>
        </row>
        <row r="1173">
          <cell r="A1173" t="str">
            <v>500-009-005-0001</v>
          </cell>
          <cell r="B1173" t="str">
            <v>Postage</v>
          </cell>
          <cell r="C1173">
            <v>4</v>
          </cell>
          <cell r="D1173">
            <v>0</v>
          </cell>
        </row>
        <row r="1174">
          <cell r="A1174" t="str">
            <v>500-009-006-0000</v>
          </cell>
          <cell r="B1174" t="str">
            <v>Pager</v>
          </cell>
          <cell r="C1174">
            <v>3</v>
          </cell>
          <cell r="D1174">
            <v>0</v>
          </cell>
        </row>
        <row r="1175">
          <cell r="A1175" t="str">
            <v>500-009-006-0001</v>
          </cell>
          <cell r="B1175" t="str">
            <v>Pager</v>
          </cell>
          <cell r="C1175">
            <v>4</v>
          </cell>
          <cell r="D1175">
            <v>0</v>
          </cell>
        </row>
        <row r="1176">
          <cell r="A1176" t="str">
            <v>500-009-007-0000</v>
          </cell>
          <cell r="B1176" t="str">
            <v>Internet charges</v>
          </cell>
          <cell r="C1176">
            <v>3</v>
          </cell>
          <cell r="D1176">
            <v>0</v>
          </cell>
        </row>
        <row r="1177">
          <cell r="A1177" t="str">
            <v>500-009-007-0001</v>
          </cell>
          <cell r="B1177" t="str">
            <v>Internet charges</v>
          </cell>
          <cell r="C1177">
            <v>4</v>
          </cell>
          <cell r="D1177">
            <v>0</v>
          </cell>
        </row>
        <row r="1178">
          <cell r="A1178" t="str">
            <v>500-009-008-0000</v>
          </cell>
          <cell r="B1178" t="str">
            <v>Wireless Charges</v>
          </cell>
          <cell r="C1178">
            <v>3</v>
          </cell>
          <cell r="D1178">
            <v>0</v>
          </cell>
        </row>
        <row r="1179">
          <cell r="A1179" t="str">
            <v>500-009-008-0001</v>
          </cell>
          <cell r="B1179" t="str">
            <v>Wireless Charges</v>
          </cell>
          <cell r="C1179">
            <v>4</v>
          </cell>
          <cell r="D1179">
            <v>0</v>
          </cell>
        </row>
        <row r="1180">
          <cell r="A1180" t="str">
            <v>500-010-000-0000</v>
          </cell>
          <cell r="B1180" t="str">
            <v>Entertainment</v>
          </cell>
          <cell r="C1180">
            <v>2</v>
          </cell>
          <cell r="D1180">
            <v>498</v>
          </cell>
        </row>
        <row r="1181">
          <cell r="A1181" t="str">
            <v>500-010-001-0000</v>
          </cell>
          <cell r="B1181" t="str">
            <v>Entertainment</v>
          </cell>
          <cell r="C1181">
            <v>3</v>
          </cell>
          <cell r="D1181">
            <v>498</v>
          </cell>
        </row>
        <row r="1182">
          <cell r="A1182" t="str">
            <v>500-010-001-0001</v>
          </cell>
          <cell r="B1182" t="str">
            <v>Office Entertainment</v>
          </cell>
          <cell r="C1182">
            <v>4</v>
          </cell>
          <cell r="D1182">
            <v>498</v>
          </cell>
        </row>
        <row r="1183">
          <cell r="A1183" t="str">
            <v>500-010-001-0002</v>
          </cell>
          <cell r="B1183" t="str">
            <v>GHQ  Entertainement Expenses</v>
          </cell>
          <cell r="C1183">
            <v>4</v>
          </cell>
          <cell r="D1183">
            <v>0</v>
          </cell>
        </row>
        <row r="1184">
          <cell r="A1184" t="str">
            <v>500-010-001-0003</v>
          </cell>
          <cell r="B1184" t="str">
            <v>Foreign Visitors Expenses</v>
          </cell>
          <cell r="C1184">
            <v>4</v>
          </cell>
          <cell r="D1184">
            <v>0</v>
          </cell>
        </row>
        <row r="1185">
          <cell r="A1185" t="str">
            <v>500-011-000-0000</v>
          </cell>
          <cell r="B1185" t="str">
            <v>Legal and professional charges</v>
          </cell>
          <cell r="C1185">
            <v>2</v>
          </cell>
          <cell r="D1185">
            <v>0</v>
          </cell>
        </row>
        <row r="1186">
          <cell r="A1186" t="str">
            <v>500-011-001-0000</v>
          </cell>
          <cell r="B1186" t="str">
            <v>Legal and professional charges</v>
          </cell>
          <cell r="C1186">
            <v>3</v>
          </cell>
          <cell r="D1186">
            <v>0</v>
          </cell>
        </row>
        <row r="1187">
          <cell r="A1187" t="str">
            <v>500-011-001-0001</v>
          </cell>
          <cell r="B1187" t="str">
            <v>Legal and professional charges</v>
          </cell>
          <cell r="C1187">
            <v>4</v>
          </cell>
          <cell r="D1187">
            <v>0</v>
          </cell>
        </row>
        <row r="1188">
          <cell r="A1188" t="str">
            <v>500-012-000-0000</v>
          </cell>
          <cell r="B1188" t="str">
            <v>Auditors Remuneration</v>
          </cell>
          <cell r="C1188">
            <v>2</v>
          </cell>
          <cell r="D1188">
            <v>0</v>
          </cell>
        </row>
        <row r="1189">
          <cell r="A1189" t="str">
            <v>500-012-001-0000</v>
          </cell>
          <cell r="B1189" t="str">
            <v>Auditors Remuneration</v>
          </cell>
          <cell r="C1189">
            <v>3</v>
          </cell>
          <cell r="D1189">
            <v>0</v>
          </cell>
        </row>
        <row r="1190">
          <cell r="A1190" t="str">
            <v>500-012-001-0001</v>
          </cell>
          <cell r="B1190" t="str">
            <v>Auditors Remuneration</v>
          </cell>
          <cell r="C1190">
            <v>4</v>
          </cell>
          <cell r="D1190">
            <v>0</v>
          </cell>
        </row>
        <row r="1191">
          <cell r="A1191" t="str">
            <v>500-013-000-0000</v>
          </cell>
          <cell r="B1191" t="str">
            <v>Fee and subscription</v>
          </cell>
          <cell r="C1191">
            <v>2</v>
          </cell>
          <cell r="D1191">
            <v>0</v>
          </cell>
        </row>
        <row r="1192">
          <cell r="A1192" t="str">
            <v>500-013-001-0000</v>
          </cell>
          <cell r="B1192" t="str">
            <v>Fee and subscription</v>
          </cell>
          <cell r="C1192">
            <v>3</v>
          </cell>
          <cell r="D1192">
            <v>0</v>
          </cell>
        </row>
        <row r="1193">
          <cell r="A1193" t="str">
            <v>500-014-000-0000</v>
          </cell>
          <cell r="B1193" t="str">
            <v>Insurance Expenses</v>
          </cell>
          <cell r="C1193">
            <v>2</v>
          </cell>
          <cell r="D1193">
            <v>0</v>
          </cell>
        </row>
        <row r="1194">
          <cell r="A1194" t="str">
            <v>500-014-001-0000</v>
          </cell>
          <cell r="B1194" t="str">
            <v>Insurance Expenses</v>
          </cell>
          <cell r="C1194">
            <v>3</v>
          </cell>
          <cell r="D1194">
            <v>0</v>
          </cell>
        </row>
        <row r="1195">
          <cell r="A1195" t="str">
            <v>500-014-001-0001</v>
          </cell>
          <cell r="B1195" t="str">
            <v>Cash Insurance Expenses</v>
          </cell>
          <cell r="C1195">
            <v>4</v>
          </cell>
          <cell r="D1195">
            <v>0</v>
          </cell>
        </row>
        <row r="1196">
          <cell r="A1196" t="str">
            <v>500-015-000-0000</v>
          </cell>
          <cell r="B1196" t="str">
            <v>Professional Tax</v>
          </cell>
          <cell r="C1196">
            <v>2</v>
          </cell>
          <cell r="D1196">
            <v>0</v>
          </cell>
        </row>
        <row r="1197">
          <cell r="A1197" t="str">
            <v>500-015-001-0000</v>
          </cell>
          <cell r="B1197" t="str">
            <v>Professional Tax</v>
          </cell>
          <cell r="C1197">
            <v>3</v>
          </cell>
          <cell r="D1197">
            <v>0</v>
          </cell>
        </row>
        <row r="1198">
          <cell r="A1198" t="str">
            <v>500-015-001-0001</v>
          </cell>
          <cell r="B1198" t="str">
            <v>Professional Tax</v>
          </cell>
          <cell r="C1198">
            <v>4</v>
          </cell>
          <cell r="D1198">
            <v>0</v>
          </cell>
        </row>
        <row r="1199">
          <cell r="A1199" t="str">
            <v>500-016-000-0000</v>
          </cell>
          <cell r="B1199" t="str">
            <v>News paper and periodicals</v>
          </cell>
          <cell r="C1199">
            <v>2</v>
          </cell>
          <cell r="D1199">
            <v>0</v>
          </cell>
        </row>
        <row r="1200">
          <cell r="A1200" t="str">
            <v>500-016-001-0000</v>
          </cell>
          <cell r="B1200" t="str">
            <v>News paper and periodicals</v>
          </cell>
          <cell r="C1200">
            <v>3</v>
          </cell>
          <cell r="D1200">
            <v>0</v>
          </cell>
        </row>
        <row r="1201">
          <cell r="A1201" t="str">
            <v>500-016-001-0001</v>
          </cell>
          <cell r="B1201" t="str">
            <v>Newspapers</v>
          </cell>
          <cell r="C1201">
            <v>4</v>
          </cell>
          <cell r="D1201">
            <v>0</v>
          </cell>
        </row>
        <row r="1202">
          <cell r="A1202" t="str">
            <v>500-016-001-0002</v>
          </cell>
          <cell r="B1202" t="str">
            <v>Periodicals</v>
          </cell>
          <cell r="C1202">
            <v>4</v>
          </cell>
          <cell r="D1202">
            <v>0</v>
          </cell>
        </row>
        <row r="1203">
          <cell r="A1203" t="str">
            <v>500-017-000-0000</v>
          </cell>
          <cell r="B1203" t="str">
            <v>Charity and donation</v>
          </cell>
          <cell r="C1203">
            <v>2</v>
          </cell>
          <cell r="D1203">
            <v>0</v>
          </cell>
        </row>
        <row r="1204">
          <cell r="A1204" t="str">
            <v>500-017-001-0000</v>
          </cell>
          <cell r="B1204" t="str">
            <v>Charity and donation</v>
          </cell>
          <cell r="C1204">
            <v>3</v>
          </cell>
          <cell r="D1204">
            <v>0</v>
          </cell>
        </row>
        <row r="1205">
          <cell r="A1205" t="str">
            <v>500-017-001-0001</v>
          </cell>
          <cell r="B1205" t="str">
            <v>Charity</v>
          </cell>
          <cell r="C1205">
            <v>4</v>
          </cell>
          <cell r="D1205">
            <v>0</v>
          </cell>
        </row>
        <row r="1206">
          <cell r="A1206" t="str">
            <v>500-017-001-0002</v>
          </cell>
          <cell r="B1206" t="str">
            <v>Donations</v>
          </cell>
          <cell r="C1206">
            <v>4</v>
          </cell>
          <cell r="D1206">
            <v>0</v>
          </cell>
        </row>
        <row r="1207">
          <cell r="A1207" t="str">
            <v>500-017-001-0003</v>
          </cell>
          <cell r="B1207" t="str">
            <v>Funeral Charges</v>
          </cell>
          <cell r="C1207">
            <v>4</v>
          </cell>
          <cell r="D1207">
            <v>0</v>
          </cell>
        </row>
        <row r="1208">
          <cell r="A1208" t="str">
            <v>500-018-000-0000</v>
          </cell>
          <cell r="B1208" t="str">
            <v>Advertisement expenses</v>
          </cell>
          <cell r="C1208">
            <v>2</v>
          </cell>
          <cell r="D1208">
            <v>0</v>
          </cell>
        </row>
        <row r="1209">
          <cell r="A1209" t="str">
            <v>500-018-001-0000</v>
          </cell>
          <cell r="B1209" t="str">
            <v>Advertisement expenses</v>
          </cell>
          <cell r="C1209">
            <v>3</v>
          </cell>
          <cell r="D1209">
            <v>0</v>
          </cell>
        </row>
        <row r="1210">
          <cell r="A1210" t="str">
            <v>500-018-001-0001</v>
          </cell>
          <cell r="B1210" t="str">
            <v>Advertisement Newspapers</v>
          </cell>
          <cell r="C1210">
            <v>4</v>
          </cell>
          <cell r="D1210">
            <v>0</v>
          </cell>
        </row>
        <row r="1211">
          <cell r="A1211" t="str">
            <v>500-018-001-0002</v>
          </cell>
          <cell r="B1211" t="str">
            <v>Advertisment for Publicity</v>
          </cell>
          <cell r="C1211">
            <v>4</v>
          </cell>
          <cell r="D1211">
            <v>0</v>
          </cell>
        </row>
        <row r="1212">
          <cell r="A1212" t="str">
            <v>500-019-000-0000</v>
          </cell>
          <cell r="B1212" t="str">
            <v>Research, Development and Planning</v>
          </cell>
          <cell r="C1212">
            <v>2</v>
          </cell>
          <cell r="D1212">
            <v>0</v>
          </cell>
        </row>
        <row r="1213">
          <cell r="A1213" t="str">
            <v>500-019-001-0000</v>
          </cell>
          <cell r="B1213" t="str">
            <v>Research, Development and Planning</v>
          </cell>
          <cell r="C1213">
            <v>3</v>
          </cell>
          <cell r="D1213">
            <v>0</v>
          </cell>
        </row>
        <row r="1214">
          <cell r="A1214" t="str">
            <v>500-019-001-0001</v>
          </cell>
          <cell r="B1214" t="str">
            <v>Documentions Expenses</v>
          </cell>
          <cell r="C1214">
            <v>4</v>
          </cell>
          <cell r="D1214">
            <v>0</v>
          </cell>
        </row>
        <row r="1215">
          <cell r="A1215" t="str">
            <v>500-020-000-0000</v>
          </cell>
          <cell r="B1215" t="str">
            <v>Transportation, Carriage and Freight Expenses</v>
          </cell>
          <cell r="C1215">
            <v>2</v>
          </cell>
          <cell r="D1215">
            <v>0</v>
          </cell>
        </row>
        <row r="1216">
          <cell r="A1216" t="str">
            <v>500-020-001-0000</v>
          </cell>
          <cell r="B1216" t="str">
            <v>Transportation, Carriage and Freight Expenses</v>
          </cell>
          <cell r="C1216">
            <v>3</v>
          </cell>
          <cell r="D1216">
            <v>0</v>
          </cell>
        </row>
        <row r="1217">
          <cell r="A1217" t="str">
            <v>500-020-001-0001</v>
          </cell>
          <cell r="B1217" t="str">
            <v>Transportation Expenses</v>
          </cell>
          <cell r="C1217">
            <v>4</v>
          </cell>
          <cell r="D1217">
            <v>0</v>
          </cell>
        </row>
        <row r="1218">
          <cell r="A1218" t="str">
            <v>500-020-001-0002</v>
          </cell>
          <cell r="B1218" t="str">
            <v>Carriage and Freight Expenses</v>
          </cell>
          <cell r="C1218">
            <v>4</v>
          </cell>
          <cell r="D1218">
            <v>0</v>
          </cell>
        </row>
        <row r="1219">
          <cell r="A1219" t="str">
            <v>500-020-001-0003</v>
          </cell>
          <cell r="B1219" t="str">
            <v>Loading, Unloading</v>
          </cell>
          <cell r="C1219">
            <v>4</v>
          </cell>
          <cell r="D1219">
            <v>0</v>
          </cell>
        </row>
        <row r="1220">
          <cell r="A1220" t="str">
            <v>500-020-001-0004</v>
          </cell>
          <cell r="B1220" t="str">
            <v>Registration charges</v>
          </cell>
          <cell r="C1220">
            <v>4</v>
          </cell>
          <cell r="D1220">
            <v>0</v>
          </cell>
        </row>
        <row r="1221">
          <cell r="A1221" t="str">
            <v>500-021-000-0000</v>
          </cell>
          <cell r="B1221" t="str">
            <v>Hiring Charges</v>
          </cell>
          <cell r="C1221">
            <v>2</v>
          </cell>
          <cell r="D1221">
            <v>0</v>
          </cell>
        </row>
        <row r="1222">
          <cell r="A1222" t="str">
            <v>500-021-001-0000</v>
          </cell>
          <cell r="B1222" t="str">
            <v>Light Vehicle Hiring charges</v>
          </cell>
          <cell r="C1222">
            <v>3</v>
          </cell>
          <cell r="D1222">
            <v>0</v>
          </cell>
        </row>
        <row r="1223">
          <cell r="A1223" t="str">
            <v>500-021-001-0001</v>
          </cell>
          <cell r="B1223" t="str">
            <v>Control Light Vehicle Hiring charges</v>
          </cell>
          <cell r="C1223">
            <v>4</v>
          </cell>
          <cell r="D1223">
            <v>0</v>
          </cell>
        </row>
        <row r="1224">
          <cell r="A1224" t="str">
            <v>500-022-000-0000</v>
          </cell>
          <cell r="B1224" t="str">
            <v>Lease Rent</v>
          </cell>
          <cell r="C1224">
            <v>2</v>
          </cell>
          <cell r="D1224">
            <v>0</v>
          </cell>
        </row>
        <row r="1225">
          <cell r="A1225" t="str">
            <v>500-022-001-0000</v>
          </cell>
          <cell r="B1225" t="str">
            <v>Lease Rent</v>
          </cell>
          <cell r="C1225">
            <v>3</v>
          </cell>
          <cell r="D1225">
            <v>0</v>
          </cell>
        </row>
        <row r="1226">
          <cell r="A1226" t="str">
            <v>500-022-001-0001</v>
          </cell>
          <cell r="B1226" t="str">
            <v>Land Lease Rent Charges</v>
          </cell>
          <cell r="C1226">
            <v>4</v>
          </cell>
          <cell r="D1226">
            <v>0</v>
          </cell>
        </row>
        <row r="1227">
          <cell r="A1227" t="str">
            <v>500-023-000-0000</v>
          </cell>
          <cell r="B1227" t="str">
            <v>Depreciation of Operating Fixed Assets</v>
          </cell>
          <cell r="C1227">
            <v>2</v>
          </cell>
          <cell r="D1227">
            <v>0</v>
          </cell>
        </row>
        <row r="1228">
          <cell r="A1228" t="str">
            <v>500-023-001-0000</v>
          </cell>
          <cell r="B1228" t="str">
            <v>Depreciation of Operating Fixed Assets</v>
          </cell>
          <cell r="C1228">
            <v>3</v>
          </cell>
          <cell r="D1228">
            <v>0</v>
          </cell>
        </row>
        <row r="1229">
          <cell r="A1229" t="str">
            <v>500-023-001-0001</v>
          </cell>
          <cell r="B1229" t="str">
            <v>Depreciation of Operating Fixed Assets</v>
          </cell>
          <cell r="C1229">
            <v>4</v>
          </cell>
          <cell r="D1229">
            <v>0</v>
          </cell>
        </row>
        <row r="1230">
          <cell r="A1230" t="str">
            <v>500-024-000-0000</v>
          </cell>
          <cell r="B1230" t="str">
            <v>Amortisation of Lease Assets</v>
          </cell>
          <cell r="C1230">
            <v>2</v>
          </cell>
          <cell r="D1230">
            <v>0</v>
          </cell>
        </row>
        <row r="1231">
          <cell r="A1231" t="str">
            <v>500-024-001-0000</v>
          </cell>
          <cell r="B1231" t="str">
            <v>Amortisation of Lease Assets</v>
          </cell>
          <cell r="C1231">
            <v>3</v>
          </cell>
          <cell r="D1231">
            <v>0</v>
          </cell>
        </row>
        <row r="1232">
          <cell r="A1232" t="str">
            <v>500-024-001-0001</v>
          </cell>
          <cell r="B1232" t="str">
            <v>Amortisation of Lease Assets</v>
          </cell>
          <cell r="C1232">
            <v>4</v>
          </cell>
          <cell r="D1232">
            <v>0</v>
          </cell>
        </row>
        <row r="1233">
          <cell r="A1233" t="str">
            <v>500-025-000-0000</v>
          </cell>
          <cell r="B1233" t="str">
            <v>Amortisation of deferred cost</v>
          </cell>
          <cell r="C1233">
            <v>2</v>
          </cell>
          <cell r="D1233">
            <v>0</v>
          </cell>
        </row>
        <row r="1234">
          <cell r="A1234" t="str">
            <v>500-025-001-0000</v>
          </cell>
          <cell r="B1234" t="str">
            <v>Amortisation of deferred cost</v>
          </cell>
          <cell r="C1234">
            <v>3</v>
          </cell>
          <cell r="D1234">
            <v>0</v>
          </cell>
        </row>
        <row r="1235">
          <cell r="A1235" t="str">
            <v>500-025-001-0001</v>
          </cell>
          <cell r="B1235" t="str">
            <v>Amortisation of deferred cost</v>
          </cell>
          <cell r="C1235">
            <v>4</v>
          </cell>
          <cell r="D1235">
            <v>0</v>
          </cell>
        </row>
        <row r="1236">
          <cell r="A1236" t="str">
            <v>500-026-000-0000</v>
          </cell>
          <cell r="B1236" t="str">
            <v>Miscellaneous Expenses</v>
          </cell>
          <cell r="C1236">
            <v>2</v>
          </cell>
          <cell r="D1236">
            <v>22443</v>
          </cell>
        </row>
        <row r="1237">
          <cell r="A1237" t="str">
            <v>500-026-001-0000</v>
          </cell>
          <cell r="B1237" t="str">
            <v>Miscellaneous Expenses</v>
          </cell>
          <cell r="C1237">
            <v>3</v>
          </cell>
          <cell r="D1237">
            <v>22443</v>
          </cell>
        </row>
        <row r="1238">
          <cell r="A1238" t="str">
            <v>500-026-001-0001</v>
          </cell>
          <cell r="B1238" t="str">
            <v>Miscellaneous Expenses</v>
          </cell>
          <cell r="C1238">
            <v>4</v>
          </cell>
          <cell r="D1238">
            <v>22443</v>
          </cell>
        </row>
        <row r="1239">
          <cell r="A1239" t="str">
            <v>500-026-001-0002</v>
          </cell>
          <cell r="B1239" t="str">
            <v>Departmental Charges Paid</v>
          </cell>
          <cell r="C1239">
            <v>4</v>
          </cell>
          <cell r="D1239">
            <v>0</v>
          </cell>
        </row>
        <row r="1240">
          <cell r="A1240" t="str">
            <v>500-026-001-0003</v>
          </cell>
          <cell r="B1240" t="str">
            <v>Handling Charges Paid</v>
          </cell>
          <cell r="C1240">
            <v>4</v>
          </cell>
          <cell r="D1240">
            <v>0</v>
          </cell>
        </row>
        <row r="1241">
          <cell r="A1241" t="str">
            <v>600-000-000-0000</v>
          </cell>
          <cell r="B1241" t="str">
            <v>Other Income</v>
          </cell>
          <cell r="C1241">
            <v>1</v>
          </cell>
          <cell r="D1241">
            <v>-6298233</v>
          </cell>
        </row>
        <row r="1242">
          <cell r="A1242" t="str">
            <v>600-001-000-0000</v>
          </cell>
          <cell r="B1242" t="str">
            <v>Application Fee</v>
          </cell>
          <cell r="C1242">
            <v>2</v>
          </cell>
          <cell r="D1242">
            <v>0</v>
          </cell>
        </row>
        <row r="1243">
          <cell r="A1243" t="str">
            <v>600-001-001-0000</v>
          </cell>
          <cell r="B1243" t="str">
            <v>Application Fee</v>
          </cell>
          <cell r="C1243">
            <v>3</v>
          </cell>
          <cell r="D1243">
            <v>0</v>
          </cell>
        </row>
        <row r="1244">
          <cell r="A1244" t="str">
            <v>600-001-001-0001</v>
          </cell>
          <cell r="B1244" t="str">
            <v>Application Fee</v>
          </cell>
          <cell r="C1244">
            <v>4</v>
          </cell>
          <cell r="D1244">
            <v>0</v>
          </cell>
        </row>
        <row r="1245">
          <cell r="A1245" t="str">
            <v>600-002-000-0000</v>
          </cell>
          <cell r="B1245" t="str">
            <v>Enlistment Fee</v>
          </cell>
          <cell r="C1245">
            <v>2</v>
          </cell>
          <cell r="D1245">
            <v>0</v>
          </cell>
        </row>
        <row r="1246">
          <cell r="A1246" t="str">
            <v>600-002-001-0000</v>
          </cell>
          <cell r="B1246" t="str">
            <v>Enlistment Fee</v>
          </cell>
          <cell r="C1246">
            <v>3</v>
          </cell>
          <cell r="D1246">
            <v>0</v>
          </cell>
        </row>
        <row r="1247">
          <cell r="A1247" t="str">
            <v>600-002-001-0001</v>
          </cell>
          <cell r="B1247" t="str">
            <v>Enlistment Fee</v>
          </cell>
          <cell r="C1247">
            <v>4</v>
          </cell>
          <cell r="D1247">
            <v>0</v>
          </cell>
        </row>
        <row r="1248">
          <cell r="A1248" t="str">
            <v>600-003-000-0000</v>
          </cell>
          <cell r="B1248" t="str">
            <v>Check Request Fee</v>
          </cell>
          <cell r="C1248">
            <v>2</v>
          </cell>
          <cell r="D1248">
            <v>0</v>
          </cell>
        </row>
        <row r="1249">
          <cell r="A1249" t="str">
            <v>600-003-001-0000</v>
          </cell>
          <cell r="B1249" t="str">
            <v>Check Request Fee</v>
          </cell>
          <cell r="C1249">
            <v>3</v>
          </cell>
          <cell r="D1249">
            <v>0</v>
          </cell>
        </row>
        <row r="1250">
          <cell r="A1250" t="str">
            <v>600-003-001-0001</v>
          </cell>
          <cell r="B1250" t="str">
            <v>Check Request Fee</v>
          </cell>
          <cell r="C1250">
            <v>4</v>
          </cell>
          <cell r="D1250">
            <v>0</v>
          </cell>
        </row>
        <row r="1251">
          <cell r="A1251" t="str">
            <v>600-004-000-0000</v>
          </cell>
          <cell r="B1251" t="str">
            <v>Labouratory Test Fee</v>
          </cell>
          <cell r="C1251">
            <v>2</v>
          </cell>
          <cell r="D1251">
            <v>0</v>
          </cell>
        </row>
        <row r="1252">
          <cell r="A1252" t="str">
            <v>600-004-001-0000</v>
          </cell>
          <cell r="B1252" t="str">
            <v>Labouratory Test Fee</v>
          </cell>
          <cell r="C1252">
            <v>3</v>
          </cell>
          <cell r="D1252">
            <v>0</v>
          </cell>
        </row>
        <row r="1253">
          <cell r="A1253" t="str">
            <v>600-004-001-0001</v>
          </cell>
          <cell r="B1253" t="str">
            <v>Labouratory Test Fee</v>
          </cell>
          <cell r="C1253">
            <v>4</v>
          </cell>
          <cell r="D1253">
            <v>0</v>
          </cell>
        </row>
        <row r="1254">
          <cell r="A1254" t="str">
            <v>600-005-000-0000</v>
          </cell>
          <cell r="B1254" t="str">
            <v>Hiring Receipts</v>
          </cell>
          <cell r="C1254">
            <v>2</v>
          </cell>
          <cell r="D1254">
            <v>0</v>
          </cell>
        </row>
        <row r="1255">
          <cell r="A1255" t="str">
            <v>600-005-001-0000</v>
          </cell>
          <cell r="B1255" t="str">
            <v>Heavy Vehicle Hiring Receipts</v>
          </cell>
          <cell r="C1255">
            <v>3</v>
          </cell>
          <cell r="D1255">
            <v>0</v>
          </cell>
        </row>
        <row r="1256">
          <cell r="A1256" t="str">
            <v>600-005-001-0001</v>
          </cell>
          <cell r="B1256" t="str">
            <v>Heavy Vehicle Hiring Receipts</v>
          </cell>
          <cell r="C1256">
            <v>4</v>
          </cell>
          <cell r="D1256">
            <v>0</v>
          </cell>
        </row>
        <row r="1257">
          <cell r="A1257" t="str">
            <v>600-005-002-0000</v>
          </cell>
          <cell r="B1257" t="str">
            <v>Light Vehicle Hiring Receipts</v>
          </cell>
          <cell r="C1257">
            <v>3</v>
          </cell>
          <cell r="D1257">
            <v>0</v>
          </cell>
        </row>
      </sheetData>
      <sheetData sheetId="8"/>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nx A"/>
      <sheetName val="Anx B"/>
      <sheetName val="Anx C "/>
      <sheetName val="cost analysis"/>
      <sheetName val="Anx D"/>
      <sheetName val="Anx E"/>
      <sheetName val="Anx F Contr "/>
      <sheetName val="Anx F Petty"/>
      <sheetName val="Anx G"/>
      <sheetName val="Anx H"/>
      <sheetName val="Anx J"/>
      <sheetName val="Anx K"/>
      <sheetName val="Anx L"/>
      <sheetName val="Anx M"/>
      <sheetName val="Anx N"/>
      <sheetName val="Anx O"/>
      <sheetName val="Anx P"/>
      <sheetName val="Anx Q"/>
      <sheetName val="Anx R"/>
      <sheetName val="Appx I to Anx A"/>
      <sheetName val="S Curve"/>
      <sheetName val="MT VEh"/>
      <sheetName val="Manpower"/>
    </sheetNames>
    <sheetDataSet>
      <sheetData sheetId="0">
        <row r="27">
          <cell r="H27">
            <v>2.8719999999999999</v>
          </cell>
        </row>
        <row r="28">
          <cell r="G28">
            <v>15.34350727114361</v>
          </cell>
        </row>
      </sheetData>
      <sheetData sheetId="1">
        <row r="23">
          <cell r="E23">
            <v>4.4743011464427003</v>
          </cell>
        </row>
      </sheetData>
      <sheetData sheetId="2">
        <row r="8">
          <cell r="E8">
            <v>0.93899999999999995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4">
          <cell r="G14">
            <v>2.8719999999999999</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nx A"/>
      <sheetName val="Anx B"/>
      <sheetName val="Anx C "/>
      <sheetName val="cost analysis"/>
      <sheetName val="Anx D"/>
      <sheetName val="Anx E"/>
      <sheetName val="Anx F Contr "/>
      <sheetName val="Anx F Petty"/>
      <sheetName val="Anx G"/>
      <sheetName val="Anx G (2)"/>
      <sheetName val="Anx H"/>
      <sheetName val="Hired Veh (EF)"/>
      <sheetName val="Anx J"/>
      <sheetName val="Anx K"/>
      <sheetName val="Anx L"/>
      <sheetName val="Anx L (2)"/>
      <sheetName val="Anx M"/>
      <sheetName val="Anx N"/>
      <sheetName val="Anx O"/>
      <sheetName val="Anx P"/>
      <sheetName val="Anx Q"/>
      <sheetName val="Anx R"/>
      <sheetName val="Appx I to Anx A"/>
      <sheetName val="S Curve"/>
      <sheetName val="Anx D (2)"/>
      <sheetName val="MT VEh"/>
      <sheetName val="Manpower"/>
      <sheetName val="766,395"/>
      <sheetName val="Sheet1"/>
      <sheetName val="Nominal"/>
    </sheetNames>
    <sheetDataSet>
      <sheetData sheetId="0"/>
      <sheetData sheetId="1"/>
      <sheetData sheetId="2"/>
      <sheetData sheetId="3"/>
      <sheetData sheetId="4"/>
      <sheetData sheetId="5">
        <row r="78">
          <cell r="D78">
            <v>148.82231224718481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oleObject" Target="../embeddings/oleObject12.bin"/><Relationship Id="rId5" Type="http://schemas.openxmlformats.org/officeDocument/2006/relationships/image" Target="../media/image1.emf"/><Relationship Id="rId4" Type="http://schemas.openxmlformats.org/officeDocument/2006/relationships/oleObject" Target="../embeddings/oleObject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emf"/><Relationship Id="rId4" Type="http://schemas.openxmlformats.org/officeDocument/2006/relationships/oleObject" Target="../embeddings/oleObject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emf"/><Relationship Id="rId4" Type="http://schemas.openxmlformats.org/officeDocument/2006/relationships/oleObject" Target="../embeddings/oleObject14.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image" Target="../media/image1.emf"/><Relationship Id="rId4" Type="http://schemas.openxmlformats.org/officeDocument/2006/relationships/oleObject" Target="../embeddings/oleObject1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image" Target="../media/image1.emf"/><Relationship Id="rId4" Type="http://schemas.openxmlformats.org/officeDocument/2006/relationships/oleObject" Target="../embeddings/oleObject16.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image" Target="../media/image1.emf"/><Relationship Id="rId4" Type="http://schemas.openxmlformats.org/officeDocument/2006/relationships/oleObject" Target="../embeddings/oleObject17.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7.bin"/><Relationship Id="rId5" Type="http://schemas.openxmlformats.org/officeDocument/2006/relationships/image" Target="../media/image1.emf"/><Relationship Id="rId4" Type="http://schemas.openxmlformats.org/officeDocument/2006/relationships/oleObject" Target="../embeddings/oleObject18.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8.bin"/><Relationship Id="rId5" Type="http://schemas.openxmlformats.org/officeDocument/2006/relationships/image" Target="../media/image1.emf"/><Relationship Id="rId4" Type="http://schemas.openxmlformats.org/officeDocument/2006/relationships/oleObject" Target="../embeddings/oleObject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oleObject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oleObject" Target="../embeddings/oleObject8.bin"/><Relationship Id="rId5" Type="http://schemas.openxmlformats.org/officeDocument/2006/relationships/image" Target="../media/image1.emf"/><Relationship Id="rId4" Type="http://schemas.openxmlformats.org/officeDocument/2006/relationships/oleObject" Target="../embeddings/oleObject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7" sqref="C17"/>
    </sheetView>
  </sheetViews>
  <sheetFormatPr defaultRowHeight="15" x14ac:dyDescent="0.25"/>
  <cols>
    <col min="2" max="2" width="20" customWidth="1"/>
    <col min="3" max="3" width="14" customWidth="1"/>
  </cols>
  <sheetData>
    <row r="1" spans="1:3" ht="24" customHeight="1" x14ac:dyDescent="0.25">
      <c r="A1" s="1161" t="s">
        <v>568</v>
      </c>
      <c r="B1" s="1162"/>
      <c r="C1" s="1163"/>
    </row>
    <row r="2" spans="1:3" ht="21" customHeight="1" thickBot="1" x14ac:dyDescent="0.3">
      <c r="A2" s="751" t="s">
        <v>120</v>
      </c>
      <c r="B2" s="752" t="s">
        <v>31</v>
      </c>
      <c r="C2" s="753" t="s">
        <v>582</v>
      </c>
    </row>
    <row r="3" spans="1:3" x14ac:dyDescent="0.25">
      <c r="A3" s="748" t="s">
        <v>572</v>
      </c>
      <c r="B3" s="749" t="s">
        <v>569</v>
      </c>
      <c r="C3" s="750">
        <f>'Anx A'!E26</f>
        <v>3288.8522719500002</v>
      </c>
    </row>
    <row r="4" spans="1:3" x14ac:dyDescent="0.25">
      <c r="A4" s="742" t="s">
        <v>573</v>
      </c>
      <c r="B4" s="743" t="s">
        <v>570</v>
      </c>
      <c r="C4" s="744">
        <f>'Anx A'!E27</f>
        <v>212.47085000000001</v>
      </c>
    </row>
    <row r="5" spans="1:3" x14ac:dyDescent="0.25">
      <c r="A5" s="742"/>
      <c r="B5" s="743" t="s">
        <v>586</v>
      </c>
      <c r="C5" s="744">
        <f>'Anx A'!E28</f>
        <v>0</v>
      </c>
    </row>
    <row r="6" spans="1:3" x14ac:dyDescent="0.25">
      <c r="A6" s="742"/>
      <c r="B6" s="743" t="s">
        <v>587</v>
      </c>
      <c r="C6" s="744">
        <f>'Anx A'!E35</f>
        <v>44.825280550000002</v>
      </c>
    </row>
    <row r="7" spans="1:3" x14ac:dyDescent="0.25">
      <c r="A7" s="745" t="s">
        <v>574</v>
      </c>
      <c r="B7" s="746" t="s">
        <v>571</v>
      </c>
      <c r="C7" s="747">
        <f>SUM(C3:C6)</f>
        <v>3546.1484025000004</v>
      </c>
    </row>
    <row r="8" spans="1:3" x14ac:dyDescent="0.25">
      <c r="A8" s="693" t="s">
        <v>688</v>
      </c>
      <c r="B8" s="694"/>
      <c r="C8" s="695"/>
    </row>
    <row r="9" spans="1:3" x14ac:dyDescent="0.25">
      <c r="A9" s="745" t="s">
        <v>575</v>
      </c>
      <c r="B9" s="746" t="s">
        <v>680</v>
      </c>
      <c r="C9" s="747">
        <f>'Anx A'!H21</f>
        <v>1604.9749999999999</v>
      </c>
    </row>
    <row r="10" spans="1:3" x14ac:dyDescent="0.25">
      <c r="A10" s="745" t="s">
        <v>577</v>
      </c>
      <c r="B10" s="746" t="s">
        <v>681</v>
      </c>
      <c r="C10" s="747">
        <f>'Anx G'!G16+'Anx G'!G36+'Anx G'!G37+'Anx G'!G38+'Anx G'!G39+'Anx G'!G40</f>
        <v>670.12910193821301</v>
      </c>
    </row>
    <row r="11" spans="1:3" x14ac:dyDescent="0.25">
      <c r="A11" s="745" t="s">
        <v>577</v>
      </c>
      <c r="B11" s="746" t="s">
        <v>682</v>
      </c>
      <c r="C11" s="747">
        <v>56.39</v>
      </c>
    </row>
    <row r="12" spans="1:3" x14ac:dyDescent="0.25">
      <c r="A12" s="745" t="s">
        <v>576</v>
      </c>
      <c r="B12" s="746" t="s">
        <v>683</v>
      </c>
      <c r="C12" s="747">
        <f>'Anx D'!D28</f>
        <v>170.53996599999996</v>
      </c>
    </row>
    <row r="13" spans="1:3" x14ac:dyDescent="0.25">
      <c r="A13" s="745"/>
      <c r="B13" s="746" t="s">
        <v>684</v>
      </c>
      <c r="C13" s="747">
        <f>'Anx D'!D76</f>
        <v>147.58800000000002</v>
      </c>
    </row>
    <row r="14" spans="1:3" x14ac:dyDescent="0.25">
      <c r="A14" s="745" t="s">
        <v>578</v>
      </c>
      <c r="B14" s="746" t="s">
        <v>687</v>
      </c>
      <c r="C14" s="747">
        <f>'Anx M'!G14+'Anx M'!G19+'Anx M'!G22</f>
        <v>92.35850640550845</v>
      </c>
    </row>
    <row r="15" spans="1:3" x14ac:dyDescent="0.25">
      <c r="A15" s="745" t="s">
        <v>579</v>
      </c>
      <c r="B15" s="746" t="s">
        <v>686</v>
      </c>
      <c r="C15" s="747">
        <f>SUM(C9:C14)</f>
        <v>2741.9805743437209</v>
      </c>
    </row>
    <row r="16" spans="1:3" x14ac:dyDescent="0.25">
      <c r="A16" s="745" t="s">
        <v>580</v>
      </c>
      <c r="B16" s="746" t="s">
        <v>689</v>
      </c>
      <c r="C16" s="747">
        <f>'Anx G'!W94</f>
        <v>23.232283133019759</v>
      </c>
    </row>
    <row r="17" spans="1:3" x14ac:dyDescent="0.25">
      <c r="A17" s="745" t="s">
        <v>581</v>
      </c>
      <c r="B17" s="746" t="s">
        <v>686</v>
      </c>
      <c r="C17" s="747">
        <f>C15-C16</f>
        <v>2718.7482912107012</v>
      </c>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P9"/>
  <sheetViews>
    <sheetView zoomScale="99" zoomScaleNormal="99" workbookViewId="0">
      <pane xSplit="3" ySplit="5" topLeftCell="D6" activePane="bottomRight" state="frozen"/>
      <selection pane="topRight" activeCell="D1" sqref="D1"/>
      <selection pane="bottomLeft" activeCell="A8" sqref="A8"/>
      <selection pane="bottomRight" activeCell="H18" sqref="H18"/>
    </sheetView>
  </sheetViews>
  <sheetFormatPr defaultColWidth="9.140625" defaultRowHeight="12.75" x14ac:dyDescent="0.25"/>
  <cols>
    <col min="1" max="1" width="3.85546875" style="67" customWidth="1"/>
    <col min="2" max="2" width="23.140625" style="67" customWidth="1"/>
    <col min="3" max="3" width="18.140625" style="148" customWidth="1"/>
    <col min="4" max="4" width="11.28515625" style="148" customWidth="1"/>
    <col min="5" max="5" width="6.42578125" style="148" customWidth="1"/>
    <col min="6" max="6" width="9.42578125" style="148" customWidth="1"/>
    <col min="7" max="12" width="6.42578125" style="148" customWidth="1"/>
    <col min="13" max="13" width="8.140625" style="148" customWidth="1"/>
    <col min="14" max="15" width="6.42578125" style="148" customWidth="1"/>
    <col min="16" max="16" width="6.5703125" style="148" customWidth="1"/>
    <col min="17" max="16384" width="9.140625" style="67"/>
  </cols>
  <sheetData>
    <row r="1" spans="1:16" ht="16.5" customHeight="1" x14ac:dyDescent="0.25">
      <c r="A1" s="1177" t="s">
        <v>280</v>
      </c>
      <c r="B1" s="1177"/>
      <c r="C1" s="1177"/>
      <c r="D1" s="1177"/>
      <c r="E1" s="1177"/>
      <c r="F1" s="1177"/>
      <c r="G1" s="1177"/>
      <c r="H1" s="1177"/>
      <c r="I1" s="1177"/>
      <c r="J1" s="1177"/>
      <c r="K1" s="1177"/>
      <c r="L1" s="1177"/>
      <c r="M1" s="1177"/>
      <c r="N1" s="1177"/>
      <c r="O1" s="1177"/>
      <c r="P1" s="1177"/>
    </row>
    <row r="2" spans="1:16" ht="15.75" x14ac:dyDescent="0.25">
      <c r="A2" s="1179" t="str">
        <f>'Anx E'!A3:U3</f>
        <v xml:space="preserve">PMU NLC INFRA DEV WORKS at Chahar Bagh (RUDA ) </v>
      </c>
      <c r="B2" s="1179"/>
      <c r="C2" s="1179"/>
      <c r="D2" s="1179"/>
      <c r="E2" s="1179"/>
      <c r="F2" s="1179"/>
      <c r="G2" s="1179"/>
      <c r="H2" s="1179"/>
      <c r="I2" s="1179"/>
      <c r="J2" s="1179"/>
      <c r="K2" s="1179"/>
      <c r="L2" s="1179"/>
      <c r="M2" s="1179"/>
      <c r="N2" s="1179"/>
      <c r="O2" s="1179"/>
      <c r="P2" s="1179"/>
    </row>
    <row r="3" spans="1:16" ht="11.25" customHeight="1" thickBot="1" x14ac:dyDescent="0.3">
      <c r="A3" s="152"/>
      <c r="B3" s="152"/>
      <c r="C3" s="33"/>
      <c r="D3" s="1264" t="s">
        <v>433</v>
      </c>
      <c r="E3" s="1264"/>
      <c r="F3" s="1264"/>
      <c r="G3" s="1264"/>
      <c r="H3" s="1264"/>
      <c r="I3" s="1264"/>
      <c r="J3" s="1264"/>
      <c r="K3" s="1264"/>
      <c r="L3" s="1264"/>
      <c r="M3" s="1264"/>
      <c r="N3" s="1264"/>
      <c r="O3" s="1264"/>
      <c r="P3" s="1264"/>
    </row>
    <row r="4" spans="1:16" ht="16.5" customHeight="1" thickTop="1" thickBot="1" x14ac:dyDescent="0.3">
      <c r="A4" s="1254" t="s">
        <v>120</v>
      </c>
      <c r="B4" s="1262" t="s">
        <v>261</v>
      </c>
      <c r="C4" s="1262" t="s">
        <v>185</v>
      </c>
      <c r="D4" s="1265"/>
      <c r="E4" s="1265"/>
      <c r="F4" s="1265"/>
      <c r="G4" s="1265"/>
      <c r="H4" s="1265"/>
      <c r="I4" s="1265"/>
      <c r="J4" s="1265"/>
      <c r="K4" s="1265"/>
      <c r="L4" s="1265"/>
      <c r="M4" s="1265"/>
      <c r="N4" s="1265"/>
      <c r="O4" s="1265"/>
      <c r="P4" s="1265"/>
    </row>
    <row r="5" spans="1:16" ht="81.75" thickTop="1" x14ac:dyDescent="0.25">
      <c r="A5" s="1255"/>
      <c r="B5" s="1263"/>
      <c r="C5" s="1263"/>
      <c r="D5" s="328" t="s">
        <v>127</v>
      </c>
      <c r="E5" s="328" t="s">
        <v>127</v>
      </c>
      <c r="F5" s="328" t="s">
        <v>302</v>
      </c>
      <c r="G5" s="328" t="s">
        <v>27</v>
      </c>
      <c r="H5" s="328" t="s">
        <v>233</v>
      </c>
      <c r="I5" s="328" t="s">
        <v>230</v>
      </c>
      <c r="J5" s="328" t="s">
        <v>226</v>
      </c>
      <c r="K5" s="328" t="s">
        <v>281</v>
      </c>
      <c r="L5" s="328" t="s">
        <v>388</v>
      </c>
      <c r="M5" s="328" t="s">
        <v>229</v>
      </c>
      <c r="N5" s="328" t="s">
        <v>125</v>
      </c>
      <c r="O5" s="328" t="s">
        <v>128</v>
      </c>
      <c r="P5" s="328" t="s">
        <v>129</v>
      </c>
    </row>
    <row r="6" spans="1:16" ht="14.25" x14ac:dyDescent="0.25">
      <c r="A6" s="293">
        <v>1</v>
      </c>
      <c r="B6" s="304"/>
      <c r="C6" s="305"/>
      <c r="D6" s="302"/>
      <c r="E6" s="55"/>
      <c r="F6" s="332"/>
      <c r="G6" s="295">
        <f>F6*5/100</f>
        <v>0</v>
      </c>
      <c r="H6" s="294"/>
      <c r="I6" s="294"/>
      <c r="J6" s="294"/>
      <c r="K6" s="294"/>
      <c r="L6" s="294"/>
      <c r="M6" s="294"/>
      <c r="N6" s="294"/>
      <c r="O6" s="294"/>
      <c r="P6" s="305"/>
    </row>
    <row r="7" spans="1:16" ht="14.25" x14ac:dyDescent="0.25">
      <c r="A7" s="293"/>
      <c r="B7" s="293"/>
      <c r="C7" s="293"/>
      <c r="D7" s="293"/>
      <c r="E7" s="55"/>
      <c r="F7" s="332"/>
      <c r="G7" s="293"/>
      <c r="H7" s="293"/>
      <c r="I7" s="293"/>
      <c r="J7" s="293"/>
      <c r="K7" s="293"/>
      <c r="L7" s="293"/>
      <c r="M7" s="293"/>
      <c r="N7" s="293"/>
      <c r="O7" s="293"/>
      <c r="P7" s="293"/>
    </row>
    <row r="8" spans="1:16" ht="14.25" x14ac:dyDescent="0.25">
      <c r="A8" s="69"/>
      <c r="B8" s="69"/>
      <c r="C8" s="214"/>
      <c r="D8" s="302"/>
      <c r="E8" s="218"/>
      <c r="F8" s="331">
        <v>0</v>
      </c>
      <c r="G8" s="214"/>
      <c r="H8" s="214"/>
      <c r="I8" s="214"/>
      <c r="J8" s="214"/>
      <c r="K8" s="214"/>
      <c r="L8" s="214"/>
      <c r="M8" s="214"/>
      <c r="N8" s="214"/>
      <c r="O8" s="214"/>
      <c r="P8" s="214"/>
    </row>
    <row r="9" spans="1:16" ht="14.25" x14ac:dyDescent="0.25">
      <c r="A9" s="381"/>
      <c r="B9" s="1260" t="s">
        <v>10</v>
      </c>
      <c r="C9" s="1261"/>
      <c r="D9" s="382"/>
      <c r="E9" s="384"/>
      <c r="F9" s="385">
        <f>SUM(F6:F8)</f>
        <v>0</v>
      </c>
      <c r="G9" s="385">
        <f>SUM(G6:G8)</f>
        <v>0</v>
      </c>
      <c r="H9" s="385">
        <f>SUM(H6:H8)</f>
        <v>0</v>
      </c>
      <c r="I9" s="385">
        <f>SUM(I6:I8)</f>
        <v>0</v>
      </c>
      <c r="J9" s="385">
        <f>SUM(J6:J8)</f>
        <v>0</v>
      </c>
      <c r="K9" s="401"/>
      <c r="L9" s="401"/>
      <c r="M9" s="401"/>
      <c r="N9" s="401"/>
      <c r="O9" s="401"/>
      <c r="P9" s="400"/>
    </row>
  </sheetData>
  <mergeCells count="7">
    <mergeCell ref="B9:C9"/>
    <mergeCell ref="A1:P1"/>
    <mergeCell ref="A2:P2"/>
    <mergeCell ref="A4:A5"/>
    <mergeCell ref="B4:B5"/>
    <mergeCell ref="C4:C5"/>
    <mergeCell ref="D3:P4"/>
  </mergeCells>
  <printOptions horizontalCentered="1"/>
  <pageMargins left="0.57999999999999996" right="0.17" top="0.27" bottom="0.33" header="0.17" footer="0.18"/>
  <pageSetup paperSize="9" orientation="landscape" r:id="rId1"/>
  <headerFooter alignWithMargins="0"/>
  <drawing r:id="rId2"/>
  <legacyDrawing r:id="rId3"/>
  <oleObjects>
    <mc:AlternateContent xmlns:mc="http://schemas.openxmlformats.org/markup-compatibility/2006">
      <mc:Choice Requires="x14">
        <oleObject progId="Word.Picture.8" shapeId="3720193" r:id="rId4">
          <objectPr defaultSize="0" autoPict="0" r:id="rId5">
            <anchor moveWithCells="1" sizeWithCells="1">
              <from>
                <xdr:col>0</xdr:col>
                <xdr:colOff>0</xdr:colOff>
                <xdr:row>0</xdr:row>
                <xdr:rowOff>0</xdr:rowOff>
              </from>
              <to>
                <xdr:col>0</xdr:col>
                <xdr:colOff>114300</xdr:colOff>
                <xdr:row>0</xdr:row>
                <xdr:rowOff>0</xdr:rowOff>
              </to>
            </anchor>
          </objectPr>
        </oleObject>
      </mc:Choice>
      <mc:Fallback>
        <oleObject progId="Word.Picture.8" shapeId="372019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R150"/>
  <sheetViews>
    <sheetView view="pageBreakPreview" zoomScale="60" zoomScaleNormal="85" workbookViewId="0">
      <pane xSplit="2" ySplit="10" topLeftCell="H81" activePane="bottomRight" state="frozen"/>
      <selection pane="topRight" activeCell="C1" sqref="C1"/>
      <selection pane="bottomLeft" activeCell="A11" sqref="A11"/>
      <selection pane="bottomRight" activeCell="O77" sqref="O77"/>
    </sheetView>
  </sheetViews>
  <sheetFormatPr defaultColWidth="9.140625" defaultRowHeight="12.75" x14ac:dyDescent="0.25"/>
  <cols>
    <col min="1" max="1" width="31.7109375" style="67" bestFit="1" customWidth="1"/>
    <col min="2" max="2" width="7.7109375" style="67" customWidth="1"/>
    <col min="3" max="3" width="16" style="67" customWidth="1"/>
    <col min="4" max="4" width="13.5703125" style="67" bestFit="1" customWidth="1"/>
    <col min="5" max="5" width="15" style="67" bestFit="1" customWidth="1"/>
    <col min="6" max="6" width="18.7109375" style="67" bestFit="1" customWidth="1"/>
    <col min="7" max="7" width="13.85546875" style="67" bestFit="1" customWidth="1"/>
    <col min="8" max="8" width="16.42578125" style="67" bestFit="1" customWidth="1"/>
    <col min="9" max="9" width="11.28515625" style="67" bestFit="1" customWidth="1"/>
    <col min="10" max="11" width="9.85546875" style="67" bestFit="1" customWidth="1"/>
    <col min="12" max="12" width="13.28515625" style="67" bestFit="1" customWidth="1"/>
    <col min="13" max="13" width="15.140625" style="67" bestFit="1" customWidth="1"/>
    <col min="14" max="14" width="18.7109375" style="67" bestFit="1" customWidth="1"/>
    <col min="15" max="15" width="14.140625" style="67" bestFit="1" customWidth="1"/>
    <col min="16" max="16" width="13.140625" style="67" bestFit="1" customWidth="1"/>
    <col min="17" max="17" width="11.28515625" style="67" bestFit="1" customWidth="1"/>
    <col min="18" max="18" width="12" style="67" bestFit="1" customWidth="1"/>
    <col min="19" max="19" width="14.85546875" style="67" bestFit="1" customWidth="1"/>
    <col min="20" max="21" width="14.85546875" style="67" customWidth="1"/>
    <col min="22" max="22" width="14.85546875" style="67" bestFit="1" customWidth="1"/>
    <col min="23" max="23" width="15.7109375" style="67" bestFit="1" customWidth="1"/>
    <col min="24" max="24" width="12.28515625" style="67" customWidth="1"/>
    <col min="25" max="25" width="15.140625" style="67" bestFit="1" customWidth="1"/>
    <col min="26" max="26" width="13.5703125" style="67" bestFit="1" customWidth="1"/>
    <col min="27" max="27" width="12.5703125" style="67" bestFit="1" customWidth="1"/>
    <col min="28" max="28" width="11.42578125" style="67" bestFit="1" customWidth="1"/>
    <col min="29" max="29" width="8.42578125" style="67" bestFit="1" customWidth="1"/>
    <col min="30" max="30" width="7.28515625" style="67" bestFit="1" customWidth="1"/>
    <col min="31" max="31" width="15.140625" style="67" bestFit="1" customWidth="1"/>
    <col min="32" max="32" width="12.7109375" style="67" bestFit="1" customWidth="1"/>
    <col min="33" max="33" width="12.5703125" style="67" bestFit="1" customWidth="1"/>
    <col min="34" max="34" width="12.7109375" style="67" bestFit="1" customWidth="1"/>
    <col min="35" max="35" width="9.7109375" style="67" bestFit="1" customWidth="1"/>
    <col min="36" max="36" width="10" style="67" bestFit="1" customWidth="1"/>
    <col min="37" max="46" width="20" style="67" customWidth="1"/>
    <col min="47" max="47" width="13.140625" style="67" customWidth="1"/>
    <col min="48" max="48" width="10.85546875" style="148" customWidth="1"/>
    <col min="49" max="50" width="15.42578125" style="67" customWidth="1"/>
    <col min="51" max="51" width="14.7109375" style="67" customWidth="1"/>
    <col min="52" max="52" width="13.85546875" style="67" bestFit="1" customWidth="1"/>
    <col min="53" max="53" width="14.85546875" style="67" bestFit="1" customWidth="1"/>
    <col min="54" max="54" width="13" style="67" bestFit="1" customWidth="1"/>
    <col min="55" max="55" width="11.140625" style="67" customWidth="1"/>
    <col min="56" max="56" width="15.140625" style="67" bestFit="1" customWidth="1"/>
    <col min="57" max="57" width="13.7109375" style="67" bestFit="1" customWidth="1"/>
    <col min="58" max="58" width="9.140625" style="67"/>
    <col min="59" max="59" width="13.42578125" style="67" customWidth="1"/>
    <col min="60" max="60" width="9.140625" style="67"/>
    <col min="61" max="61" width="12.28515625" style="67" bestFit="1" customWidth="1"/>
    <col min="62" max="62" width="13.5703125" style="67" bestFit="1" customWidth="1"/>
    <col min="63" max="63" width="12.42578125" style="67" customWidth="1"/>
    <col min="64" max="64" width="13.42578125" style="67" bestFit="1" customWidth="1"/>
    <col min="65" max="65" width="11.140625" style="67" customWidth="1"/>
    <col min="66" max="66" width="11.85546875" style="67" bestFit="1" customWidth="1"/>
    <col min="67" max="70" width="9.140625" style="67"/>
    <col min="71" max="71" width="10.7109375" style="67" bestFit="1" customWidth="1"/>
    <col min="72" max="74" width="9.140625" style="67"/>
    <col min="75" max="76" width="15.140625" style="67" bestFit="1" customWidth="1"/>
    <col min="77" max="78" width="13" style="67" bestFit="1" customWidth="1"/>
    <col min="79" max="16384" width="9.140625" style="67"/>
  </cols>
  <sheetData>
    <row r="1" spans="1:67" ht="15" x14ac:dyDescent="0.25">
      <c r="A1" s="1211" t="s">
        <v>30</v>
      </c>
      <c r="B1" s="1211"/>
      <c r="C1" s="1211"/>
      <c r="D1" s="1211"/>
      <c r="E1" s="1211"/>
      <c r="F1" s="1211"/>
      <c r="G1" s="1211"/>
      <c r="H1" s="1211"/>
      <c r="I1" s="1211"/>
      <c r="J1" s="1211"/>
      <c r="K1" s="1211"/>
      <c r="L1" s="1211"/>
      <c r="M1" s="1211"/>
      <c r="N1" s="1211"/>
      <c r="O1" s="1211"/>
      <c r="P1" s="1211"/>
      <c r="Q1" s="1211"/>
      <c r="R1" s="1211"/>
      <c r="S1" s="1211"/>
      <c r="T1" s="1211"/>
      <c r="U1" s="1211"/>
      <c r="V1" s="1211"/>
      <c r="W1" s="1211"/>
      <c r="X1" s="1211"/>
      <c r="Y1" s="950"/>
      <c r="Z1" s="950"/>
      <c r="AA1" s="950"/>
      <c r="AB1" s="950"/>
      <c r="AC1" s="950"/>
      <c r="AD1" s="950"/>
      <c r="AE1" s="950"/>
      <c r="AF1" s="950"/>
      <c r="AG1" s="950"/>
      <c r="AH1" s="950"/>
      <c r="AI1" s="950"/>
      <c r="AJ1" s="950"/>
      <c r="AK1" s="950"/>
      <c r="AL1" s="950"/>
      <c r="AM1" s="950"/>
      <c r="AN1" s="950"/>
      <c r="AO1" s="950"/>
      <c r="AP1" s="950"/>
      <c r="AQ1" s="950"/>
      <c r="AR1" s="950"/>
      <c r="AS1" s="950"/>
      <c r="AT1" s="950"/>
      <c r="AU1" s="98"/>
      <c r="AV1" s="932"/>
      <c r="AW1" s="98"/>
      <c r="AX1" s="98"/>
    </row>
    <row r="2" spans="1:67" ht="15.75" x14ac:dyDescent="0.25">
      <c r="A2" s="98"/>
      <c r="B2" s="98"/>
      <c r="C2" s="950"/>
      <c r="D2" s="98"/>
      <c r="E2" s="98"/>
      <c r="F2" s="98"/>
      <c r="G2" s="98"/>
      <c r="H2" s="98"/>
      <c r="I2" s="98"/>
      <c r="J2" s="98"/>
      <c r="K2" s="98"/>
      <c r="L2" s="98"/>
      <c r="M2" s="98"/>
      <c r="N2" s="98"/>
      <c r="O2" s="98"/>
      <c r="P2" s="772">
        <f>1.422+4.271</f>
        <v>5.6929999999999996</v>
      </c>
      <c r="Q2" s="98"/>
      <c r="R2" s="98"/>
      <c r="S2" s="98"/>
      <c r="T2" s="959"/>
      <c r="U2" s="959"/>
      <c r="V2" s="98"/>
      <c r="W2" s="98"/>
      <c r="X2" s="103" t="str">
        <f>"MONTH - "&amp;Summary!$G$6</f>
        <v>MONTH - July 2025</v>
      </c>
      <c r="Y2" s="944"/>
      <c r="Z2" s="944"/>
      <c r="AA2" s="944"/>
      <c r="AB2" s="944"/>
      <c r="AC2" s="944"/>
      <c r="AD2" s="944"/>
      <c r="AE2" s="944"/>
      <c r="AF2" s="944"/>
      <c r="AG2" s="944"/>
      <c r="AH2" s="944"/>
      <c r="AI2" s="944"/>
      <c r="AJ2" s="944"/>
      <c r="AK2" s="944"/>
      <c r="AL2" s="944"/>
      <c r="AM2" s="944"/>
      <c r="AN2" s="944"/>
      <c r="AO2" s="944"/>
      <c r="AP2" s="944"/>
      <c r="AQ2" s="944"/>
      <c r="AR2" s="944"/>
      <c r="AS2" s="944"/>
      <c r="AT2" s="944"/>
      <c r="AU2" s="103"/>
      <c r="AV2" s="127"/>
      <c r="AW2" s="103"/>
      <c r="AX2" s="103"/>
    </row>
    <row r="3" spans="1:67" ht="16.5" customHeight="1" x14ac:dyDescent="0.25">
      <c r="A3" s="1177" t="s">
        <v>132</v>
      </c>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945"/>
      <c r="Z3" s="945"/>
      <c r="AA3" s="945"/>
      <c r="AB3" s="945"/>
      <c r="AC3" s="945"/>
      <c r="AD3" s="945"/>
      <c r="AE3" s="945"/>
      <c r="AF3" s="945"/>
      <c r="AG3" s="945"/>
      <c r="AH3" s="945"/>
      <c r="AI3" s="945"/>
      <c r="AJ3" s="945"/>
      <c r="AK3" s="945"/>
      <c r="AL3" s="945"/>
      <c r="AM3" s="945"/>
      <c r="AN3" s="945"/>
      <c r="AO3" s="945"/>
      <c r="AP3" s="945"/>
      <c r="AQ3" s="945"/>
      <c r="AR3" s="945"/>
      <c r="AS3" s="945"/>
      <c r="AT3" s="945"/>
      <c r="AU3" s="230"/>
      <c r="AV3" s="933"/>
      <c r="AW3" s="230"/>
      <c r="AX3" s="230"/>
    </row>
    <row r="4" spans="1:67" ht="16.5" thickBot="1" x14ac:dyDescent="0.3">
      <c r="A4" s="1179" t="str">
        <f>'Anx D'!A4:E4</f>
        <v xml:space="preserve">PMU NLC INFRA DEV WORKS at Chahar Bagh (RUDA ) </v>
      </c>
      <c r="B4" s="1179"/>
      <c r="C4" s="1179"/>
      <c r="D4" s="1179"/>
      <c r="E4" s="1179"/>
      <c r="F4" s="1179"/>
      <c r="G4" s="1179"/>
      <c r="H4" s="1179"/>
      <c r="I4" s="1179"/>
      <c r="J4" s="1179"/>
      <c r="K4" s="1179"/>
      <c r="L4" s="1179"/>
      <c r="M4" s="1179"/>
      <c r="N4" s="1179"/>
      <c r="O4" s="1179"/>
      <c r="P4" s="1179"/>
      <c r="Q4" s="1179"/>
      <c r="R4" s="1179"/>
      <c r="S4" s="1179"/>
      <c r="T4" s="1179"/>
      <c r="U4" s="1179"/>
      <c r="V4" s="1179"/>
      <c r="W4" s="1179"/>
      <c r="X4" s="1179"/>
      <c r="Y4" s="947"/>
      <c r="Z4" s="947"/>
      <c r="AA4" s="947"/>
      <c r="AB4" s="947"/>
      <c r="AC4" s="947"/>
      <c r="AD4" s="947"/>
      <c r="AE4" s="947"/>
      <c r="AF4" s="947"/>
      <c r="AG4" s="947"/>
      <c r="AH4" s="947"/>
      <c r="AI4" s="947"/>
      <c r="AJ4" s="947"/>
      <c r="AK4" s="947"/>
      <c r="AL4" s="947"/>
      <c r="AM4" s="947"/>
      <c r="AN4" s="947"/>
      <c r="AO4" s="947"/>
      <c r="AP4" s="947"/>
      <c r="AQ4" s="947"/>
      <c r="AR4" s="947"/>
      <c r="AS4" s="947"/>
      <c r="AT4" s="947"/>
      <c r="AU4" s="41"/>
      <c r="AV4" s="253"/>
      <c r="AW4" s="41"/>
      <c r="AX4" s="41"/>
    </row>
    <row r="5" spans="1:67" ht="21" thickBot="1" x14ac:dyDescent="0.3">
      <c r="A5" s="72"/>
      <c r="B5" s="72"/>
      <c r="C5" s="72"/>
      <c r="D5" s="72"/>
      <c r="E5" s="72"/>
      <c r="F5" s="72"/>
      <c r="G5" s="72"/>
      <c r="H5" s="72"/>
      <c r="I5" s="72"/>
      <c r="J5" s="72"/>
      <c r="K5" s="72"/>
      <c r="L5" s="72"/>
      <c r="M5" s="72"/>
      <c r="N5" s="72"/>
      <c r="O5" s="72"/>
      <c r="P5" s="72"/>
      <c r="Q5" s="72"/>
      <c r="R5" s="72"/>
      <c r="S5" s="72"/>
      <c r="T5" s="72"/>
      <c r="U5" s="72"/>
      <c r="V5" s="72"/>
      <c r="W5" s="72"/>
      <c r="X5" s="73" t="s">
        <v>107</v>
      </c>
      <c r="Y5" s="1266" t="s">
        <v>312</v>
      </c>
      <c r="Z5" s="1267"/>
      <c r="AA5" s="1267"/>
      <c r="AB5" s="1267"/>
      <c r="AC5" s="1267"/>
      <c r="AD5" s="1267"/>
      <c r="AE5" s="1267"/>
      <c r="AF5" s="1267"/>
      <c r="AG5" s="1267"/>
      <c r="AH5" s="1267"/>
      <c r="AI5" s="1267"/>
      <c r="AJ5" s="1268"/>
      <c r="AK5" s="73"/>
      <c r="AL5" s="73"/>
      <c r="AM5" s="73"/>
      <c r="AN5" s="73"/>
      <c r="AO5" s="73"/>
      <c r="AP5" s="73"/>
      <c r="AQ5" s="73"/>
      <c r="AR5" s="73"/>
      <c r="AS5" s="73"/>
      <c r="AT5" s="73"/>
      <c r="AU5" s="73"/>
      <c r="AV5" s="934"/>
      <c r="AW5" s="73"/>
      <c r="AX5" s="73"/>
    </row>
    <row r="6" spans="1:67" ht="24" customHeight="1" thickTop="1" thickBot="1" x14ac:dyDescent="0.3">
      <c r="A6" s="1213" t="s">
        <v>22</v>
      </c>
      <c r="B6" s="1213" t="s">
        <v>13</v>
      </c>
      <c r="C6" s="1256" t="s">
        <v>872</v>
      </c>
      <c r="D6" s="1290" t="s">
        <v>144</v>
      </c>
      <c r="E6" s="1291"/>
      <c r="F6" s="1291"/>
      <c r="G6" s="1291"/>
      <c r="H6" s="1291"/>
      <c r="I6" s="1292"/>
      <c r="J6" s="1287" t="s">
        <v>590</v>
      </c>
      <c r="K6" s="1288"/>
      <c r="L6" s="1285" t="s">
        <v>186</v>
      </c>
      <c r="M6" s="1285"/>
      <c r="N6" s="1285"/>
      <c r="O6" s="1285"/>
      <c r="P6" s="1285"/>
      <c r="Q6" s="1285"/>
      <c r="R6" s="1287" t="s">
        <v>591</v>
      </c>
      <c r="S6" s="1288"/>
      <c r="T6" s="1289" t="s">
        <v>874</v>
      </c>
      <c r="U6" s="1289"/>
      <c r="V6" s="1213" t="s">
        <v>231</v>
      </c>
      <c r="W6" s="1213"/>
      <c r="X6" s="1286" t="s">
        <v>23</v>
      </c>
      <c r="Y6" s="1272" t="s">
        <v>870</v>
      </c>
      <c r="Z6" s="1273"/>
      <c r="AA6" s="1273"/>
      <c r="AB6" s="1273"/>
      <c r="AC6" s="1277" t="s">
        <v>590</v>
      </c>
      <c r="AD6" s="1278"/>
      <c r="AE6" s="1273" t="s">
        <v>871</v>
      </c>
      <c r="AF6" s="1273"/>
      <c r="AG6" s="1273"/>
      <c r="AH6" s="1274"/>
      <c r="AI6" s="1277" t="s">
        <v>591</v>
      </c>
      <c r="AJ6" s="1278"/>
      <c r="AK6" s="794"/>
      <c r="AL6" s="794"/>
      <c r="AM6" s="794"/>
      <c r="AN6" s="794"/>
      <c r="AO6" s="794"/>
      <c r="AP6" s="794"/>
      <c r="AQ6" s="794"/>
      <c r="AR6" s="794"/>
      <c r="AS6" s="794"/>
      <c r="AT6" s="794"/>
      <c r="AU6" s="447"/>
      <c r="AV6" s="935"/>
      <c r="AW6" s="447"/>
      <c r="AX6" s="447"/>
      <c r="AZ6" s="1285" t="s">
        <v>144</v>
      </c>
      <c r="BA6" s="1285"/>
      <c r="BB6" s="1285"/>
      <c r="BC6" s="1285"/>
      <c r="BD6" s="1285"/>
      <c r="BE6" s="1285"/>
      <c r="BF6" s="1285"/>
      <c r="BG6" s="1213" t="s">
        <v>186</v>
      </c>
      <c r="BH6" s="1213"/>
      <c r="BI6" s="1213"/>
      <c r="BJ6" s="1213"/>
      <c r="BK6" s="1213"/>
      <c r="BL6" s="1213"/>
      <c r="BM6" s="1213" t="s">
        <v>231</v>
      </c>
      <c r="BN6" s="1213"/>
      <c r="BO6" s="1255" t="s">
        <v>23</v>
      </c>
    </row>
    <row r="7" spans="1:67" ht="42" customHeight="1" thickTop="1" thickBot="1" x14ac:dyDescent="0.3">
      <c r="A7" s="1213"/>
      <c r="B7" s="1213"/>
      <c r="C7" s="1293"/>
      <c r="D7" s="1213" t="s">
        <v>17</v>
      </c>
      <c r="E7" s="1213"/>
      <c r="F7" s="1213" t="s">
        <v>55</v>
      </c>
      <c r="G7" s="1213"/>
      <c r="H7" s="1213" t="s">
        <v>59</v>
      </c>
      <c r="I7" s="1213"/>
      <c r="J7" s="1279"/>
      <c r="K7" s="1280"/>
      <c r="L7" s="1283" t="s">
        <v>17</v>
      </c>
      <c r="M7" s="1284"/>
      <c r="N7" s="1283" t="s">
        <v>55</v>
      </c>
      <c r="O7" s="1284"/>
      <c r="P7" s="1213" t="s">
        <v>59</v>
      </c>
      <c r="Q7" s="1213"/>
      <c r="R7" s="1279"/>
      <c r="S7" s="1280"/>
      <c r="T7" s="1213" t="s">
        <v>70</v>
      </c>
      <c r="U7" s="1213"/>
      <c r="V7" s="1213" t="s">
        <v>70</v>
      </c>
      <c r="W7" s="1213"/>
      <c r="X7" s="1281"/>
      <c r="Y7" s="1269" t="s">
        <v>55</v>
      </c>
      <c r="Z7" s="1269"/>
      <c r="AA7" s="1269" t="s">
        <v>59</v>
      </c>
      <c r="AB7" s="1269"/>
      <c r="AC7" s="1279"/>
      <c r="AD7" s="1280"/>
      <c r="AE7" s="1270" t="s">
        <v>55</v>
      </c>
      <c r="AF7" s="1271"/>
      <c r="AG7" s="1269" t="s">
        <v>59</v>
      </c>
      <c r="AH7" s="1269"/>
      <c r="AI7" s="1279"/>
      <c r="AJ7" s="1280"/>
      <c r="AK7" s="794"/>
      <c r="AL7" s="794"/>
      <c r="AM7" s="794"/>
      <c r="AN7" s="794"/>
      <c r="AO7" s="794"/>
      <c r="AP7" s="794"/>
      <c r="AQ7" s="794"/>
      <c r="AR7" s="794"/>
      <c r="AS7" s="794"/>
      <c r="AT7" s="794"/>
      <c r="AU7" s="447"/>
      <c r="AV7" s="935"/>
      <c r="AW7" s="447"/>
      <c r="AX7" s="447"/>
      <c r="AZ7" s="1213" t="s">
        <v>256</v>
      </c>
      <c r="BA7" s="1213" t="s">
        <v>17</v>
      </c>
      <c r="BB7" s="1213"/>
      <c r="BC7" s="1213" t="s">
        <v>55</v>
      </c>
      <c r="BD7" s="1213"/>
      <c r="BE7" s="1213" t="s">
        <v>59</v>
      </c>
      <c r="BF7" s="1213"/>
      <c r="BG7" s="1283" t="s">
        <v>17</v>
      </c>
      <c r="BH7" s="1284"/>
      <c r="BI7" s="1283" t="s">
        <v>55</v>
      </c>
      <c r="BJ7" s="1284"/>
      <c r="BK7" s="1213" t="s">
        <v>59</v>
      </c>
      <c r="BL7" s="1213"/>
      <c r="BM7" s="1213" t="s">
        <v>70</v>
      </c>
      <c r="BN7" s="1213"/>
      <c r="BO7" s="1281"/>
    </row>
    <row r="8" spans="1:67" ht="20.25" customHeight="1" thickTop="1" thickBot="1" x14ac:dyDescent="0.3">
      <c r="A8" s="1213"/>
      <c r="B8" s="1213"/>
      <c r="C8" s="1269"/>
      <c r="D8" s="50" t="s">
        <v>12</v>
      </c>
      <c r="E8" s="50" t="s">
        <v>14</v>
      </c>
      <c r="F8" s="50" t="s">
        <v>12</v>
      </c>
      <c r="G8" s="50" t="s">
        <v>14</v>
      </c>
      <c r="H8" s="50" t="s">
        <v>12</v>
      </c>
      <c r="I8" s="276" t="s">
        <v>14</v>
      </c>
      <c r="J8" s="697" t="s">
        <v>12</v>
      </c>
      <c r="K8" s="699" t="s">
        <v>14</v>
      </c>
      <c r="L8" s="50" t="s">
        <v>12</v>
      </c>
      <c r="M8" s="50" t="s">
        <v>14</v>
      </c>
      <c r="N8" s="50" t="s">
        <v>12</v>
      </c>
      <c r="O8" s="50" t="s">
        <v>14</v>
      </c>
      <c r="P8" s="773" t="s">
        <v>12</v>
      </c>
      <c r="Q8" s="50" t="s">
        <v>14</v>
      </c>
      <c r="R8" s="697" t="s">
        <v>12</v>
      </c>
      <c r="S8" s="697" t="s">
        <v>14</v>
      </c>
      <c r="T8" s="960" t="s">
        <v>12</v>
      </c>
      <c r="U8" s="960" t="s">
        <v>14</v>
      </c>
      <c r="V8" s="50" t="s">
        <v>12</v>
      </c>
      <c r="W8" s="50" t="s">
        <v>14</v>
      </c>
      <c r="X8" s="1282"/>
      <c r="Y8" s="952" t="s">
        <v>12</v>
      </c>
      <c r="Z8" s="952" t="s">
        <v>14</v>
      </c>
      <c r="AA8" s="952" t="s">
        <v>12</v>
      </c>
      <c r="AB8" s="956" t="s">
        <v>14</v>
      </c>
      <c r="AC8" s="954" t="s">
        <v>12</v>
      </c>
      <c r="AD8" s="699" t="s">
        <v>14</v>
      </c>
      <c r="AE8" s="952" t="s">
        <v>12</v>
      </c>
      <c r="AF8" s="952" t="s">
        <v>14</v>
      </c>
      <c r="AG8" s="952" t="s">
        <v>12</v>
      </c>
      <c r="AH8" s="952" t="s">
        <v>14</v>
      </c>
      <c r="AI8" s="954" t="s">
        <v>12</v>
      </c>
      <c r="AJ8" s="954" t="s">
        <v>14</v>
      </c>
      <c r="AK8" s="794"/>
      <c r="AL8" s="794"/>
      <c r="AM8" s="794"/>
      <c r="AN8" s="794"/>
      <c r="AO8" s="794"/>
      <c r="AP8" s="794"/>
      <c r="AQ8" s="794"/>
      <c r="AR8" s="794"/>
      <c r="AS8" s="794"/>
      <c r="AT8" s="794"/>
      <c r="AU8" s="447"/>
      <c r="AV8" s="935"/>
      <c r="AW8" s="447"/>
      <c r="AX8" s="447"/>
      <c r="AZ8" s="1213"/>
      <c r="BA8" s="50" t="s">
        <v>12</v>
      </c>
      <c r="BB8" s="50" t="s">
        <v>14</v>
      </c>
      <c r="BC8" s="50" t="s">
        <v>12</v>
      </c>
      <c r="BD8" s="50" t="s">
        <v>14</v>
      </c>
      <c r="BE8" s="50" t="s">
        <v>12</v>
      </c>
      <c r="BF8" s="276" t="s">
        <v>14</v>
      </c>
      <c r="BG8" s="50" t="s">
        <v>12</v>
      </c>
      <c r="BH8" s="50" t="s">
        <v>14</v>
      </c>
      <c r="BI8" s="50" t="s">
        <v>12</v>
      </c>
      <c r="BJ8" s="50" t="s">
        <v>14</v>
      </c>
      <c r="BK8" s="50" t="s">
        <v>12</v>
      </c>
      <c r="BL8" s="50" t="s">
        <v>14</v>
      </c>
      <c r="BM8" s="50" t="s">
        <v>12</v>
      </c>
      <c r="BN8" s="50" t="s">
        <v>14</v>
      </c>
      <c r="BO8" s="1282"/>
    </row>
    <row r="9" spans="1:67" ht="21" customHeight="1" thickTop="1" x14ac:dyDescent="0.25">
      <c r="A9" s="406" t="s">
        <v>238</v>
      </c>
      <c r="B9" s="138"/>
      <c r="C9" s="33"/>
      <c r="D9" s="33"/>
      <c r="E9" s="33"/>
      <c r="F9" s="33"/>
      <c r="G9" s="33"/>
      <c r="H9" s="33"/>
      <c r="I9" s="33"/>
      <c r="J9" s="33"/>
      <c r="K9" s="33"/>
      <c r="L9" s="75"/>
      <c r="M9" s="75"/>
      <c r="N9" s="75"/>
      <c r="O9" s="75"/>
      <c r="P9" s="75"/>
      <c r="Q9" s="75"/>
      <c r="R9" s="75"/>
      <c r="S9" s="75"/>
      <c r="T9" s="75"/>
      <c r="U9" s="75"/>
      <c r="V9" s="75"/>
      <c r="W9" s="75"/>
      <c r="X9" s="137"/>
      <c r="Y9" s="75"/>
      <c r="Z9" s="75"/>
      <c r="AA9" s="75"/>
      <c r="AB9" s="75"/>
      <c r="AC9" s="75"/>
      <c r="AD9" s="75"/>
      <c r="AE9" s="75"/>
      <c r="AF9" s="75"/>
      <c r="AG9" s="75"/>
      <c r="AH9" s="75"/>
      <c r="AI9" s="75"/>
      <c r="AJ9" s="75"/>
      <c r="AK9" s="75"/>
      <c r="AL9" s="75"/>
      <c r="AM9" s="75"/>
      <c r="AN9" s="75"/>
      <c r="AO9" s="75"/>
      <c r="AP9" s="75"/>
      <c r="AQ9" s="75"/>
      <c r="AR9" s="75"/>
      <c r="AS9" s="75"/>
      <c r="AT9" s="75"/>
      <c r="AU9" s="137"/>
      <c r="AV9" s="936"/>
      <c r="AW9" s="137"/>
      <c r="AX9" s="137"/>
      <c r="AZ9" s="75"/>
      <c r="BA9" s="75"/>
      <c r="BB9" s="75"/>
      <c r="BC9" s="75"/>
    </row>
    <row r="10" spans="1:67" s="798" customFormat="1" ht="15" customHeight="1" x14ac:dyDescent="0.25">
      <c r="A10" s="809" t="s">
        <v>430</v>
      </c>
      <c r="B10" s="314" t="s">
        <v>431</v>
      </c>
      <c r="C10" s="1033">
        <v>19.225270897367679</v>
      </c>
      <c r="D10" s="811"/>
      <c r="E10" s="812">
        <f>(D10*C10)/1000000</f>
        <v>0</v>
      </c>
      <c r="F10" s="387">
        <f t="shared" ref="F10:F41" si="0">D10+Y10</f>
        <v>13249644.25</v>
      </c>
      <c r="G10" s="928">
        <f>(F10*C10)/1000000</f>
        <v>254.72800000000001</v>
      </c>
      <c r="H10" s="196">
        <f>D10</f>
        <v>0</v>
      </c>
      <c r="I10" s="928">
        <f>(H10*C10)/1000000</f>
        <v>0</v>
      </c>
      <c r="J10" s="812"/>
      <c r="K10" s="812"/>
      <c r="L10" s="811"/>
      <c r="M10" s="812">
        <f>(L10*C10)/1000000</f>
        <v>0</v>
      </c>
      <c r="N10" s="196">
        <f>L10+AE10</f>
        <v>13249644.25</v>
      </c>
      <c r="O10" s="196">
        <f>M10+AF10</f>
        <v>254.72800000000001</v>
      </c>
      <c r="P10" s="813">
        <f>L10</f>
        <v>0</v>
      </c>
      <c r="Q10" s="196">
        <f>M10</f>
        <v>0</v>
      </c>
      <c r="R10" s="196"/>
      <c r="S10" s="196"/>
      <c r="T10" s="196"/>
      <c r="U10" s="196"/>
      <c r="V10" s="196">
        <f t="shared" ref="V10:V41" si="1">F10+J10-N10-R10-T10</f>
        <v>0</v>
      </c>
      <c r="W10" s="812">
        <f t="shared" ref="W10:W41" si="2">G10+K10-O10-S10-U10</f>
        <v>0</v>
      </c>
      <c r="X10" s="814"/>
      <c r="Y10" s="811">
        <v>13249644.25</v>
      </c>
      <c r="Z10" s="811">
        <v>254.72800000000001</v>
      </c>
      <c r="AA10" s="811">
        <v>362682</v>
      </c>
      <c r="AB10" s="811">
        <v>6.972659699599105</v>
      </c>
      <c r="AC10" s="811"/>
      <c r="AD10" s="811"/>
      <c r="AE10" s="811">
        <v>13249644.25</v>
      </c>
      <c r="AF10" s="811">
        <v>254.72800000000001</v>
      </c>
      <c r="AG10" s="811">
        <v>362682</v>
      </c>
      <c r="AH10" s="811">
        <v>1.0878340000000002</v>
      </c>
      <c r="AI10" s="811"/>
      <c r="AJ10" s="811"/>
      <c r="AK10" s="811"/>
      <c r="AL10" s="811"/>
      <c r="AM10" s="811"/>
      <c r="AN10" s="811"/>
      <c r="AO10" s="811"/>
      <c r="AP10" s="811"/>
      <c r="AQ10" s="811"/>
      <c r="AR10" s="811"/>
      <c r="AS10" s="811"/>
      <c r="AT10" s="811"/>
      <c r="AU10" s="821">
        <f>253.64+0.451+1.34+0.235-0.938</f>
        <v>254.72800000000001</v>
      </c>
      <c r="AV10" s="937"/>
      <c r="AW10" s="815"/>
      <c r="AX10" s="815"/>
      <c r="AY10" s="816">
        <f>+M10/0.466841</f>
        <v>0</v>
      </c>
      <c r="AZ10" s="817"/>
      <c r="BA10" s="817"/>
      <c r="BB10" s="818"/>
      <c r="BD10" s="801"/>
      <c r="BE10" s="801"/>
      <c r="BG10" s="798">
        <v>0</v>
      </c>
      <c r="BH10" s="798">
        <v>0</v>
      </c>
    </row>
    <row r="11" spans="1:67" s="798" customFormat="1" ht="15" customHeight="1" x14ac:dyDescent="0.25">
      <c r="A11" s="809" t="s">
        <v>517</v>
      </c>
      <c r="B11" s="314" t="s">
        <v>431</v>
      </c>
      <c r="C11" s="1033">
        <v>89.266472662234392</v>
      </c>
      <c r="D11" s="811"/>
      <c r="E11" s="812">
        <f t="shared" ref="E11:E74" si="3">(D11*C11)/1000000</f>
        <v>0</v>
      </c>
      <c r="F11" s="387">
        <f t="shared" si="0"/>
        <v>954961</v>
      </c>
      <c r="G11" s="928">
        <f t="shared" ref="G11:G74" si="4">(F11*C11)/1000000</f>
        <v>85.246000000000009</v>
      </c>
      <c r="H11" s="196">
        <f t="shared" ref="H11:H74" si="5">D11</f>
        <v>0</v>
      </c>
      <c r="I11" s="928">
        <f t="shared" ref="I11:I74" si="6">(H11*C11)/1000000</f>
        <v>0</v>
      </c>
      <c r="J11" s="812"/>
      <c r="K11" s="812"/>
      <c r="L11" s="819"/>
      <c r="M11" s="812">
        <f t="shared" ref="M11:M74" si="7">(L11*C11)/1000000</f>
        <v>0</v>
      </c>
      <c r="N11" s="196">
        <f t="shared" ref="N11:N74" si="8">L11+AE11</f>
        <v>954961</v>
      </c>
      <c r="O11" s="196">
        <f t="shared" ref="O11:O74" si="9">M11+AF11</f>
        <v>85.246000000000009</v>
      </c>
      <c r="P11" s="813">
        <f t="shared" ref="P11:P74" si="10">L11</f>
        <v>0</v>
      </c>
      <c r="Q11" s="196">
        <f t="shared" ref="Q11:Q74" si="11">M11</f>
        <v>0</v>
      </c>
      <c r="R11" s="196"/>
      <c r="S11" s="196"/>
      <c r="T11" s="196"/>
      <c r="U11" s="196"/>
      <c r="V11" s="196">
        <f t="shared" si="1"/>
        <v>0</v>
      </c>
      <c r="W11" s="812">
        <f t="shared" si="2"/>
        <v>0</v>
      </c>
      <c r="X11" s="814"/>
      <c r="Y11" s="811">
        <v>954961</v>
      </c>
      <c r="Z11" s="811">
        <v>85.246000000000009</v>
      </c>
      <c r="AA11" s="811">
        <v>324213</v>
      </c>
      <c r="AB11" s="811">
        <v>28.941350901241002</v>
      </c>
      <c r="AC11" s="811"/>
      <c r="AD11" s="811"/>
      <c r="AE11" s="811">
        <v>954961</v>
      </c>
      <c r="AF11" s="811">
        <v>85.246000000000009</v>
      </c>
      <c r="AG11" s="811">
        <v>419964</v>
      </c>
      <c r="AH11" s="811">
        <v>34.341000000000001</v>
      </c>
      <c r="AI11" s="811"/>
      <c r="AJ11" s="811"/>
      <c r="AK11" s="811"/>
      <c r="AL11" s="811"/>
      <c r="AM11" s="811"/>
      <c r="AN11" s="811"/>
      <c r="AO11" s="811"/>
      <c r="AP11" s="811"/>
      <c r="AQ11" s="811"/>
      <c r="AR11" s="811"/>
      <c r="AS11" s="811"/>
      <c r="AT11" s="811"/>
      <c r="AU11" s="821">
        <f>50.905+7.247+4.633+5.374+3.707+2.687+2.79</f>
        <v>77.343000000000004</v>
      </c>
      <c r="AV11" s="937">
        <f>O11-M11</f>
        <v>85.246000000000009</v>
      </c>
      <c r="AW11" s="815"/>
      <c r="AX11" s="815"/>
      <c r="AY11" s="816"/>
      <c r="AZ11" s="817"/>
      <c r="BA11" s="817"/>
      <c r="BB11" s="818"/>
      <c r="BD11" s="801"/>
      <c r="BE11" s="801"/>
    </row>
    <row r="12" spans="1:67" s="798" customFormat="1" ht="15" customHeight="1" x14ac:dyDescent="0.25">
      <c r="A12" s="1084" t="s">
        <v>477</v>
      </c>
      <c r="B12" s="314" t="s">
        <v>431</v>
      </c>
      <c r="C12" s="1033">
        <v>138.56708473009382</v>
      </c>
      <c r="D12" s="196"/>
      <c r="E12" s="812">
        <f t="shared" si="3"/>
        <v>0</v>
      </c>
      <c r="F12" s="387">
        <f t="shared" si="0"/>
        <v>480278</v>
      </c>
      <c r="G12" s="928">
        <f t="shared" si="4"/>
        <v>66.550722320000006</v>
      </c>
      <c r="H12" s="196">
        <f t="shared" si="5"/>
        <v>0</v>
      </c>
      <c r="I12" s="928">
        <f t="shared" si="6"/>
        <v>0</v>
      </c>
      <c r="J12" s="812">
        <v>301</v>
      </c>
      <c r="K12" s="812">
        <f>J12*135.97/1000000</f>
        <v>4.092697E-2</v>
      </c>
      <c r="L12" s="196"/>
      <c r="M12" s="812">
        <f t="shared" si="7"/>
        <v>0</v>
      </c>
      <c r="N12" s="196">
        <f t="shared" si="8"/>
        <v>480278</v>
      </c>
      <c r="O12" s="196">
        <f t="shared" si="9"/>
        <v>66.550722320000006</v>
      </c>
      <c r="P12" s="813">
        <f t="shared" si="10"/>
        <v>0</v>
      </c>
      <c r="Q12" s="196">
        <f t="shared" si="11"/>
        <v>0</v>
      </c>
      <c r="R12" s="196"/>
      <c r="S12" s="196"/>
      <c r="T12" s="196"/>
      <c r="U12" s="196"/>
      <c r="V12" s="196">
        <f t="shared" si="1"/>
        <v>301</v>
      </c>
      <c r="W12" s="812">
        <f t="shared" si="2"/>
        <v>4.0926970000001006E-2</v>
      </c>
      <c r="X12" s="814"/>
      <c r="Y12" s="811">
        <v>480278</v>
      </c>
      <c r="Z12" s="811">
        <v>66.550722320000006</v>
      </c>
      <c r="AA12" s="811">
        <v>95331.12</v>
      </c>
      <c r="AB12" s="811">
        <v>13.209755382454741</v>
      </c>
      <c r="AC12" s="811">
        <v>301</v>
      </c>
      <c r="AD12" s="811">
        <v>4.092697E-2</v>
      </c>
      <c r="AE12" s="811">
        <v>480278</v>
      </c>
      <c r="AF12" s="811">
        <v>66.550722320000006</v>
      </c>
      <c r="AG12" s="811">
        <v>114034</v>
      </c>
      <c r="AH12" s="811">
        <v>15.61</v>
      </c>
      <c r="AI12" s="811"/>
      <c r="AJ12" s="811"/>
      <c r="AK12" s="811"/>
      <c r="AL12" s="811"/>
      <c r="AM12" s="811"/>
      <c r="AN12" s="811"/>
      <c r="AO12" s="811"/>
      <c r="AP12" s="811"/>
      <c r="AQ12" s="811"/>
      <c r="AR12" s="811"/>
      <c r="AS12" s="811"/>
      <c r="AT12" s="811"/>
      <c r="AU12" s="928">
        <f>50.94072232+2.742+3.983+2.009-2.803+2.04+6.51</f>
        <v>65.421722320000001</v>
      </c>
      <c r="AV12" s="817"/>
      <c r="AW12" s="820">
        <f>+O12-M12</f>
        <v>66.550722320000006</v>
      </c>
      <c r="AX12" s="820">
        <f>+AW12-BJ12</f>
        <v>64.72489032</v>
      </c>
      <c r="AY12" s="816">
        <f>+M12/0.466841</f>
        <v>0</v>
      </c>
      <c r="AZ12" s="817">
        <v>11.58</v>
      </c>
      <c r="BA12" s="817">
        <v>0</v>
      </c>
      <c r="BB12" s="818">
        <v>0</v>
      </c>
      <c r="BC12" s="798">
        <v>11.58</v>
      </c>
      <c r="BD12" s="801">
        <v>2.3097467999999997</v>
      </c>
      <c r="BE12" s="797">
        <v>0</v>
      </c>
      <c r="BF12" s="797">
        <v>1.1579999999999535E-2</v>
      </c>
      <c r="BG12" s="802">
        <v>5.1430000000000007</v>
      </c>
      <c r="BH12" s="798">
        <v>9.8634619999999992E-2</v>
      </c>
      <c r="BI12" s="803">
        <v>9.1999999999999993</v>
      </c>
      <c r="BJ12" s="803">
        <v>1.8258320000000001</v>
      </c>
      <c r="BK12" s="803">
        <v>5.6400000000000006</v>
      </c>
      <c r="BL12" s="803">
        <v>1.1193143999999999</v>
      </c>
      <c r="BM12" s="803">
        <v>8.02</v>
      </c>
      <c r="BN12" s="803">
        <v>1.5916492000000002</v>
      </c>
      <c r="BO12" s="804"/>
    </row>
    <row r="13" spans="1:67" s="798" customFormat="1" ht="15" customHeight="1" x14ac:dyDescent="0.25">
      <c r="A13" s="1085" t="s">
        <v>529</v>
      </c>
      <c r="B13" s="314" t="s">
        <v>431</v>
      </c>
      <c r="C13" s="1033">
        <v>97.772031032424906</v>
      </c>
      <c r="D13" s="196"/>
      <c r="E13" s="812">
        <f t="shared" si="3"/>
        <v>0</v>
      </c>
      <c r="F13" s="387">
        <f t="shared" si="0"/>
        <v>30162</v>
      </c>
      <c r="G13" s="928">
        <f t="shared" si="4"/>
        <v>2.9489999999999998</v>
      </c>
      <c r="H13" s="196">
        <f t="shared" si="5"/>
        <v>0</v>
      </c>
      <c r="I13" s="928">
        <f t="shared" si="6"/>
        <v>0</v>
      </c>
      <c r="J13" s="812"/>
      <c r="K13" s="812"/>
      <c r="L13" s="196"/>
      <c r="M13" s="812">
        <f t="shared" si="7"/>
        <v>0</v>
      </c>
      <c r="N13" s="196">
        <f t="shared" si="8"/>
        <v>30162</v>
      </c>
      <c r="O13" s="196">
        <f t="shared" si="9"/>
        <v>2.9489999999999998</v>
      </c>
      <c r="P13" s="813">
        <f t="shared" si="10"/>
        <v>0</v>
      </c>
      <c r="Q13" s="196">
        <f t="shared" si="11"/>
        <v>0</v>
      </c>
      <c r="R13" s="196"/>
      <c r="S13" s="196"/>
      <c r="T13" s="196"/>
      <c r="U13" s="196"/>
      <c r="V13" s="196">
        <f t="shared" si="1"/>
        <v>0</v>
      </c>
      <c r="W13" s="812">
        <f t="shared" si="2"/>
        <v>0</v>
      </c>
      <c r="X13" s="814"/>
      <c r="Y13" s="811">
        <v>30162</v>
      </c>
      <c r="Z13" s="811">
        <v>2.9489999999999998</v>
      </c>
      <c r="AA13" s="811">
        <v>9707</v>
      </c>
      <c r="AB13" s="811">
        <v>0.94907310523174859</v>
      </c>
      <c r="AC13" s="811"/>
      <c r="AD13" s="811"/>
      <c r="AE13" s="811">
        <v>30162</v>
      </c>
      <c r="AF13" s="811">
        <v>2.9489999999999998</v>
      </c>
      <c r="AG13" s="811">
        <v>9707</v>
      </c>
      <c r="AH13" s="811">
        <v>0.94899999999999995</v>
      </c>
      <c r="AI13" s="811"/>
      <c r="AJ13" s="811"/>
      <c r="AK13" s="811"/>
      <c r="AL13" s="811"/>
      <c r="AM13" s="811"/>
      <c r="AN13" s="811"/>
      <c r="AO13" s="811"/>
      <c r="AP13" s="811"/>
      <c r="AQ13" s="811"/>
      <c r="AR13" s="811"/>
      <c r="AS13" s="811"/>
      <c r="AT13" s="811"/>
      <c r="AU13" s="928">
        <f>2+0.949</f>
        <v>2.9489999999999998</v>
      </c>
      <c r="AV13" s="817"/>
      <c r="AW13" s="820"/>
      <c r="AX13" s="820"/>
      <c r="AY13" s="816"/>
      <c r="AZ13" s="817"/>
      <c r="BA13" s="817"/>
      <c r="BB13" s="818"/>
      <c r="BD13" s="801"/>
      <c r="BE13" s="797"/>
      <c r="BF13" s="797"/>
      <c r="BG13" s="802"/>
      <c r="BI13" s="803"/>
      <c r="BJ13" s="803"/>
      <c r="BK13" s="803"/>
      <c r="BL13" s="803"/>
      <c r="BM13" s="803"/>
      <c r="BN13" s="803"/>
      <c r="BO13" s="804"/>
    </row>
    <row r="14" spans="1:67" s="798" customFormat="1" ht="15" customHeight="1" x14ac:dyDescent="0.25">
      <c r="A14" s="1087" t="s">
        <v>549</v>
      </c>
      <c r="B14" s="314" t="s">
        <v>431</v>
      </c>
      <c r="C14" s="1033">
        <v>91.306321898502574</v>
      </c>
      <c r="D14" s="196"/>
      <c r="E14" s="812">
        <f t="shared" si="3"/>
        <v>0</v>
      </c>
      <c r="F14" s="387">
        <f t="shared" si="0"/>
        <v>457624</v>
      </c>
      <c r="G14" s="928">
        <f t="shared" si="4"/>
        <v>41.783964252480345</v>
      </c>
      <c r="H14" s="196">
        <f t="shared" si="5"/>
        <v>0</v>
      </c>
      <c r="I14" s="928">
        <f t="shared" si="6"/>
        <v>0</v>
      </c>
      <c r="J14" s="812"/>
      <c r="K14" s="812"/>
      <c r="L14" s="196"/>
      <c r="M14" s="812">
        <f t="shared" si="7"/>
        <v>0</v>
      </c>
      <c r="N14" s="196">
        <f t="shared" si="8"/>
        <v>451653</v>
      </c>
      <c r="O14" s="196">
        <f t="shared" si="9"/>
        <v>41.238774204424388</v>
      </c>
      <c r="P14" s="813">
        <f t="shared" si="10"/>
        <v>0</v>
      </c>
      <c r="Q14" s="196">
        <f t="shared" si="11"/>
        <v>0</v>
      </c>
      <c r="R14" s="196">
        <v>2400</v>
      </c>
      <c r="S14" s="196">
        <v>0.219</v>
      </c>
      <c r="T14" s="196"/>
      <c r="U14" s="196"/>
      <c r="V14" s="196">
        <f t="shared" si="1"/>
        <v>3571</v>
      </c>
      <c r="W14" s="812">
        <f t="shared" si="2"/>
        <v>0.3261900480559573</v>
      </c>
      <c r="X14" s="814"/>
      <c r="Y14" s="811">
        <v>457624</v>
      </c>
      <c r="Z14" s="811">
        <v>41.783964252480345</v>
      </c>
      <c r="AA14" s="811">
        <v>295451</v>
      </c>
      <c r="AB14" s="811">
        <v>26.976544111234482</v>
      </c>
      <c r="AC14" s="811"/>
      <c r="AD14" s="811"/>
      <c r="AE14" s="811">
        <v>451653</v>
      </c>
      <c r="AF14" s="811">
        <v>41.238774204424388</v>
      </c>
      <c r="AG14" s="811">
        <v>348187</v>
      </c>
      <c r="AH14" s="811">
        <v>32.334774204424384</v>
      </c>
      <c r="AI14" s="811">
        <v>2400</v>
      </c>
      <c r="AJ14" s="811">
        <v>0.219</v>
      </c>
      <c r="AK14" s="811"/>
      <c r="AL14" s="811"/>
      <c r="AM14" s="811"/>
      <c r="AN14" s="811"/>
      <c r="AO14" s="811"/>
      <c r="AP14" s="811"/>
      <c r="AQ14" s="811"/>
      <c r="AR14" s="811"/>
      <c r="AS14" s="811"/>
      <c r="AT14" s="811"/>
      <c r="AU14" s="928">
        <f>8.904+5.08+1.46+3.187+1.982+2.922+6.773</f>
        <v>30.308</v>
      </c>
      <c r="AV14" s="817"/>
      <c r="AW14" s="820"/>
      <c r="AX14" s="820"/>
      <c r="AY14" s="816"/>
      <c r="AZ14" s="817"/>
      <c r="BA14" s="817"/>
      <c r="BB14" s="818"/>
      <c r="BD14" s="801"/>
      <c r="BE14" s="797"/>
      <c r="BF14" s="797"/>
      <c r="BG14" s="802"/>
      <c r="BI14" s="803"/>
      <c r="BJ14" s="803"/>
      <c r="BK14" s="803"/>
      <c r="BL14" s="803"/>
      <c r="BM14" s="803"/>
      <c r="BN14" s="803"/>
      <c r="BO14" s="804"/>
    </row>
    <row r="15" spans="1:67" s="798" customFormat="1" ht="15" customHeight="1" x14ac:dyDescent="0.25">
      <c r="A15" s="1087" t="s">
        <v>550</v>
      </c>
      <c r="B15" s="314" t="s">
        <v>495</v>
      </c>
      <c r="C15" s="1033">
        <v>123.87737367116758</v>
      </c>
      <c r="D15" s="196"/>
      <c r="E15" s="812">
        <f t="shared" si="3"/>
        <v>0</v>
      </c>
      <c r="F15" s="387">
        <f t="shared" si="0"/>
        <v>1276827</v>
      </c>
      <c r="G15" s="928">
        <f t="shared" si="4"/>
        <v>158.16997539243587</v>
      </c>
      <c r="H15" s="196">
        <f t="shared" si="5"/>
        <v>0</v>
      </c>
      <c r="I15" s="928">
        <f t="shared" si="6"/>
        <v>0</v>
      </c>
      <c r="J15" s="812"/>
      <c r="K15" s="812"/>
      <c r="L15" s="821"/>
      <c r="M15" s="812">
        <f t="shared" si="7"/>
        <v>0</v>
      </c>
      <c r="N15" s="196">
        <f t="shared" si="8"/>
        <v>1274622</v>
      </c>
      <c r="O15" s="196">
        <f t="shared" si="9"/>
        <v>157.89682578349095</v>
      </c>
      <c r="P15" s="813">
        <f t="shared" si="10"/>
        <v>0</v>
      </c>
      <c r="Q15" s="196">
        <f t="shared" si="11"/>
        <v>0</v>
      </c>
      <c r="R15" s="196"/>
      <c r="S15" s="196"/>
      <c r="T15" s="196"/>
      <c r="U15" s="196"/>
      <c r="V15" s="196">
        <f t="shared" si="1"/>
        <v>2205</v>
      </c>
      <c r="W15" s="812">
        <f t="shared" si="2"/>
        <v>0.27314960894491946</v>
      </c>
      <c r="X15" s="837"/>
      <c r="Y15" s="1005">
        <v>1276827</v>
      </c>
      <c r="Z15" s="1005">
        <v>158.16997539243587</v>
      </c>
      <c r="AA15" s="1005">
        <v>756398</v>
      </c>
      <c r="AB15" s="1005">
        <v>93.700597690123814</v>
      </c>
      <c r="AC15" s="1005"/>
      <c r="AD15" s="1005"/>
      <c r="AE15" s="1005">
        <v>1274622</v>
      </c>
      <c r="AF15" s="1005">
        <v>157.89682578349095</v>
      </c>
      <c r="AG15" s="1005">
        <v>860769</v>
      </c>
      <c r="AH15" s="1005">
        <v>108.313825783491</v>
      </c>
      <c r="AI15" s="1005"/>
      <c r="AJ15" s="1005"/>
      <c r="AK15" s="1005"/>
      <c r="AL15" s="1005"/>
      <c r="AM15" s="1005"/>
      <c r="AN15" s="1005"/>
      <c r="AO15" s="1005"/>
      <c r="AP15" s="1005"/>
      <c r="AQ15" s="1005"/>
      <c r="AR15" s="1005"/>
      <c r="AS15" s="1005"/>
      <c r="AT15" s="1005"/>
      <c r="AU15" s="928">
        <f>49.583+20.823+7.03+16.548+14.052+8.903+5.165+9.733</f>
        <v>131.83700000000002</v>
      </c>
      <c r="AV15" s="817"/>
      <c r="AW15" s="820"/>
      <c r="AX15" s="820"/>
      <c r="AY15" s="816"/>
      <c r="AZ15" s="817"/>
      <c r="BA15" s="817"/>
      <c r="BB15" s="818"/>
      <c r="BD15" s="801"/>
      <c r="BE15" s="797"/>
      <c r="BF15" s="797"/>
      <c r="BG15" s="802"/>
      <c r="BI15" s="803"/>
      <c r="BJ15" s="803"/>
      <c r="BK15" s="803"/>
      <c r="BL15" s="803"/>
      <c r="BM15" s="803"/>
      <c r="BN15" s="803"/>
      <c r="BO15" s="804"/>
    </row>
    <row r="16" spans="1:67" s="457" customFormat="1" ht="15" customHeight="1" x14ac:dyDescent="0.25">
      <c r="A16" s="1086" t="s">
        <v>486</v>
      </c>
      <c r="B16" s="314" t="s">
        <v>476</v>
      </c>
      <c r="C16" s="1033">
        <v>25571.347895887888</v>
      </c>
      <c r="D16" s="196">
        <v>0</v>
      </c>
      <c r="E16" s="812">
        <f t="shared" si="3"/>
        <v>0</v>
      </c>
      <c r="F16" s="387">
        <f t="shared" si="0"/>
        <v>6932.2849999999989</v>
      </c>
      <c r="G16" s="928">
        <f t="shared" si="4"/>
        <v>177.26787144844513</v>
      </c>
      <c r="H16" s="196">
        <f t="shared" si="5"/>
        <v>0</v>
      </c>
      <c r="I16" s="928">
        <f t="shared" si="6"/>
        <v>0</v>
      </c>
      <c r="J16" s="812">
        <f>181+14.7+150.5</f>
        <v>346.2</v>
      </c>
      <c r="K16" s="812">
        <f>4.92+4.4397</f>
        <v>9.3597000000000001</v>
      </c>
      <c r="L16" s="196">
        <v>22</v>
      </c>
      <c r="M16" s="812">
        <f t="shared" si="7"/>
        <v>0.56256965370953349</v>
      </c>
      <c r="N16" s="196">
        <f t="shared" si="8"/>
        <v>6954.11</v>
      </c>
      <c r="O16" s="196">
        <f t="shared" si="9"/>
        <v>177.82596611627292</v>
      </c>
      <c r="P16" s="813">
        <f t="shared" si="10"/>
        <v>22</v>
      </c>
      <c r="Q16" s="196">
        <f t="shared" si="11"/>
        <v>0.56256965370953349</v>
      </c>
      <c r="R16" s="196">
        <f>54+7.025+250</f>
        <v>311.02499999999998</v>
      </c>
      <c r="S16" s="812">
        <f>(R16*C16)/1000000</f>
        <v>7.9533284793185297</v>
      </c>
      <c r="T16" s="812"/>
      <c r="U16" s="812"/>
      <c r="V16" s="196">
        <f t="shared" si="1"/>
        <v>13.349999999999113</v>
      </c>
      <c r="W16" s="812">
        <f t="shared" si="2"/>
        <v>0.8482768528536857</v>
      </c>
      <c r="X16" s="814"/>
      <c r="Y16" s="811">
        <v>6932.2849999999989</v>
      </c>
      <c r="Z16" s="811">
        <v>177.26787144844513</v>
      </c>
      <c r="AA16" s="811">
        <v>367.06499999999949</v>
      </c>
      <c r="AB16" s="811">
        <v>9.3863468154040746</v>
      </c>
      <c r="AC16" s="811">
        <v>346.2</v>
      </c>
      <c r="AD16" s="811">
        <v>9.3597000000000001</v>
      </c>
      <c r="AE16" s="811">
        <v>6932.11</v>
      </c>
      <c r="AF16" s="811">
        <v>177.26339646256338</v>
      </c>
      <c r="AG16" s="811">
        <v>1802.1100000000001</v>
      </c>
      <c r="AH16" s="811">
        <v>47.392396462563383</v>
      </c>
      <c r="AI16" s="811">
        <v>311.02499999999998</v>
      </c>
      <c r="AJ16" s="811">
        <v>11.196899999999999</v>
      </c>
      <c r="AK16" s="811"/>
      <c r="AL16" s="811"/>
      <c r="AM16" s="811"/>
      <c r="AN16" s="811"/>
      <c r="AO16" s="811"/>
      <c r="AP16" s="811"/>
      <c r="AQ16" s="811"/>
      <c r="AR16" s="811"/>
      <c r="AS16" s="811"/>
      <c r="AT16" s="811"/>
      <c r="AU16" s="928">
        <f>129.871-11.844+8.676+13.781+10.087+3.21-3.433+6.602+4.779</f>
        <v>161.72900000000001</v>
      </c>
      <c r="AV16" s="817"/>
      <c r="AW16" s="820"/>
      <c r="AX16" s="820"/>
      <c r="AY16" s="816"/>
      <c r="AZ16" s="817"/>
      <c r="BA16" s="817"/>
      <c r="BB16" s="818"/>
      <c r="BD16" s="509"/>
      <c r="BE16" s="755"/>
      <c r="BF16" s="755"/>
      <c r="BG16" s="756"/>
      <c r="BI16" s="757"/>
      <c r="BJ16" s="757"/>
      <c r="BK16" s="757"/>
      <c r="BL16" s="757"/>
      <c r="BM16" s="757"/>
      <c r="BN16" s="757"/>
      <c r="BO16" s="758"/>
    </row>
    <row r="17" spans="1:67" s="798" customFormat="1" ht="15" customHeight="1" x14ac:dyDescent="0.25">
      <c r="A17" s="1085" t="s">
        <v>487</v>
      </c>
      <c r="B17" s="314" t="s">
        <v>431</v>
      </c>
      <c r="C17" s="1033">
        <v>161.74615693431696</v>
      </c>
      <c r="D17" s="196"/>
      <c r="E17" s="812">
        <f t="shared" si="3"/>
        <v>0</v>
      </c>
      <c r="F17" s="387">
        <f t="shared" si="0"/>
        <v>354177</v>
      </c>
      <c r="G17" s="928">
        <f t="shared" si="4"/>
        <v>57.286768624525578</v>
      </c>
      <c r="H17" s="196">
        <f t="shared" si="5"/>
        <v>0</v>
      </c>
      <c r="I17" s="928">
        <f t="shared" si="6"/>
        <v>0</v>
      </c>
      <c r="J17" s="812"/>
      <c r="K17" s="812"/>
      <c r="L17" s="841"/>
      <c r="M17" s="812">
        <f t="shared" si="7"/>
        <v>0</v>
      </c>
      <c r="N17" s="196">
        <f t="shared" si="8"/>
        <v>354177</v>
      </c>
      <c r="O17" s="196">
        <f t="shared" si="9"/>
        <v>57.286768624525578</v>
      </c>
      <c r="P17" s="813">
        <f t="shared" si="10"/>
        <v>0</v>
      </c>
      <c r="Q17" s="196">
        <f t="shared" si="11"/>
        <v>0</v>
      </c>
      <c r="R17" s="196"/>
      <c r="S17" s="196"/>
      <c r="T17" s="196"/>
      <c r="U17" s="196"/>
      <c r="V17" s="196">
        <f t="shared" si="1"/>
        <v>0</v>
      </c>
      <c r="W17" s="812">
        <f t="shared" si="2"/>
        <v>0</v>
      </c>
      <c r="X17" s="814"/>
      <c r="Y17" s="811">
        <v>354177</v>
      </c>
      <c r="Z17" s="811">
        <v>57.286768624525578</v>
      </c>
      <c r="AA17" s="811">
        <v>102985</v>
      </c>
      <c r="AB17" s="811">
        <v>16.657427971880633</v>
      </c>
      <c r="AC17" s="811"/>
      <c r="AD17" s="811"/>
      <c r="AE17" s="811">
        <v>354177</v>
      </c>
      <c r="AF17" s="811">
        <v>57.286768624525578</v>
      </c>
      <c r="AG17" s="811">
        <v>107485</v>
      </c>
      <c r="AH17" s="811">
        <v>22.845768624525576</v>
      </c>
      <c r="AI17" s="811"/>
      <c r="AJ17" s="811"/>
      <c r="AK17" s="811"/>
      <c r="AL17" s="811"/>
      <c r="AM17" s="811"/>
      <c r="AN17" s="811"/>
      <c r="AO17" s="811"/>
      <c r="AP17" s="811"/>
      <c r="AQ17" s="811"/>
      <c r="AR17" s="811"/>
      <c r="AS17" s="811"/>
      <c r="AT17" s="811"/>
      <c r="AU17" s="928">
        <f>34.441+7.152+5.22+3.723+2.458+8.46-6</f>
        <v>55.454000000000001</v>
      </c>
      <c r="AV17" s="817"/>
      <c r="AW17" s="820"/>
      <c r="AX17" s="820"/>
      <c r="AY17" s="816"/>
      <c r="AZ17" s="817"/>
      <c r="BA17" s="817"/>
      <c r="BB17" s="818"/>
      <c r="BD17" s="801"/>
      <c r="BE17" s="797"/>
      <c r="BF17" s="797"/>
      <c r="BG17" s="802"/>
      <c r="BI17" s="803"/>
      <c r="BJ17" s="803"/>
      <c r="BK17" s="803"/>
      <c r="BL17" s="803"/>
      <c r="BM17" s="803"/>
      <c r="BN17" s="803"/>
      <c r="BO17" s="804"/>
    </row>
    <row r="18" spans="1:67" s="798" customFormat="1" ht="15" customHeight="1" x14ac:dyDescent="0.25">
      <c r="A18" s="1085" t="s">
        <v>386</v>
      </c>
      <c r="B18" s="314" t="s">
        <v>431</v>
      </c>
      <c r="C18" s="1033">
        <v>66.8</v>
      </c>
      <c r="D18" s="196"/>
      <c r="E18" s="812">
        <f t="shared" si="3"/>
        <v>0</v>
      </c>
      <c r="F18" s="387">
        <f t="shared" si="0"/>
        <v>1090</v>
      </c>
      <c r="G18" s="928">
        <f t="shared" si="4"/>
        <v>7.2812000000000002E-2</v>
      </c>
      <c r="H18" s="196">
        <f t="shared" si="5"/>
        <v>0</v>
      </c>
      <c r="I18" s="928">
        <f t="shared" si="6"/>
        <v>0</v>
      </c>
      <c r="J18" s="812"/>
      <c r="K18" s="812"/>
      <c r="L18" s="196"/>
      <c r="M18" s="812">
        <f t="shared" si="7"/>
        <v>0</v>
      </c>
      <c r="N18" s="196">
        <f t="shared" si="8"/>
        <v>1090</v>
      </c>
      <c r="O18" s="196">
        <f t="shared" si="9"/>
        <v>7.2812000000000002E-2</v>
      </c>
      <c r="P18" s="813">
        <f t="shared" si="10"/>
        <v>0</v>
      </c>
      <c r="Q18" s="196">
        <f t="shared" si="11"/>
        <v>0</v>
      </c>
      <c r="R18" s="196"/>
      <c r="S18" s="196"/>
      <c r="T18" s="196"/>
      <c r="U18" s="196"/>
      <c r="V18" s="196">
        <f t="shared" si="1"/>
        <v>0</v>
      </c>
      <c r="W18" s="812">
        <f t="shared" si="2"/>
        <v>0</v>
      </c>
      <c r="X18" s="814"/>
      <c r="Y18" s="811">
        <v>1090</v>
      </c>
      <c r="Z18" s="811">
        <v>7.2812000000000002E-2</v>
      </c>
      <c r="AA18" s="811">
        <v>0</v>
      </c>
      <c r="AB18" s="811">
        <v>0</v>
      </c>
      <c r="AC18" s="811"/>
      <c r="AD18" s="811"/>
      <c r="AE18" s="811">
        <v>1090</v>
      </c>
      <c r="AF18" s="811">
        <v>7.2812000000000002E-2</v>
      </c>
      <c r="AG18" s="811">
        <v>0</v>
      </c>
      <c r="AH18" s="811">
        <v>0</v>
      </c>
      <c r="AI18" s="811"/>
      <c r="AJ18" s="811"/>
      <c r="AK18" s="811"/>
      <c r="AL18" s="811"/>
      <c r="AM18" s="811"/>
      <c r="AN18" s="811"/>
      <c r="AO18" s="811"/>
      <c r="AP18" s="811"/>
      <c r="AQ18" s="811"/>
      <c r="AR18" s="811"/>
      <c r="AS18" s="811"/>
      <c r="AT18" s="811"/>
      <c r="AU18" s="928">
        <v>7.2812000000000002E-2</v>
      </c>
      <c r="AV18" s="817"/>
      <c r="AW18" s="820"/>
      <c r="AX18" s="820"/>
      <c r="AY18" s="816"/>
      <c r="AZ18" s="817"/>
      <c r="BA18" s="817"/>
      <c r="BB18" s="818"/>
      <c r="BD18" s="801"/>
      <c r="BE18" s="797"/>
      <c r="BF18" s="797"/>
      <c r="BG18" s="802"/>
      <c r="BI18" s="803"/>
      <c r="BJ18" s="803"/>
      <c r="BK18" s="803"/>
      <c r="BL18" s="803"/>
      <c r="BM18" s="803"/>
      <c r="BN18" s="803"/>
      <c r="BO18" s="804"/>
    </row>
    <row r="19" spans="1:67" s="798" customFormat="1" ht="15" customHeight="1" x14ac:dyDescent="0.25">
      <c r="A19" s="1085" t="s">
        <v>488</v>
      </c>
      <c r="B19" s="314" t="s">
        <v>431</v>
      </c>
      <c r="C19" s="1033">
        <v>28.554946639746177</v>
      </c>
      <c r="D19" s="196"/>
      <c r="E19" s="812">
        <f t="shared" si="3"/>
        <v>0</v>
      </c>
      <c r="F19" s="387">
        <f t="shared" si="0"/>
        <v>520050</v>
      </c>
      <c r="G19" s="928">
        <f t="shared" si="4"/>
        <v>14.85</v>
      </c>
      <c r="H19" s="196">
        <f t="shared" si="5"/>
        <v>0</v>
      </c>
      <c r="I19" s="928">
        <f t="shared" si="6"/>
        <v>0</v>
      </c>
      <c r="J19" s="812"/>
      <c r="K19" s="812"/>
      <c r="L19" s="821"/>
      <c r="M19" s="812">
        <f t="shared" si="7"/>
        <v>0</v>
      </c>
      <c r="N19" s="196">
        <f t="shared" si="8"/>
        <v>520050</v>
      </c>
      <c r="O19" s="196">
        <f t="shared" si="9"/>
        <v>14.85</v>
      </c>
      <c r="P19" s="813">
        <f t="shared" si="10"/>
        <v>0</v>
      </c>
      <c r="Q19" s="196">
        <f t="shared" si="11"/>
        <v>0</v>
      </c>
      <c r="R19" s="196"/>
      <c r="S19" s="196"/>
      <c r="T19" s="196"/>
      <c r="U19" s="196"/>
      <c r="V19" s="196">
        <f t="shared" si="1"/>
        <v>0</v>
      </c>
      <c r="W19" s="812">
        <f t="shared" si="2"/>
        <v>0</v>
      </c>
      <c r="X19" s="814"/>
      <c r="Y19" s="811">
        <v>520050</v>
      </c>
      <c r="Z19" s="811">
        <v>14.85</v>
      </c>
      <c r="AA19" s="811">
        <v>134874</v>
      </c>
      <c r="AB19" s="811">
        <v>3.851319873089126</v>
      </c>
      <c r="AC19" s="811"/>
      <c r="AD19" s="811"/>
      <c r="AE19" s="811">
        <v>520050</v>
      </c>
      <c r="AF19" s="811">
        <v>14.85</v>
      </c>
      <c r="AG19" s="811">
        <v>183020</v>
      </c>
      <c r="AH19" s="811">
        <v>4.7590000000000003</v>
      </c>
      <c r="AI19" s="811"/>
      <c r="AJ19" s="811"/>
      <c r="AK19" s="811"/>
      <c r="AL19" s="811"/>
      <c r="AM19" s="811"/>
      <c r="AN19" s="811"/>
      <c r="AO19" s="811"/>
      <c r="AP19" s="811"/>
      <c r="AQ19" s="811"/>
      <c r="AR19" s="811"/>
      <c r="AS19" s="811"/>
      <c r="AT19" s="811"/>
      <c r="AU19" s="928">
        <f>10.091+0.929+0.095+3.735</f>
        <v>14.85</v>
      </c>
      <c r="AV19" s="817"/>
      <c r="AW19" s="820">
        <v>26200</v>
      </c>
      <c r="AX19" s="820"/>
      <c r="AY19" s="816"/>
      <c r="AZ19" s="817"/>
      <c r="BA19" s="817"/>
      <c r="BB19" s="818"/>
      <c r="BD19" s="801"/>
      <c r="BE19" s="797"/>
      <c r="BF19" s="797"/>
      <c r="BG19" s="802"/>
      <c r="BI19" s="803"/>
      <c r="BJ19" s="803"/>
      <c r="BK19" s="803"/>
      <c r="BL19" s="803"/>
      <c r="BM19" s="803"/>
      <c r="BN19" s="803"/>
      <c r="BO19" s="804"/>
    </row>
    <row r="20" spans="1:67" s="798" customFormat="1" ht="15" customHeight="1" x14ac:dyDescent="0.25">
      <c r="A20" s="809" t="s">
        <v>489</v>
      </c>
      <c r="B20" s="810" t="s">
        <v>480</v>
      </c>
      <c r="C20" s="1033">
        <v>17.300396744953808</v>
      </c>
      <c r="D20" s="196"/>
      <c r="E20" s="812">
        <f t="shared" si="3"/>
        <v>0</v>
      </c>
      <c r="F20" s="387">
        <f t="shared" si="0"/>
        <v>358235</v>
      </c>
      <c r="G20" s="928">
        <f t="shared" si="4"/>
        <v>6.1976076279285275</v>
      </c>
      <c r="H20" s="196">
        <f t="shared" si="5"/>
        <v>0</v>
      </c>
      <c r="I20" s="928">
        <f t="shared" si="6"/>
        <v>0</v>
      </c>
      <c r="J20" s="812"/>
      <c r="K20" s="812"/>
      <c r="L20" s="821"/>
      <c r="M20" s="812">
        <f t="shared" si="7"/>
        <v>0</v>
      </c>
      <c r="N20" s="196">
        <f t="shared" si="8"/>
        <v>358235</v>
      </c>
      <c r="O20" s="196">
        <f t="shared" si="9"/>
        <v>6.1976076279285275</v>
      </c>
      <c r="P20" s="813">
        <f t="shared" si="10"/>
        <v>0</v>
      </c>
      <c r="Q20" s="196">
        <f t="shared" si="11"/>
        <v>0</v>
      </c>
      <c r="R20" s="196"/>
      <c r="S20" s="196"/>
      <c r="T20" s="196"/>
      <c r="U20" s="196"/>
      <c r="V20" s="196">
        <f t="shared" si="1"/>
        <v>0</v>
      </c>
      <c r="W20" s="812">
        <f t="shared" si="2"/>
        <v>0</v>
      </c>
      <c r="X20" s="814"/>
      <c r="Y20" s="811">
        <v>358235</v>
      </c>
      <c r="Z20" s="811">
        <v>6.1976076279285275</v>
      </c>
      <c r="AA20" s="811">
        <v>11000</v>
      </c>
      <c r="AB20" s="811">
        <v>0.19030436419449187</v>
      </c>
      <c r="AC20" s="811"/>
      <c r="AD20" s="811"/>
      <c r="AE20" s="811">
        <v>358235</v>
      </c>
      <c r="AF20" s="811">
        <v>6.1976076279285275</v>
      </c>
      <c r="AG20" s="811">
        <v>23125</v>
      </c>
      <c r="AH20" s="811">
        <v>0.403607627928528</v>
      </c>
      <c r="AI20" s="811"/>
      <c r="AJ20" s="811"/>
      <c r="AK20" s="811"/>
      <c r="AL20" s="811"/>
      <c r="AM20" s="811"/>
      <c r="AN20" s="811"/>
      <c r="AO20" s="811"/>
      <c r="AP20" s="811"/>
      <c r="AQ20" s="811"/>
      <c r="AR20" s="811"/>
      <c r="AS20" s="811"/>
      <c r="AT20" s="811"/>
      <c r="AU20" s="928">
        <f>5.794+0.18</f>
        <v>5.9739999999999993</v>
      </c>
      <c r="AV20" s="817"/>
      <c r="AW20" s="820">
        <v>6075.5</v>
      </c>
      <c r="AX20" s="820"/>
      <c r="AY20" s="816"/>
      <c r="AZ20" s="817"/>
      <c r="BA20" s="817"/>
      <c r="BB20" s="818"/>
      <c r="BD20" s="801"/>
      <c r="BE20" s="797"/>
      <c r="BF20" s="797"/>
      <c r="BG20" s="802"/>
      <c r="BI20" s="803"/>
      <c r="BJ20" s="803"/>
      <c r="BK20" s="803"/>
      <c r="BL20" s="803"/>
      <c r="BM20" s="803"/>
      <c r="BN20" s="803"/>
      <c r="BO20" s="804"/>
    </row>
    <row r="21" spans="1:67" s="798" customFormat="1" ht="15" customHeight="1" x14ac:dyDescent="0.25">
      <c r="A21" s="809" t="s">
        <v>589</v>
      </c>
      <c r="B21" s="810" t="s">
        <v>480</v>
      </c>
      <c r="C21" s="1033">
        <v>12</v>
      </c>
      <c r="D21" s="196"/>
      <c r="E21" s="812">
        <f t="shared" si="3"/>
        <v>0</v>
      </c>
      <c r="F21" s="387">
        <f t="shared" si="0"/>
        <v>1500</v>
      </c>
      <c r="G21" s="928">
        <f t="shared" si="4"/>
        <v>1.7999999999999999E-2</v>
      </c>
      <c r="H21" s="196">
        <f t="shared" si="5"/>
        <v>0</v>
      </c>
      <c r="I21" s="928">
        <f t="shared" si="6"/>
        <v>0</v>
      </c>
      <c r="J21" s="812"/>
      <c r="K21" s="812"/>
      <c r="L21" s="196"/>
      <c r="M21" s="812">
        <f t="shared" si="7"/>
        <v>0</v>
      </c>
      <c r="N21" s="196">
        <f t="shared" si="8"/>
        <v>1500</v>
      </c>
      <c r="O21" s="196">
        <f t="shared" si="9"/>
        <v>1.7999999999999999E-2</v>
      </c>
      <c r="P21" s="813">
        <f t="shared" si="10"/>
        <v>0</v>
      </c>
      <c r="Q21" s="196">
        <f t="shared" si="11"/>
        <v>0</v>
      </c>
      <c r="R21" s="196"/>
      <c r="S21" s="196"/>
      <c r="T21" s="196"/>
      <c r="U21" s="196"/>
      <c r="V21" s="196">
        <f t="shared" si="1"/>
        <v>0</v>
      </c>
      <c r="W21" s="812">
        <f t="shared" si="2"/>
        <v>0</v>
      </c>
      <c r="X21" s="814"/>
      <c r="Y21" s="811">
        <v>1500</v>
      </c>
      <c r="Z21" s="811">
        <v>1.7999999999999999E-2</v>
      </c>
      <c r="AA21" s="811">
        <v>0</v>
      </c>
      <c r="AB21" s="811">
        <v>0</v>
      </c>
      <c r="AC21" s="811"/>
      <c r="AD21" s="811"/>
      <c r="AE21" s="811">
        <v>1500</v>
      </c>
      <c r="AF21" s="811">
        <v>1.7999999999999999E-2</v>
      </c>
      <c r="AG21" s="811">
        <v>0</v>
      </c>
      <c r="AH21" s="811">
        <v>0</v>
      </c>
      <c r="AI21" s="811"/>
      <c r="AJ21" s="811"/>
      <c r="AK21" s="811"/>
      <c r="AL21" s="811"/>
      <c r="AM21" s="811"/>
      <c r="AN21" s="811"/>
      <c r="AO21" s="811"/>
      <c r="AP21" s="811"/>
      <c r="AQ21" s="811"/>
      <c r="AR21" s="811"/>
      <c r="AS21" s="811"/>
      <c r="AT21" s="811"/>
      <c r="AU21" s="928">
        <v>1.7999999999999999E-2</v>
      </c>
      <c r="AV21" s="817"/>
      <c r="AW21" s="820">
        <f>AW20*AW20</f>
        <v>36911700.25</v>
      </c>
      <c r="AX21" s="820"/>
      <c r="AY21" s="816"/>
      <c r="AZ21" s="817"/>
      <c r="BA21" s="817"/>
      <c r="BB21" s="818"/>
      <c r="BD21" s="801"/>
      <c r="BE21" s="797"/>
      <c r="BF21" s="797"/>
      <c r="BG21" s="802"/>
      <c r="BI21" s="803"/>
      <c r="BJ21" s="803"/>
      <c r="BK21" s="803"/>
      <c r="BL21" s="803"/>
      <c r="BM21" s="803"/>
      <c r="BN21" s="803"/>
      <c r="BO21" s="804"/>
    </row>
    <row r="22" spans="1:67" ht="15" customHeight="1" x14ac:dyDescent="0.25">
      <c r="A22" s="809" t="s">
        <v>490</v>
      </c>
      <c r="B22" s="55" t="s">
        <v>431</v>
      </c>
      <c r="C22" s="1033">
        <v>87.81557519209305</v>
      </c>
      <c r="D22" s="59"/>
      <c r="E22" s="812">
        <f t="shared" si="3"/>
        <v>0</v>
      </c>
      <c r="F22" s="387">
        <f t="shared" si="0"/>
        <v>9291.07</v>
      </c>
      <c r="G22" s="928">
        <f t="shared" si="4"/>
        <v>0.81590065619999996</v>
      </c>
      <c r="H22" s="196">
        <f t="shared" si="5"/>
        <v>0</v>
      </c>
      <c r="I22" s="928">
        <f t="shared" si="6"/>
        <v>0</v>
      </c>
      <c r="J22" s="221"/>
      <c r="K22" s="221"/>
      <c r="L22" s="59"/>
      <c r="M22" s="812">
        <f t="shared" si="7"/>
        <v>0</v>
      </c>
      <c r="N22" s="196">
        <f t="shared" si="8"/>
        <v>9291.07</v>
      </c>
      <c r="O22" s="196">
        <f t="shared" si="9"/>
        <v>0.81590065619999996</v>
      </c>
      <c r="P22" s="813">
        <f t="shared" si="10"/>
        <v>0</v>
      </c>
      <c r="Q22" s="196">
        <f t="shared" si="11"/>
        <v>0</v>
      </c>
      <c r="R22" s="59"/>
      <c r="S22" s="59"/>
      <c r="T22" s="59"/>
      <c r="U22" s="59"/>
      <c r="V22" s="196">
        <f t="shared" si="1"/>
        <v>0</v>
      </c>
      <c r="W22" s="812">
        <f t="shared" si="2"/>
        <v>0</v>
      </c>
      <c r="X22" s="274"/>
      <c r="Y22" s="1006">
        <v>9291.07</v>
      </c>
      <c r="Z22" s="1006">
        <v>0.81590065619999996</v>
      </c>
      <c r="AA22" s="1006">
        <v>0</v>
      </c>
      <c r="AB22" s="1006">
        <v>0</v>
      </c>
      <c r="AC22" s="1006"/>
      <c r="AD22" s="1006"/>
      <c r="AE22" s="1006">
        <v>9291.07</v>
      </c>
      <c r="AF22" s="1006">
        <v>0.81590065619999996</v>
      </c>
      <c r="AG22" s="1006">
        <v>0</v>
      </c>
      <c r="AH22" s="1006">
        <v>0</v>
      </c>
      <c r="AI22" s="1006"/>
      <c r="AJ22" s="1006"/>
      <c r="AK22" s="1006"/>
      <c r="AL22" s="1006"/>
      <c r="AM22" s="1006"/>
      <c r="AN22" s="1006"/>
      <c r="AO22" s="1006"/>
      <c r="AP22" s="1006"/>
      <c r="AQ22" s="1006"/>
      <c r="AR22" s="1006"/>
      <c r="AS22" s="1006"/>
      <c r="AT22" s="1006"/>
      <c r="AU22" s="929">
        <f>0.8159006562</f>
        <v>0.81590065619999996</v>
      </c>
      <c r="AW22" s="524">
        <f>AW21/1000000</f>
        <v>36.911700250000003</v>
      </c>
      <c r="AX22" s="524"/>
      <c r="AZ22" s="148"/>
      <c r="BA22" s="148"/>
      <c r="BB22" s="77"/>
      <c r="BC22" s="455"/>
      <c r="BD22" s="456"/>
      <c r="BE22" s="460"/>
      <c r="BF22" s="460"/>
      <c r="BG22" s="424"/>
      <c r="BI22" s="458"/>
      <c r="BJ22" s="458"/>
      <c r="BK22" s="458"/>
      <c r="BL22" s="458"/>
      <c r="BM22" s="458"/>
      <c r="BN22" s="458"/>
      <c r="BO22" s="468"/>
    </row>
    <row r="23" spans="1:67" ht="15" customHeight="1" x14ac:dyDescent="0.25">
      <c r="A23" s="809" t="s">
        <v>491</v>
      </c>
      <c r="B23" s="55" t="s">
        <v>493</v>
      </c>
      <c r="C23" s="1033">
        <v>1712.6050420168069</v>
      </c>
      <c r="D23" s="59"/>
      <c r="E23" s="812">
        <f t="shared" si="3"/>
        <v>0</v>
      </c>
      <c r="F23" s="387">
        <f t="shared" si="0"/>
        <v>1260</v>
      </c>
      <c r="G23" s="928">
        <f t="shared" si="4"/>
        <v>2.157882352941177</v>
      </c>
      <c r="H23" s="196">
        <f t="shared" si="5"/>
        <v>0</v>
      </c>
      <c r="I23" s="928">
        <f t="shared" si="6"/>
        <v>0</v>
      </c>
      <c r="J23" s="221"/>
      <c r="K23" s="221"/>
      <c r="L23" s="59"/>
      <c r="M23" s="812">
        <f t="shared" si="7"/>
        <v>0</v>
      </c>
      <c r="N23" s="196">
        <f t="shared" si="8"/>
        <v>1190</v>
      </c>
      <c r="O23" s="196">
        <f t="shared" si="9"/>
        <v>2.0380000000000003</v>
      </c>
      <c r="P23" s="813">
        <f t="shared" si="10"/>
        <v>0</v>
      </c>
      <c r="Q23" s="196">
        <f t="shared" si="11"/>
        <v>0</v>
      </c>
      <c r="R23" s="59"/>
      <c r="S23" s="59"/>
      <c r="T23" s="59"/>
      <c r="U23" s="59"/>
      <c r="V23" s="196">
        <f t="shared" si="1"/>
        <v>70</v>
      </c>
      <c r="W23" s="812">
        <f t="shared" si="2"/>
        <v>0.11988235294117677</v>
      </c>
      <c r="X23" s="274"/>
      <c r="Y23" s="1006">
        <v>1260</v>
      </c>
      <c r="Z23" s="1006">
        <v>2.157882352941177</v>
      </c>
      <c r="AA23" s="1006">
        <v>-1910</v>
      </c>
      <c r="AB23" s="1006">
        <v>-3.2710756302521009</v>
      </c>
      <c r="AC23" s="1006"/>
      <c r="AD23" s="1006"/>
      <c r="AE23" s="1006">
        <v>1190</v>
      </c>
      <c r="AF23" s="1006">
        <v>2.0380000000000003</v>
      </c>
      <c r="AG23" s="1006">
        <v>0</v>
      </c>
      <c r="AH23" s="1006">
        <v>0</v>
      </c>
      <c r="AI23" s="1006"/>
      <c r="AJ23" s="1006"/>
      <c r="AK23" s="1006"/>
      <c r="AL23" s="1006"/>
      <c r="AM23" s="1006"/>
      <c r="AN23" s="1006"/>
      <c r="AO23" s="1006"/>
      <c r="AP23" s="1006"/>
      <c r="AQ23" s="1006"/>
      <c r="AR23" s="1006"/>
      <c r="AS23" s="1006"/>
      <c r="AT23" s="1006"/>
      <c r="AU23" s="929">
        <v>2.0380000000000003</v>
      </c>
      <c r="AW23" s="524"/>
      <c r="AX23" s="524"/>
      <c r="AZ23" s="148"/>
      <c r="BA23" s="148"/>
      <c r="BB23" s="77"/>
      <c r="BC23" s="455"/>
      <c r="BD23" s="456"/>
      <c r="BE23" s="460"/>
      <c r="BF23" s="460"/>
      <c r="BG23" s="424"/>
      <c r="BI23" s="458"/>
      <c r="BJ23" s="458"/>
      <c r="BK23" s="458"/>
      <c r="BL23" s="458"/>
      <c r="BM23" s="458"/>
      <c r="BN23" s="458"/>
      <c r="BO23" s="468"/>
    </row>
    <row r="24" spans="1:67" ht="15" customHeight="1" x14ac:dyDescent="0.25">
      <c r="A24" s="809" t="s">
        <v>496</v>
      </c>
      <c r="B24" s="55" t="s">
        <v>493</v>
      </c>
      <c r="C24" s="1033">
        <v>91.940911424171546</v>
      </c>
      <c r="D24" s="59"/>
      <c r="E24" s="812">
        <f t="shared" si="3"/>
        <v>0</v>
      </c>
      <c r="F24" s="387">
        <f t="shared" si="0"/>
        <v>35415</v>
      </c>
      <c r="G24" s="928">
        <f t="shared" si="4"/>
        <v>3.2560873780870354</v>
      </c>
      <c r="H24" s="196">
        <f t="shared" si="5"/>
        <v>0</v>
      </c>
      <c r="I24" s="928">
        <f t="shared" si="6"/>
        <v>0</v>
      </c>
      <c r="J24" s="221"/>
      <c r="K24" s="221"/>
      <c r="L24" s="59"/>
      <c r="M24" s="812">
        <f t="shared" si="7"/>
        <v>0</v>
      </c>
      <c r="N24" s="196">
        <f t="shared" si="8"/>
        <v>35066</v>
      </c>
      <c r="O24" s="196">
        <f t="shared" si="9"/>
        <v>3.2239999999999998</v>
      </c>
      <c r="P24" s="813">
        <f t="shared" si="10"/>
        <v>0</v>
      </c>
      <c r="Q24" s="196">
        <f t="shared" si="11"/>
        <v>0</v>
      </c>
      <c r="R24" s="59"/>
      <c r="S24" s="59"/>
      <c r="T24" s="59"/>
      <c r="U24" s="59"/>
      <c r="V24" s="196">
        <f t="shared" si="1"/>
        <v>349</v>
      </c>
      <c r="W24" s="812">
        <f t="shared" si="2"/>
        <v>3.2087378087035656E-2</v>
      </c>
      <c r="X24" s="274"/>
      <c r="Y24" s="1006">
        <v>35415</v>
      </c>
      <c r="Z24" s="1006">
        <v>3.2560873780870354</v>
      </c>
      <c r="AA24" s="1006">
        <v>0</v>
      </c>
      <c r="AB24" s="1006">
        <v>0</v>
      </c>
      <c r="AC24" s="1006"/>
      <c r="AD24" s="1006"/>
      <c r="AE24" s="1006">
        <v>35066</v>
      </c>
      <c r="AF24" s="1006">
        <v>3.2239999999999998</v>
      </c>
      <c r="AG24" s="1006">
        <v>890</v>
      </c>
      <c r="AH24" s="1006">
        <v>8.2000000000000003E-2</v>
      </c>
      <c r="AI24" s="1006"/>
      <c r="AJ24" s="1006"/>
      <c r="AK24" s="1006"/>
      <c r="AL24" s="1006"/>
      <c r="AM24" s="1006"/>
      <c r="AN24" s="1006"/>
      <c r="AO24" s="1006"/>
      <c r="AP24" s="1006"/>
      <c r="AQ24" s="1006"/>
      <c r="AR24" s="1006"/>
      <c r="AS24" s="1006"/>
      <c r="AT24" s="1006"/>
      <c r="AU24" s="929">
        <f>3.142+0.082</f>
        <v>3.2239999999999998</v>
      </c>
      <c r="AW24" s="524"/>
      <c r="AX24" s="524"/>
      <c r="AZ24" s="148"/>
      <c r="BA24" s="148"/>
      <c r="BB24" s="77"/>
      <c r="BC24" s="455"/>
      <c r="BD24" s="456"/>
      <c r="BE24" s="460"/>
      <c r="BF24" s="460"/>
      <c r="BG24" s="424"/>
      <c r="BI24" s="458"/>
      <c r="BJ24" s="458"/>
      <c r="BK24" s="458"/>
      <c r="BL24" s="458"/>
      <c r="BM24" s="458"/>
      <c r="BN24" s="458"/>
      <c r="BO24" s="468"/>
    </row>
    <row r="25" spans="1:67" ht="15" customHeight="1" x14ac:dyDescent="0.25">
      <c r="A25" s="809" t="s">
        <v>518</v>
      </c>
      <c r="B25" s="55" t="s">
        <v>493</v>
      </c>
      <c r="C25" s="1033">
        <v>120</v>
      </c>
      <c r="D25" s="59"/>
      <c r="E25" s="812">
        <f t="shared" si="3"/>
        <v>0</v>
      </c>
      <c r="F25" s="387">
        <f t="shared" si="0"/>
        <v>2000</v>
      </c>
      <c r="G25" s="928">
        <f t="shared" si="4"/>
        <v>0.24</v>
      </c>
      <c r="H25" s="196">
        <f t="shared" si="5"/>
        <v>0</v>
      </c>
      <c r="I25" s="928">
        <f t="shared" si="6"/>
        <v>0</v>
      </c>
      <c r="J25" s="221"/>
      <c r="K25" s="221"/>
      <c r="L25" s="59"/>
      <c r="M25" s="812">
        <f t="shared" si="7"/>
        <v>0</v>
      </c>
      <c r="N25" s="196">
        <f t="shared" si="8"/>
        <v>100</v>
      </c>
      <c r="O25" s="196">
        <f t="shared" si="9"/>
        <v>1.2E-2</v>
      </c>
      <c r="P25" s="813">
        <f t="shared" si="10"/>
        <v>0</v>
      </c>
      <c r="Q25" s="196">
        <f t="shared" si="11"/>
        <v>0</v>
      </c>
      <c r="R25" s="59"/>
      <c r="S25" s="59"/>
      <c r="T25" s="59"/>
      <c r="U25" s="59"/>
      <c r="V25" s="196">
        <f t="shared" si="1"/>
        <v>1900</v>
      </c>
      <c r="W25" s="812">
        <f t="shared" si="2"/>
        <v>0.22799999999999998</v>
      </c>
      <c r="X25" s="274"/>
      <c r="Y25" s="1006">
        <v>2000</v>
      </c>
      <c r="Z25" s="1006">
        <v>0.24</v>
      </c>
      <c r="AA25" s="1006">
        <v>0</v>
      </c>
      <c r="AB25" s="1006">
        <v>0</v>
      </c>
      <c r="AC25" s="1006"/>
      <c r="AD25" s="1006"/>
      <c r="AE25" s="1006">
        <v>100</v>
      </c>
      <c r="AF25" s="1006">
        <v>1.2E-2</v>
      </c>
      <c r="AG25" s="1006">
        <v>0</v>
      </c>
      <c r="AH25" s="1006">
        <v>0</v>
      </c>
      <c r="AI25" s="1006"/>
      <c r="AJ25" s="1006"/>
      <c r="AK25" s="1006"/>
      <c r="AL25" s="1006"/>
      <c r="AM25" s="1006"/>
      <c r="AN25" s="1006"/>
      <c r="AO25" s="1006"/>
      <c r="AP25" s="1006"/>
      <c r="AQ25" s="1006"/>
      <c r="AR25" s="1006"/>
      <c r="AS25" s="1006"/>
      <c r="AT25" s="1006"/>
      <c r="AU25" s="929">
        <v>1.2E-2</v>
      </c>
      <c r="AW25" s="524"/>
      <c r="AX25" s="524"/>
      <c r="AZ25" s="148">
        <f>105000*0.25</f>
        <v>26250</v>
      </c>
      <c r="BA25" s="148"/>
      <c r="BB25" s="77"/>
      <c r="BC25" s="455"/>
      <c r="BD25" s="456"/>
      <c r="BE25" s="460"/>
      <c r="BF25" s="460"/>
      <c r="BG25" s="424"/>
      <c r="BI25" s="458"/>
      <c r="BJ25" s="458"/>
      <c r="BK25" s="458"/>
      <c r="BL25" s="458"/>
      <c r="BM25" s="458"/>
      <c r="BN25" s="458"/>
      <c r="BO25" s="468"/>
    </row>
    <row r="26" spans="1:67" ht="15" customHeight="1" x14ac:dyDescent="0.25">
      <c r="A26" s="809" t="s">
        <v>528</v>
      </c>
      <c r="B26" s="55" t="s">
        <v>493</v>
      </c>
      <c r="C26" s="1033">
        <v>45</v>
      </c>
      <c r="D26" s="59"/>
      <c r="E26" s="812">
        <f t="shared" si="3"/>
        <v>0</v>
      </c>
      <c r="F26" s="387">
        <f t="shared" si="0"/>
        <v>1000</v>
      </c>
      <c r="G26" s="928">
        <f t="shared" si="4"/>
        <v>4.4999999999999998E-2</v>
      </c>
      <c r="H26" s="196">
        <f t="shared" si="5"/>
        <v>0</v>
      </c>
      <c r="I26" s="928">
        <f t="shared" si="6"/>
        <v>0</v>
      </c>
      <c r="J26" s="221"/>
      <c r="K26" s="221"/>
      <c r="L26" s="59"/>
      <c r="M26" s="812">
        <f t="shared" si="7"/>
        <v>0</v>
      </c>
      <c r="N26" s="196">
        <f t="shared" si="8"/>
        <v>1000</v>
      </c>
      <c r="O26" s="196">
        <f t="shared" si="9"/>
        <v>4.4999999999999998E-2</v>
      </c>
      <c r="P26" s="813">
        <f t="shared" si="10"/>
        <v>0</v>
      </c>
      <c r="Q26" s="196">
        <f t="shared" si="11"/>
        <v>0</v>
      </c>
      <c r="R26" s="59"/>
      <c r="S26" s="59"/>
      <c r="T26" s="59"/>
      <c r="U26" s="59"/>
      <c r="V26" s="196">
        <f t="shared" si="1"/>
        <v>0</v>
      </c>
      <c r="W26" s="812">
        <f t="shared" si="2"/>
        <v>0</v>
      </c>
      <c r="X26" s="274"/>
      <c r="Y26" s="1006">
        <v>1000</v>
      </c>
      <c r="Z26" s="1006">
        <v>4.4999999999999998E-2</v>
      </c>
      <c r="AA26" s="1006">
        <v>0</v>
      </c>
      <c r="AB26" s="1006">
        <v>0</v>
      </c>
      <c r="AC26" s="1006"/>
      <c r="AD26" s="1006"/>
      <c r="AE26" s="1006">
        <v>1000</v>
      </c>
      <c r="AF26" s="1006">
        <v>4.4999999999999998E-2</v>
      </c>
      <c r="AG26" s="1006">
        <v>0</v>
      </c>
      <c r="AH26" s="1006">
        <v>0</v>
      </c>
      <c r="AI26" s="1006"/>
      <c r="AJ26" s="1006"/>
      <c r="AK26" s="1006"/>
      <c r="AL26" s="1006"/>
      <c r="AM26" s="1006"/>
      <c r="AN26" s="1006"/>
      <c r="AO26" s="1006"/>
      <c r="AP26" s="1006"/>
      <c r="AQ26" s="1006"/>
      <c r="AR26" s="1006"/>
      <c r="AS26" s="1006"/>
      <c r="AT26" s="1006"/>
      <c r="AU26" s="929">
        <v>4.4999999999999998E-2</v>
      </c>
      <c r="AW26" s="524"/>
      <c r="AX26" s="524"/>
      <c r="AZ26" s="148"/>
      <c r="BA26" s="148"/>
      <c r="BB26" s="77"/>
      <c r="BC26" s="455"/>
      <c r="BD26" s="456"/>
      <c r="BE26" s="460"/>
      <c r="BF26" s="460"/>
      <c r="BG26" s="424"/>
      <c r="BI26" s="458"/>
      <c r="BJ26" s="458"/>
      <c r="BK26" s="458"/>
      <c r="BL26" s="458"/>
      <c r="BM26" s="458"/>
      <c r="BN26" s="458"/>
      <c r="BO26" s="468"/>
    </row>
    <row r="27" spans="1:67" ht="15" customHeight="1" x14ac:dyDescent="0.25">
      <c r="A27" s="809" t="s">
        <v>561</v>
      </c>
      <c r="B27" s="55" t="s">
        <v>493</v>
      </c>
      <c r="C27" s="1033">
        <v>81.969540526587508</v>
      </c>
      <c r="D27" s="59"/>
      <c r="E27" s="812">
        <f t="shared" si="3"/>
        <v>0</v>
      </c>
      <c r="F27" s="387">
        <f t="shared" si="0"/>
        <v>35050</v>
      </c>
      <c r="G27" s="928">
        <f t="shared" si="4"/>
        <v>2.8730323954568919</v>
      </c>
      <c r="H27" s="196">
        <f t="shared" si="5"/>
        <v>0</v>
      </c>
      <c r="I27" s="928">
        <f t="shared" si="6"/>
        <v>0</v>
      </c>
      <c r="J27" s="221"/>
      <c r="K27" s="221"/>
      <c r="L27" s="59"/>
      <c r="M27" s="812">
        <f t="shared" si="7"/>
        <v>0</v>
      </c>
      <c r="N27" s="196">
        <f t="shared" si="8"/>
        <v>19370</v>
      </c>
      <c r="O27" s="196">
        <f t="shared" si="9"/>
        <v>1.58775</v>
      </c>
      <c r="P27" s="813">
        <f t="shared" si="10"/>
        <v>0</v>
      </c>
      <c r="Q27" s="196">
        <f t="shared" si="11"/>
        <v>0</v>
      </c>
      <c r="R27" s="59"/>
      <c r="S27" s="59"/>
      <c r="T27" s="59"/>
      <c r="U27" s="59"/>
      <c r="V27" s="196">
        <f t="shared" si="1"/>
        <v>15680</v>
      </c>
      <c r="W27" s="812">
        <f t="shared" si="2"/>
        <v>1.2852823954568919</v>
      </c>
      <c r="X27" s="274"/>
      <c r="Y27" s="1006">
        <v>35050</v>
      </c>
      <c r="Z27" s="1006">
        <v>2.8730323954568919</v>
      </c>
      <c r="AA27" s="1006">
        <v>2000</v>
      </c>
      <c r="AB27" s="1006">
        <v>0.16393908105317501</v>
      </c>
      <c r="AC27" s="1006"/>
      <c r="AD27" s="1006"/>
      <c r="AE27" s="1006">
        <v>19370</v>
      </c>
      <c r="AF27" s="1006">
        <v>1.58775</v>
      </c>
      <c r="AG27" s="1006">
        <v>5000</v>
      </c>
      <c r="AH27" s="1006">
        <v>0.41</v>
      </c>
      <c r="AI27" s="1006"/>
      <c r="AJ27" s="1006"/>
      <c r="AK27" s="1006"/>
      <c r="AL27" s="1006"/>
      <c r="AM27" s="1006"/>
      <c r="AN27" s="1006"/>
      <c r="AO27" s="1006"/>
      <c r="AP27" s="1006"/>
      <c r="AQ27" s="1006"/>
      <c r="AR27" s="1006"/>
      <c r="AS27" s="1006"/>
      <c r="AT27" s="1006"/>
      <c r="AU27" s="929">
        <f>1.17775+0.41</f>
        <v>1.58775</v>
      </c>
      <c r="AW27" s="524"/>
      <c r="AX27" s="524"/>
      <c r="AZ27" s="148"/>
      <c r="BA27" s="148"/>
      <c r="BB27" s="77"/>
      <c r="BC27" s="455"/>
      <c r="BD27" s="456"/>
      <c r="BE27" s="460"/>
      <c r="BF27" s="460"/>
      <c r="BG27" s="424"/>
      <c r="BI27" s="458"/>
      <c r="BJ27" s="458"/>
      <c r="BK27" s="458"/>
      <c r="BL27" s="458"/>
      <c r="BM27" s="458"/>
      <c r="BN27" s="458"/>
      <c r="BO27" s="468"/>
    </row>
    <row r="28" spans="1:67" ht="15" customHeight="1" x14ac:dyDescent="0.25">
      <c r="A28" s="809" t="s">
        <v>492</v>
      </c>
      <c r="B28" s="55" t="s">
        <v>493</v>
      </c>
      <c r="C28" s="1033">
        <v>213.59282011902476</v>
      </c>
      <c r="D28" s="59"/>
      <c r="E28" s="812">
        <f t="shared" si="3"/>
        <v>0</v>
      </c>
      <c r="F28" s="387">
        <f t="shared" si="0"/>
        <v>5209</v>
      </c>
      <c r="G28" s="928">
        <f t="shared" si="4"/>
        <v>1.1126050000000001</v>
      </c>
      <c r="H28" s="196">
        <f t="shared" si="5"/>
        <v>0</v>
      </c>
      <c r="I28" s="928">
        <f t="shared" si="6"/>
        <v>0</v>
      </c>
      <c r="J28" s="221"/>
      <c r="K28" s="221"/>
      <c r="L28" s="59"/>
      <c r="M28" s="812">
        <f t="shared" si="7"/>
        <v>0</v>
      </c>
      <c r="N28" s="196">
        <f t="shared" si="8"/>
        <v>5209</v>
      </c>
      <c r="O28" s="196">
        <f t="shared" si="9"/>
        <v>1.1126050000000001</v>
      </c>
      <c r="P28" s="813">
        <f t="shared" si="10"/>
        <v>0</v>
      </c>
      <c r="Q28" s="196">
        <f t="shared" si="11"/>
        <v>0</v>
      </c>
      <c r="R28" s="59"/>
      <c r="S28" s="59"/>
      <c r="T28" s="59"/>
      <c r="U28" s="59"/>
      <c r="V28" s="196">
        <f t="shared" si="1"/>
        <v>0</v>
      </c>
      <c r="W28" s="812">
        <f t="shared" si="2"/>
        <v>0</v>
      </c>
      <c r="X28" s="274"/>
      <c r="Y28" s="1006">
        <v>5209</v>
      </c>
      <c r="Z28" s="1006">
        <v>1.1126050000000001</v>
      </c>
      <c r="AA28" s="1006">
        <v>1449</v>
      </c>
      <c r="AB28" s="1006">
        <v>0.30949599635246688</v>
      </c>
      <c r="AC28" s="1006"/>
      <c r="AD28" s="1006"/>
      <c r="AE28" s="1006">
        <v>5209</v>
      </c>
      <c r="AF28" s="1006">
        <v>1.1126050000000001</v>
      </c>
      <c r="AG28" s="1006">
        <v>1449</v>
      </c>
      <c r="AH28" s="1006">
        <v>0.316</v>
      </c>
      <c r="AI28" s="1006"/>
      <c r="AJ28" s="1006"/>
      <c r="AK28" s="1006"/>
      <c r="AL28" s="1006"/>
      <c r="AM28" s="1006"/>
      <c r="AN28" s="1006"/>
      <c r="AO28" s="1006"/>
      <c r="AP28" s="1006"/>
      <c r="AQ28" s="1006"/>
      <c r="AR28" s="1006"/>
      <c r="AS28" s="1006"/>
      <c r="AT28" s="1006"/>
      <c r="AU28" s="929">
        <f>0.796605+0.316</f>
        <v>1.1126050000000001</v>
      </c>
      <c r="AW28" s="524"/>
      <c r="AX28" s="524"/>
      <c r="AZ28" s="148"/>
      <c r="BA28" s="148"/>
      <c r="BB28" s="77"/>
      <c r="BC28" s="455"/>
      <c r="BD28" s="456"/>
      <c r="BE28" s="460"/>
      <c r="BF28" s="460"/>
      <c r="BG28" s="424"/>
      <c r="BI28" s="458"/>
      <c r="BJ28" s="458"/>
      <c r="BK28" s="458"/>
      <c r="BL28" s="458"/>
      <c r="BM28" s="458"/>
      <c r="BN28" s="458"/>
      <c r="BO28" s="468"/>
    </row>
    <row r="29" spans="1:67" ht="15" customHeight="1" x14ac:dyDescent="0.25">
      <c r="A29" s="809" t="s">
        <v>634</v>
      </c>
      <c r="B29" s="55" t="s">
        <v>493</v>
      </c>
      <c r="C29" s="1033">
        <v>146.9387755102041</v>
      </c>
      <c r="D29" s="59"/>
      <c r="E29" s="812">
        <f t="shared" si="3"/>
        <v>0</v>
      </c>
      <c r="F29" s="387">
        <f t="shared" si="0"/>
        <v>245</v>
      </c>
      <c r="G29" s="928">
        <f t="shared" si="4"/>
        <v>3.5999999999999997E-2</v>
      </c>
      <c r="H29" s="196">
        <f t="shared" si="5"/>
        <v>0</v>
      </c>
      <c r="I29" s="928">
        <f t="shared" si="6"/>
        <v>0</v>
      </c>
      <c r="J29" s="221"/>
      <c r="K29" s="221"/>
      <c r="L29" s="59"/>
      <c r="M29" s="812">
        <f t="shared" si="7"/>
        <v>0</v>
      </c>
      <c r="N29" s="196">
        <f t="shared" si="8"/>
        <v>0</v>
      </c>
      <c r="O29" s="196">
        <f t="shared" si="9"/>
        <v>0</v>
      </c>
      <c r="P29" s="813">
        <f t="shared" si="10"/>
        <v>0</v>
      </c>
      <c r="Q29" s="196">
        <f t="shared" si="11"/>
        <v>0</v>
      </c>
      <c r="R29" s="59"/>
      <c r="S29" s="59"/>
      <c r="T29" s="59"/>
      <c r="U29" s="59"/>
      <c r="V29" s="196">
        <f t="shared" si="1"/>
        <v>245</v>
      </c>
      <c r="W29" s="812">
        <f t="shared" si="2"/>
        <v>3.5999999999999997E-2</v>
      </c>
      <c r="X29" s="274"/>
      <c r="Y29" s="1006">
        <v>245</v>
      </c>
      <c r="Z29" s="1006">
        <v>3.5999999999999997E-2</v>
      </c>
      <c r="AA29" s="1006">
        <v>0</v>
      </c>
      <c r="AB29" s="1006">
        <v>0</v>
      </c>
      <c r="AC29" s="1006"/>
      <c r="AD29" s="1006"/>
      <c r="AE29" s="1006">
        <v>0</v>
      </c>
      <c r="AF29" s="1006">
        <v>0</v>
      </c>
      <c r="AG29" s="1006">
        <v>0</v>
      </c>
      <c r="AH29" s="1006">
        <v>0</v>
      </c>
      <c r="AI29" s="1006"/>
      <c r="AJ29" s="1006"/>
      <c r="AK29" s="1006"/>
      <c r="AL29" s="1006"/>
      <c r="AM29" s="1006"/>
      <c r="AN29" s="1006"/>
      <c r="AO29" s="1006"/>
      <c r="AP29" s="1006"/>
      <c r="AQ29" s="1006"/>
      <c r="AR29" s="1006"/>
      <c r="AS29" s="1006"/>
      <c r="AT29" s="1006"/>
      <c r="AU29" s="929"/>
      <c r="AW29" s="524"/>
      <c r="AX29" s="524">
        <f>122*1000</f>
        <v>122000</v>
      </c>
      <c r="AZ29" s="148"/>
      <c r="BA29" s="148"/>
      <c r="BB29" s="77"/>
      <c r="BC29" s="455"/>
      <c r="BD29" s="456"/>
      <c r="BE29" s="460"/>
      <c r="BF29" s="460"/>
      <c r="BG29" s="424"/>
      <c r="BI29" s="458"/>
      <c r="BJ29" s="458"/>
      <c r="BK29" s="458"/>
      <c r="BL29" s="458"/>
      <c r="BM29" s="458"/>
      <c r="BN29" s="458"/>
      <c r="BO29" s="468"/>
    </row>
    <row r="30" spans="1:67" ht="15" customHeight="1" x14ac:dyDescent="0.25">
      <c r="A30" s="809" t="s">
        <v>648</v>
      </c>
      <c r="B30" s="720" t="s">
        <v>649</v>
      </c>
      <c r="C30" s="1033">
        <v>1650</v>
      </c>
      <c r="D30" s="59"/>
      <c r="E30" s="812">
        <f t="shared" si="3"/>
        <v>0</v>
      </c>
      <c r="F30" s="387">
        <f t="shared" si="0"/>
        <v>240</v>
      </c>
      <c r="G30" s="928">
        <f t="shared" si="4"/>
        <v>0.39600000000000002</v>
      </c>
      <c r="H30" s="196">
        <f t="shared" si="5"/>
        <v>0</v>
      </c>
      <c r="I30" s="928">
        <f t="shared" si="6"/>
        <v>0</v>
      </c>
      <c r="J30" s="221"/>
      <c r="K30" s="221"/>
      <c r="L30" s="59"/>
      <c r="M30" s="812">
        <f t="shared" si="7"/>
        <v>0</v>
      </c>
      <c r="N30" s="196">
        <f t="shared" si="8"/>
        <v>120</v>
      </c>
      <c r="O30" s="196">
        <f t="shared" si="9"/>
        <v>0.19800000000000001</v>
      </c>
      <c r="P30" s="813">
        <f t="shared" si="10"/>
        <v>0</v>
      </c>
      <c r="Q30" s="196">
        <f t="shared" si="11"/>
        <v>0</v>
      </c>
      <c r="R30" s="59"/>
      <c r="S30" s="59"/>
      <c r="T30" s="59"/>
      <c r="U30" s="59"/>
      <c r="V30" s="196">
        <f t="shared" si="1"/>
        <v>120</v>
      </c>
      <c r="W30" s="812">
        <f t="shared" si="2"/>
        <v>0.19800000000000001</v>
      </c>
      <c r="X30" s="274"/>
      <c r="Y30" s="1006">
        <v>240</v>
      </c>
      <c r="Z30" s="1006">
        <v>0.39600000000000002</v>
      </c>
      <c r="AA30" s="1006">
        <v>0</v>
      </c>
      <c r="AB30" s="1006">
        <v>0</v>
      </c>
      <c r="AC30" s="1006"/>
      <c r="AD30" s="1006"/>
      <c r="AE30" s="1006">
        <v>120</v>
      </c>
      <c r="AF30" s="1006">
        <v>0.19800000000000001</v>
      </c>
      <c r="AG30" s="1006">
        <v>0</v>
      </c>
      <c r="AH30" s="1006">
        <v>0</v>
      </c>
      <c r="AI30" s="1006"/>
      <c r="AJ30" s="1006"/>
      <c r="AK30" s="1006"/>
      <c r="AL30" s="1006"/>
      <c r="AM30" s="1006"/>
      <c r="AN30" s="1006"/>
      <c r="AO30" s="1006"/>
      <c r="AP30" s="1006"/>
      <c r="AQ30" s="1006"/>
      <c r="AR30" s="1006"/>
      <c r="AS30" s="1006"/>
      <c r="AT30" s="1006"/>
      <c r="AU30" s="929">
        <v>0.19800000000000001</v>
      </c>
      <c r="AW30" s="524"/>
      <c r="AX30" s="524">
        <f>AX29*0.25</f>
        <v>30500</v>
      </c>
      <c r="AZ30" s="148"/>
      <c r="BA30" s="148"/>
      <c r="BB30" s="77"/>
      <c r="BC30" s="455"/>
      <c r="BD30" s="456"/>
      <c r="BE30" s="460"/>
      <c r="BF30" s="460"/>
      <c r="BG30" s="424"/>
      <c r="BI30" s="458"/>
      <c r="BJ30" s="458"/>
      <c r="BK30" s="458"/>
      <c r="BL30" s="458"/>
      <c r="BM30" s="458"/>
      <c r="BN30" s="458"/>
      <c r="BO30" s="468"/>
    </row>
    <row r="31" spans="1:67" ht="15" customHeight="1" x14ac:dyDescent="0.25">
      <c r="A31" s="809" t="s">
        <v>633</v>
      </c>
      <c r="B31" s="55" t="s">
        <v>495</v>
      </c>
      <c r="C31" s="1033">
        <v>1663</v>
      </c>
      <c r="D31" s="59"/>
      <c r="E31" s="812">
        <f t="shared" si="3"/>
        <v>0</v>
      </c>
      <c r="F31" s="387">
        <f t="shared" si="0"/>
        <v>1000</v>
      </c>
      <c r="G31" s="928">
        <f t="shared" si="4"/>
        <v>1.663</v>
      </c>
      <c r="H31" s="196">
        <f t="shared" si="5"/>
        <v>0</v>
      </c>
      <c r="I31" s="928">
        <f t="shared" si="6"/>
        <v>0</v>
      </c>
      <c r="J31" s="221"/>
      <c r="K31" s="221"/>
      <c r="L31" s="59"/>
      <c r="M31" s="812">
        <f t="shared" si="7"/>
        <v>0</v>
      </c>
      <c r="N31" s="196">
        <f t="shared" si="8"/>
        <v>1000</v>
      </c>
      <c r="O31" s="196">
        <f t="shared" si="9"/>
        <v>1.663</v>
      </c>
      <c r="P31" s="813">
        <f t="shared" si="10"/>
        <v>0</v>
      </c>
      <c r="Q31" s="196">
        <f t="shared" si="11"/>
        <v>0</v>
      </c>
      <c r="R31" s="59"/>
      <c r="S31" s="59"/>
      <c r="T31" s="59"/>
      <c r="U31" s="59"/>
      <c r="V31" s="196">
        <f t="shared" si="1"/>
        <v>0</v>
      </c>
      <c r="W31" s="812">
        <f t="shared" si="2"/>
        <v>0</v>
      </c>
      <c r="X31" s="274"/>
      <c r="Y31" s="1006">
        <v>1000</v>
      </c>
      <c r="Z31" s="1006">
        <v>1.663</v>
      </c>
      <c r="AA31" s="1006">
        <v>0</v>
      </c>
      <c r="AB31" s="1006">
        <v>0</v>
      </c>
      <c r="AC31" s="1006"/>
      <c r="AD31" s="1006"/>
      <c r="AE31" s="1006">
        <v>1000</v>
      </c>
      <c r="AF31" s="1006">
        <v>1.663</v>
      </c>
      <c r="AG31" s="1006">
        <v>0</v>
      </c>
      <c r="AH31" s="1006">
        <v>0</v>
      </c>
      <c r="AI31" s="1006"/>
      <c r="AJ31" s="1006"/>
      <c r="AK31" s="1006"/>
      <c r="AL31" s="1006"/>
      <c r="AM31" s="1006"/>
      <c r="AN31" s="1006"/>
      <c r="AO31" s="1006"/>
      <c r="AP31" s="1006"/>
      <c r="AQ31" s="1006"/>
      <c r="AR31" s="1006"/>
      <c r="AS31" s="1006"/>
      <c r="AT31" s="1006"/>
      <c r="AU31" s="929">
        <v>1.663</v>
      </c>
      <c r="AW31" s="524"/>
      <c r="AX31" s="524">
        <f>AX30*4</f>
        <v>122000</v>
      </c>
      <c r="AZ31" s="148"/>
      <c r="BA31" s="148"/>
      <c r="BB31" s="77"/>
      <c r="BC31" s="455"/>
      <c r="BD31" s="456"/>
      <c r="BE31" s="460"/>
      <c r="BF31" s="460"/>
      <c r="BG31" s="424"/>
      <c r="BI31" s="458"/>
      <c r="BJ31" s="458"/>
      <c r="BK31" s="458"/>
      <c r="BL31" s="458"/>
      <c r="BM31" s="458"/>
      <c r="BN31" s="458"/>
      <c r="BO31" s="468"/>
    </row>
    <row r="32" spans="1:67" ht="15" customHeight="1" x14ac:dyDescent="0.25">
      <c r="A32" s="809" t="s">
        <v>650</v>
      </c>
      <c r="B32" s="720" t="s">
        <v>493</v>
      </c>
      <c r="C32" s="1033">
        <v>395.93629873695778</v>
      </c>
      <c r="D32" s="59"/>
      <c r="E32" s="812">
        <f t="shared" si="3"/>
        <v>0</v>
      </c>
      <c r="F32" s="387">
        <f t="shared" si="0"/>
        <v>7284</v>
      </c>
      <c r="G32" s="928">
        <f t="shared" si="4"/>
        <v>2.8840000000000003</v>
      </c>
      <c r="H32" s="196">
        <f t="shared" si="5"/>
        <v>0</v>
      </c>
      <c r="I32" s="928">
        <f t="shared" si="6"/>
        <v>0</v>
      </c>
      <c r="J32" s="221"/>
      <c r="K32" s="221"/>
      <c r="L32" s="59"/>
      <c r="M32" s="812">
        <f t="shared" si="7"/>
        <v>0</v>
      </c>
      <c r="N32" s="196">
        <f t="shared" si="8"/>
        <v>7284</v>
      </c>
      <c r="O32" s="196">
        <f t="shared" si="9"/>
        <v>2.8840000000000003</v>
      </c>
      <c r="P32" s="813">
        <f t="shared" si="10"/>
        <v>0</v>
      </c>
      <c r="Q32" s="196">
        <f t="shared" si="11"/>
        <v>0</v>
      </c>
      <c r="R32" s="59"/>
      <c r="S32" s="59"/>
      <c r="T32" s="59"/>
      <c r="U32" s="59"/>
      <c r="V32" s="196">
        <f t="shared" si="1"/>
        <v>0</v>
      </c>
      <c r="W32" s="812">
        <f t="shared" si="2"/>
        <v>0</v>
      </c>
      <c r="X32" s="274"/>
      <c r="Y32" s="1006">
        <v>7284</v>
      </c>
      <c r="Z32" s="1006">
        <v>2.8840000000000003</v>
      </c>
      <c r="AA32" s="1006">
        <v>4304</v>
      </c>
      <c r="AB32" s="1006">
        <v>1.7041098297638662</v>
      </c>
      <c r="AC32" s="1006"/>
      <c r="AD32" s="1006"/>
      <c r="AE32" s="1006">
        <v>7284</v>
      </c>
      <c r="AF32" s="1006">
        <v>2.8840000000000003</v>
      </c>
      <c r="AG32" s="1006">
        <v>5304</v>
      </c>
      <c r="AH32" s="1006">
        <v>2.1</v>
      </c>
      <c r="AI32" s="1006"/>
      <c r="AJ32" s="1006"/>
      <c r="AK32" s="1006"/>
      <c r="AL32" s="1006"/>
      <c r="AM32" s="1006"/>
      <c r="AN32" s="1006"/>
      <c r="AO32" s="1006"/>
      <c r="AP32" s="1006"/>
      <c r="AQ32" s="1006"/>
      <c r="AR32" s="1006"/>
      <c r="AS32" s="1006"/>
      <c r="AT32" s="1006"/>
      <c r="AU32" s="929">
        <f>0.784+2.1</f>
        <v>2.8840000000000003</v>
      </c>
      <c r="AW32" s="524"/>
      <c r="AX32" s="524"/>
      <c r="AZ32" s="148"/>
      <c r="BA32" s="148"/>
      <c r="BB32" s="77"/>
      <c r="BC32" s="455"/>
      <c r="BD32" s="456"/>
      <c r="BE32" s="460"/>
      <c r="BF32" s="460"/>
      <c r="BG32" s="424"/>
      <c r="BI32" s="458"/>
      <c r="BJ32" s="458"/>
      <c r="BK32" s="458"/>
      <c r="BL32" s="458"/>
      <c r="BM32" s="458"/>
      <c r="BN32" s="458"/>
      <c r="BO32" s="468"/>
    </row>
    <row r="33" spans="1:67" ht="15" customHeight="1" x14ac:dyDescent="0.25">
      <c r="A33" s="809" t="s">
        <v>499</v>
      </c>
      <c r="B33" s="55" t="s">
        <v>480</v>
      </c>
      <c r="C33" s="1033">
        <v>1120.2614379084966</v>
      </c>
      <c r="D33" s="59"/>
      <c r="E33" s="812">
        <f t="shared" si="3"/>
        <v>0</v>
      </c>
      <c r="F33" s="387">
        <f t="shared" si="0"/>
        <v>1508</v>
      </c>
      <c r="G33" s="928">
        <f t="shared" si="4"/>
        <v>1.6893542483660129</v>
      </c>
      <c r="H33" s="196">
        <f t="shared" si="5"/>
        <v>0</v>
      </c>
      <c r="I33" s="928">
        <f t="shared" si="6"/>
        <v>0</v>
      </c>
      <c r="J33" s="221"/>
      <c r="K33" s="221"/>
      <c r="L33" s="59"/>
      <c r="M33" s="812">
        <f t="shared" si="7"/>
        <v>0</v>
      </c>
      <c r="N33" s="196">
        <f t="shared" si="8"/>
        <v>1508</v>
      </c>
      <c r="O33" s="196">
        <f t="shared" si="9"/>
        <v>1.6893542483660129</v>
      </c>
      <c r="P33" s="813">
        <f t="shared" si="10"/>
        <v>0</v>
      </c>
      <c r="Q33" s="196">
        <f t="shared" si="11"/>
        <v>0</v>
      </c>
      <c r="R33" s="59"/>
      <c r="S33" s="59"/>
      <c r="T33" s="59"/>
      <c r="U33" s="59"/>
      <c r="V33" s="196">
        <f t="shared" si="1"/>
        <v>0</v>
      </c>
      <c r="W33" s="812">
        <f t="shared" si="2"/>
        <v>0</v>
      </c>
      <c r="X33" s="274"/>
      <c r="Y33" s="1006">
        <v>1508</v>
      </c>
      <c r="Z33" s="1006">
        <v>1.6893542483660129</v>
      </c>
      <c r="AA33" s="1006">
        <v>0</v>
      </c>
      <c r="AB33" s="1006">
        <v>0</v>
      </c>
      <c r="AC33" s="1006"/>
      <c r="AD33" s="1006"/>
      <c r="AE33" s="1006">
        <v>1508</v>
      </c>
      <c r="AF33" s="1006">
        <v>1.6893542483660129</v>
      </c>
      <c r="AG33" s="1006">
        <v>590</v>
      </c>
      <c r="AH33" s="1006">
        <v>0.66095424836601302</v>
      </c>
      <c r="AI33" s="1006"/>
      <c r="AJ33" s="1006"/>
      <c r="AK33" s="1006"/>
      <c r="AL33" s="1006"/>
      <c r="AM33" s="1006"/>
      <c r="AN33" s="1006"/>
      <c r="AO33" s="1006"/>
      <c r="AP33" s="1006"/>
      <c r="AQ33" s="1006"/>
      <c r="AR33" s="1006"/>
      <c r="AS33" s="1006"/>
      <c r="AT33" s="1006"/>
      <c r="AU33" s="929">
        <v>1.0284</v>
      </c>
      <c r="AW33" s="524"/>
      <c r="AX33" s="524"/>
      <c r="AZ33" s="148"/>
      <c r="BA33" s="148"/>
      <c r="BB33" s="77"/>
      <c r="BC33" s="455"/>
      <c r="BD33" s="456"/>
      <c r="BE33" s="460"/>
      <c r="BF33" s="460"/>
      <c r="BG33" s="424"/>
      <c r="BI33" s="458"/>
      <c r="BJ33" s="458"/>
      <c r="BK33" s="458"/>
      <c r="BL33" s="458"/>
      <c r="BM33" s="458"/>
      <c r="BN33" s="458"/>
      <c r="BO33" s="468"/>
    </row>
    <row r="34" spans="1:67" s="798" customFormat="1" ht="15" customHeight="1" x14ac:dyDescent="0.25">
      <c r="A34" s="809" t="s">
        <v>617</v>
      </c>
      <c r="B34" s="810" t="s">
        <v>493</v>
      </c>
      <c r="C34" s="1033">
        <v>235</v>
      </c>
      <c r="D34" s="196"/>
      <c r="E34" s="812">
        <f t="shared" si="3"/>
        <v>0</v>
      </c>
      <c r="F34" s="1055">
        <f t="shared" si="0"/>
        <v>13855</v>
      </c>
      <c r="G34" s="928">
        <f t="shared" si="4"/>
        <v>3.255925</v>
      </c>
      <c r="H34" s="196">
        <f t="shared" si="5"/>
        <v>0</v>
      </c>
      <c r="I34" s="928">
        <f t="shared" si="6"/>
        <v>0</v>
      </c>
      <c r="J34" s="812"/>
      <c r="K34" s="812"/>
      <c r="L34" s="196"/>
      <c r="M34" s="812">
        <f t="shared" si="7"/>
        <v>0</v>
      </c>
      <c r="N34" s="196">
        <f t="shared" si="8"/>
        <v>200</v>
      </c>
      <c r="O34" s="196">
        <f t="shared" si="9"/>
        <v>1.76</v>
      </c>
      <c r="P34" s="813">
        <f t="shared" si="10"/>
        <v>0</v>
      </c>
      <c r="Q34" s="196">
        <f t="shared" si="11"/>
        <v>0</v>
      </c>
      <c r="R34" s="196"/>
      <c r="S34" s="196"/>
      <c r="T34" s="196"/>
      <c r="U34" s="196"/>
      <c r="V34" s="196">
        <f t="shared" si="1"/>
        <v>13655</v>
      </c>
      <c r="W34" s="812">
        <f t="shared" si="2"/>
        <v>1.4959249999999999</v>
      </c>
      <c r="X34" s="795"/>
      <c r="Y34" s="1007">
        <v>13855</v>
      </c>
      <c r="Z34" s="1007">
        <v>3.255925</v>
      </c>
      <c r="AA34" s="1007">
        <v>3850</v>
      </c>
      <c r="AB34" s="1007">
        <v>0.90475000000000005</v>
      </c>
      <c r="AC34" s="1007"/>
      <c r="AD34" s="1007"/>
      <c r="AE34" s="1007">
        <v>200</v>
      </c>
      <c r="AF34" s="1007">
        <v>1.76</v>
      </c>
      <c r="AG34" s="1007">
        <v>0</v>
      </c>
      <c r="AH34" s="1007">
        <v>0</v>
      </c>
      <c r="AI34" s="1007"/>
      <c r="AJ34" s="1007"/>
      <c r="AK34" s="1007"/>
      <c r="AL34" s="1007"/>
      <c r="AM34" s="1007"/>
      <c r="AN34" s="1007"/>
      <c r="AO34" s="1007"/>
      <c r="AP34" s="1007"/>
      <c r="AQ34" s="1007"/>
      <c r="AR34" s="1007"/>
      <c r="AS34" s="1007"/>
      <c r="AT34" s="1007"/>
      <c r="AU34" s="928">
        <v>1.76</v>
      </c>
      <c r="AV34" s="799"/>
      <c r="AW34" s="796"/>
      <c r="AX34" s="796"/>
      <c r="AZ34" s="799"/>
      <c r="BA34" s="799"/>
      <c r="BB34" s="800"/>
      <c r="BD34" s="801"/>
      <c r="BE34" s="797"/>
      <c r="BF34" s="797"/>
      <c r="BG34" s="802"/>
      <c r="BI34" s="803"/>
      <c r="BJ34" s="803"/>
      <c r="BK34" s="803"/>
      <c r="BL34" s="803"/>
      <c r="BM34" s="803"/>
      <c r="BN34" s="803"/>
      <c r="BO34" s="804"/>
    </row>
    <row r="35" spans="1:67" ht="15" customHeight="1" x14ac:dyDescent="0.25">
      <c r="A35" s="809" t="s">
        <v>643</v>
      </c>
      <c r="B35" s="810" t="s">
        <v>480</v>
      </c>
      <c r="C35" s="1033">
        <v>143125</v>
      </c>
      <c r="D35" s="196"/>
      <c r="E35" s="812">
        <f t="shared" si="3"/>
        <v>0</v>
      </c>
      <c r="F35" s="387">
        <f t="shared" si="0"/>
        <v>112</v>
      </c>
      <c r="G35" s="928">
        <f t="shared" si="4"/>
        <v>16.03</v>
      </c>
      <c r="H35" s="196">
        <f t="shared" si="5"/>
        <v>0</v>
      </c>
      <c r="I35" s="928">
        <f t="shared" si="6"/>
        <v>0</v>
      </c>
      <c r="J35" s="812"/>
      <c r="K35" s="812"/>
      <c r="L35" s="196"/>
      <c r="M35" s="812">
        <f t="shared" si="7"/>
        <v>0</v>
      </c>
      <c r="N35" s="196">
        <f t="shared" si="8"/>
        <v>109</v>
      </c>
      <c r="O35" s="196">
        <f t="shared" si="9"/>
        <v>15.600624999999999</v>
      </c>
      <c r="P35" s="813">
        <f t="shared" si="10"/>
        <v>0</v>
      </c>
      <c r="Q35" s="196">
        <f t="shared" si="11"/>
        <v>0</v>
      </c>
      <c r="R35" s="196"/>
      <c r="S35" s="196"/>
      <c r="T35" s="196"/>
      <c r="U35" s="196"/>
      <c r="V35" s="196">
        <f t="shared" si="1"/>
        <v>3</v>
      </c>
      <c r="W35" s="812">
        <f t="shared" si="2"/>
        <v>0.42937500000000206</v>
      </c>
      <c r="X35" s="274"/>
      <c r="Y35" s="1006">
        <v>112</v>
      </c>
      <c r="Z35" s="1006">
        <v>16.03</v>
      </c>
      <c r="AA35" s="1006">
        <v>12</v>
      </c>
      <c r="AB35" s="1006">
        <v>1.7175</v>
      </c>
      <c r="AC35" s="1006"/>
      <c r="AD35" s="1006"/>
      <c r="AE35" s="1006">
        <v>109</v>
      </c>
      <c r="AF35" s="1006">
        <v>15.600624999999999</v>
      </c>
      <c r="AG35" s="1006">
        <v>109</v>
      </c>
      <c r="AH35" s="1006">
        <v>13.315624999999999</v>
      </c>
      <c r="AI35" s="1006"/>
      <c r="AJ35" s="1006"/>
      <c r="AK35" s="1006"/>
      <c r="AL35" s="1006"/>
      <c r="AM35" s="1006"/>
      <c r="AN35" s="1006"/>
      <c r="AO35" s="1006"/>
      <c r="AP35" s="1006"/>
      <c r="AQ35" s="1006"/>
      <c r="AR35" s="1006"/>
      <c r="AS35" s="1006"/>
      <c r="AT35" s="1006"/>
      <c r="AU35" s="928">
        <f>2.285+8.02</f>
        <v>10.305</v>
      </c>
      <c r="AW35" s="524"/>
      <c r="AX35" s="524"/>
      <c r="AZ35" s="148"/>
      <c r="BA35" s="148"/>
      <c r="BB35" s="77"/>
      <c r="BC35" s="455"/>
      <c r="BD35" s="456"/>
      <c r="BE35" s="460"/>
      <c r="BF35" s="460"/>
      <c r="BG35" s="424"/>
      <c r="BI35" s="458"/>
      <c r="BJ35" s="458"/>
      <c r="BK35" s="458"/>
      <c r="BL35" s="458"/>
      <c r="BM35" s="458"/>
      <c r="BN35" s="458"/>
      <c r="BO35" s="468"/>
    </row>
    <row r="36" spans="1:67" s="798" customFormat="1" ht="15" x14ac:dyDescent="0.25">
      <c r="A36" s="1083" t="s">
        <v>475</v>
      </c>
      <c r="B36" s="810" t="s">
        <v>476</v>
      </c>
      <c r="C36" s="1033">
        <v>268216.61035713606</v>
      </c>
      <c r="D36" s="196"/>
      <c r="E36" s="812">
        <f t="shared" si="3"/>
        <v>0</v>
      </c>
      <c r="F36" s="387">
        <f t="shared" si="0"/>
        <v>305.13499999999999</v>
      </c>
      <c r="G36" s="928">
        <f t="shared" si="4"/>
        <v>81.842275401324699</v>
      </c>
      <c r="H36" s="196">
        <f t="shared" si="5"/>
        <v>0</v>
      </c>
      <c r="I36" s="928">
        <f t="shared" si="6"/>
        <v>0</v>
      </c>
      <c r="J36" s="861">
        <v>43.81</v>
      </c>
      <c r="K36" s="812">
        <f>(J36*C36)/1000000</f>
        <v>11.750569699746132</v>
      </c>
      <c r="L36" s="196">
        <v>0.9</v>
      </c>
      <c r="M36" s="812">
        <f t="shared" si="7"/>
        <v>0.24139494932142247</v>
      </c>
      <c r="N36" s="196">
        <f>L36+AE36-0.9</f>
        <v>261.04500000000002</v>
      </c>
      <c r="O36" s="196">
        <f t="shared" si="9"/>
        <v>70.499394949321413</v>
      </c>
      <c r="P36" s="813">
        <f t="shared" si="10"/>
        <v>0.9</v>
      </c>
      <c r="Q36" s="196">
        <f t="shared" si="11"/>
        <v>0.24139494932142247</v>
      </c>
      <c r="R36" s="196">
        <f>61.712+25.288</f>
        <v>87</v>
      </c>
      <c r="S36" s="196">
        <f>17.663+3.354</f>
        <v>21.016999999999999</v>
      </c>
      <c r="T36" s="196">
        <v>0.9</v>
      </c>
      <c r="U36" s="196">
        <f>(T36*C36)/1000000</f>
        <v>0.24139494932142247</v>
      </c>
      <c r="V36" s="196">
        <f t="shared" si="1"/>
        <v>-2.2759572004815709E-14</v>
      </c>
      <c r="W36" s="812">
        <f t="shared" si="2"/>
        <v>1.8350552024280007</v>
      </c>
      <c r="X36" s="805"/>
      <c r="Y36" s="1008">
        <v>305.13499999999999</v>
      </c>
      <c r="Z36" s="1008">
        <v>81.842275401324699</v>
      </c>
      <c r="AA36" s="1008">
        <v>40</v>
      </c>
      <c r="AB36" s="1008">
        <v>10.728664414285442</v>
      </c>
      <c r="AC36" s="1008">
        <v>43.81</v>
      </c>
      <c r="AD36" s="1008">
        <v>9.31</v>
      </c>
      <c r="AE36" s="1008">
        <v>261.04500000000002</v>
      </c>
      <c r="AF36" s="1008">
        <v>70.257999999999996</v>
      </c>
      <c r="AG36" s="1008">
        <v>154.27699999999999</v>
      </c>
      <c r="AH36" s="1008">
        <v>42.071313500000009</v>
      </c>
      <c r="AI36" s="1008">
        <v>87</v>
      </c>
      <c r="AJ36" s="1008">
        <v>21.016999999999999</v>
      </c>
      <c r="AK36" s="1008"/>
      <c r="AL36" s="1008"/>
      <c r="AM36" s="1008"/>
      <c r="AN36" s="1008"/>
      <c r="AO36" s="1008"/>
      <c r="AP36" s="1008"/>
      <c r="AQ36" s="1008"/>
      <c r="AR36" s="1008"/>
      <c r="AS36" s="1008"/>
      <c r="AT36" s="1008"/>
      <c r="AU36" s="821">
        <f>28.187+4.698+18.05+10.52+6.027+0.33+2.206+0.24</f>
        <v>70.257999999999996</v>
      </c>
      <c r="AV36" s="938"/>
      <c r="AW36" s="796">
        <f>+O36-M36</f>
        <v>70.257999999999996</v>
      </c>
      <c r="AX36" s="796">
        <f>+AW36-BJ36</f>
        <v>70.257999999999996</v>
      </c>
      <c r="AZ36" s="799"/>
      <c r="BA36" s="799">
        <v>0</v>
      </c>
      <c r="BB36" s="800">
        <v>0</v>
      </c>
      <c r="BD36" s="801"/>
      <c r="BE36" s="801"/>
      <c r="BI36" s="802"/>
      <c r="BJ36" s="802"/>
    </row>
    <row r="37" spans="1:67" s="798" customFormat="1" ht="15" x14ac:dyDescent="0.25">
      <c r="A37" s="1083" t="s">
        <v>519</v>
      </c>
      <c r="B37" s="810" t="s">
        <v>476</v>
      </c>
      <c r="C37" s="1033">
        <v>272370.0233898327</v>
      </c>
      <c r="D37" s="196"/>
      <c r="E37" s="812">
        <f t="shared" si="3"/>
        <v>0</v>
      </c>
      <c r="F37" s="387">
        <f t="shared" si="0"/>
        <v>828.25700000000006</v>
      </c>
      <c r="G37" s="928">
        <f t="shared" si="4"/>
        <v>225.59237846279265</v>
      </c>
      <c r="H37" s="196">
        <f t="shared" si="5"/>
        <v>0</v>
      </c>
      <c r="I37" s="928">
        <f t="shared" si="6"/>
        <v>0</v>
      </c>
      <c r="J37" s="812"/>
      <c r="K37" s="812"/>
      <c r="L37" s="842"/>
      <c r="M37" s="812">
        <f t="shared" si="7"/>
        <v>0</v>
      </c>
      <c r="N37" s="196">
        <f t="shared" si="8"/>
        <v>797.3549999999999</v>
      </c>
      <c r="O37" s="196">
        <f t="shared" si="9"/>
        <v>217.17560000000003</v>
      </c>
      <c r="P37" s="813">
        <f t="shared" si="10"/>
        <v>0</v>
      </c>
      <c r="Q37" s="196">
        <f t="shared" si="11"/>
        <v>0</v>
      </c>
      <c r="R37" s="196">
        <f>10+20.902</f>
        <v>30.902000000000001</v>
      </c>
      <c r="S37" s="196">
        <f>(R37*C37)/1000000</f>
        <v>8.4167784627926103</v>
      </c>
      <c r="T37" s="196"/>
      <c r="U37" s="196">
        <f t="shared" ref="U37:U42" si="12">(T37*C37)/1000000</f>
        <v>0</v>
      </c>
      <c r="V37" s="196">
        <f t="shared" si="1"/>
        <v>1.5631940186722204E-13</v>
      </c>
      <c r="W37" s="812">
        <f t="shared" si="2"/>
        <v>1.0658141036401503E-14</v>
      </c>
      <c r="X37" s="805"/>
      <c r="Y37" s="1008">
        <v>828.25700000000006</v>
      </c>
      <c r="Z37" s="1008">
        <v>225.59237846279265</v>
      </c>
      <c r="AA37" s="1008">
        <v>142.797</v>
      </c>
      <c r="AB37" s="1008">
        <v>38.893622229997938</v>
      </c>
      <c r="AC37" s="1008"/>
      <c r="AD37" s="1008"/>
      <c r="AE37" s="1008">
        <v>797.3549999999999</v>
      </c>
      <c r="AF37" s="1008">
        <v>217.17560000000003</v>
      </c>
      <c r="AG37" s="1008">
        <v>184.607</v>
      </c>
      <c r="AH37" s="1008">
        <v>48.247999999999998</v>
      </c>
      <c r="AI37" s="1008">
        <v>30.902000000000001</v>
      </c>
      <c r="AJ37" s="1008">
        <v>8.9500000000000011</v>
      </c>
      <c r="AK37" s="1008"/>
      <c r="AL37" s="1008"/>
      <c r="AM37" s="1008"/>
      <c r="AN37" s="1008"/>
      <c r="AO37" s="1008"/>
      <c r="AP37" s="1008"/>
      <c r="AQ37" s="1008"/>
      <c r="AR37" s="1008"/>
      <c r="AS37" s="1008"/>
      <c r="AT37" s="1008"/>
      <c r="AU37" s="821">
        <f>168.9276+5.888+14.473+2.696+4.625+2.63+17.459+0.477</f>
        <v>217.17560000000003</v>
      </c>
      <c r="AV37" s="938"/>
      <c r="AW37" s="796">
        <f>+O37-M37</f>
        <v>217.17560000000003</v>
      </c>
      <c r="AX37" s="796">
        <f>+AW37-BJ37</f>
        <v>215.38745000000003</v>
      </c>
      <c r="AZ37" s="799">
        <v>7000</v>
      </c>
      <c r="BA37" s="799">
        <v>2800</v>
      </c>
      <c r="BB37" s="800">
        <v>0.18017999999999998</v>
      </c>
      <c r="BC37" s="798">
        <v>24000</v>
      </c>
      <c r="BD37" s="801">
        <v>1.7881499999999999</v>
      </c>
      <c r="BE37" s="798">
        <v>19800</v>
      </c>
      <c r="BF37" s="801">
        <v>1.5272299999999999</v>
      </c>
      <c r="BG37" s="798">
        <v>7500</v>
      </c>
      <c r="BH37" s="797">
        <v>4.8262499999999993E-2</v>
      </c>
      <c r="BI37" s="806">
        <v>24000</v>
      </c>
      <c r="BJ37" s="806">
        <v>1.7881499999999999</v>
      </c>
      <c r="BK37" s="806">
        <v>20463.099999999999</v>
      </c>
      <c r="BL37" s="806">
        <v>1.5605504849999998</v>
      </c>
      <c r="BM37" s="799">
        <v>2713.1000000000004</v>
      </c>
      <c r="BN37" s="799">
        <v>0.16523798499999998</v>
      </c>
    </row>
    <row r="38" spans="1:67" s="798" customFormat="1" ht="15" x14ac:dyDescent="0.25">
      <c r="A38" s="1083" t="s">
        <v>520</v>
      </c>
      <c r="B38" s="810" t="s">
        <v>476</v>
      </c>
      <c r="C38" s="1033">
        <v>282000</v>
      </c>
      <c r="D38" s="196"/>
      <c r="E38" s="812">
        <f t="shared" si="3"/>
        <v>0</v>
      </c>
      <c r="F38" s="387">
        <f t="shared" si="0"/>
        <v>2</v>
      </c>
      <c r="G38" s="928">
        <f t="shared" si="4"/>
        <v>0.56399999999999995</v>
      </c>
      <c r="H38" s="196">
        <f t="shared" si="5"/>
        <v>0</v>
      </c>
      <c r="I38" s="928">
        <f t="shared" si="6"/>
        <v>0</v>
      </c>
      <c r="J38" s="812"/>
      <c r="K38" s="812"/>
      <c r="L38" s="196"/>
      <c r="M38" s="812">
        <f t="shared" si="7"/>
        <v>0</v>
      </c>
      <c r="N38" s="196">
        <f t="shared" si="8"/>
        <v>2</v>
      </c>
      <c r="O38" s="196">
        <f t="shared" si="9"/>
        <v>0.56399999999999995</v>
      </c>
      <c r="P38" s="813">
        <f t="shared" si="10"/>
        <v>0</v>
      </c>
      <c r="Q38" s="196">
        <f t="shared" si="11"/>
        <v>0</v>
      </c>
      <c r="R38" s="196"/>
      <c r="S38" s="196">
        <f>R38*267000/1000000</f>
        <v>0</v>
      </c>
      <c r="T38" s="196"/>
      <c r="U38" s="196">
        <f t="shared" si="12"/>
        <v>0</v>
      </c>
      <c r="V38" s="196">
        <f t="shared" si="1"/>
        <v>0</v>
      </c>
      <c r="W38" s="812">
        <f t="shared" si="2"/>
        <v>0</v>
      </c>
      <c r="X38" s="805"/>
      <c r="Y38" s="1008">
        <v>2</v>
      </c>
      <c r="Z38" s="1008">
        <v>0.56399999999999995</v>
      </c>
      <c r="AA38" s="1008">
        <v>0</v>
      </c>
      <c r="AB38" s="1008">
        <v>0</v>
      </c>
      <c r="AC38" s="1008"/>
      <c r="AD38" s="1008"/>
      <c r="AE38" s="1008">
        <v>2</v>
      </c>
      <c r="AF38" s="1008">
        <v>0.56399999999999995</v>
      </c>
      <c r="AG38" s="1008">
        <v>0</v>
      </c>
      <c r="AH38" s="1008">
        <v>0</v>
      </c>
      <c r="AI38" s="1008"/>
      <c r="AJ38" s="1008">
        <v>0</v>
      </c>
      <c r="AK38" s="1008"/>
      <c r="AL38" s="1008"/>
      <c r="AM38" s="1008"/>
      <c r="AN38" s="1008"/>
      <c r="AO38" s="1008"/>
      <c r="AP38" s="1008"/>
      <c r="AQ38" s="1008"/>
      <c r="AR38" s="1008"/>
      <c r="AS38" s="1008"/>
      <c r="AT38" s="1008"/>
      <c r="AU38" s="821">
        <v>0.56399999999999995</v>
      </c>
      <c r="AV38" s="938"/>
      <c r="AW38" s="796"/>
      <c r="AX38" s="796"/>
      <c r="AZ38" s="799"/>
      <c r="BA38" s="799"/>
      <c r="BB38" s="800"/>
      <c r="BD38" s="801"/>
      <c r="BF38" s="801"/>
      <c r="BH38" s="797"/>
      <c r="BI38" s="806"/>
      <c r="BJ38" s="806"/>
      <c r="BK38" s="806"/>
      <c r="BL38" s="806"/>
      <c r="BM38" s="799"/>
      <c r="BN38" s="799"/>
    </row>
    <row r="39" spans="1:67" s="798" customFormat="1" ht="15" x14ac:dyDescent="0.25">
      <c r="A39" s="1083" t="s">
        <v>521</v>
      </c>
      <c r="B39" s="810" t="s">
        <v>476</v>
      </c>
      <c r="C39" s="1033">
        <v>265440.42481898074</v>
      </c>
      <c r="D39" s="196"/>
      <c r="E39" s="812">
        <f t="shared" si="3"/>
        <v>0</v>
      </c>
      <c r="F39" s="387">
        <f t="shared" si="0"/>
        <v>575.4</v>
      </c>
      <c r="G39" s="928">
        <f t="shared" si="4"/>
        <v>152.73442044084152</v>
      </c>
      <c r="H39" s="196">
        <f t="shared" si="5"/>
        <v>0</v>
      </c>
      <c r="I39" s="928">
        <f t="shared" si="6"/>
        <v>0</v>
      </c>
      <c r="J39" s="812">
        <f>17.519+8.222</f>
        <v>25.741</v>
      </c>
      <c r="K39" s="812">
        <f>(J39*C39)/1000000</f>
        <v>6.8327019752653824</v>
      </c>
      <c r="L39" s="196"/>
      <c r="M39" s="812">
        <f t="shared" si="7"/>
        <v>0</v>
      </c>
      <c r="N39" s="196">
        <f t="shared" si="8"/>
        <v>587.92100000000005</v>
      </c>
      <c r="O39" s="196">
        <f t="shared" si="9"/>
        <v>156.05799999999999</v>
      </c>
      <c r="P39" s="813">
        <f t="shared" si="10"/>
        <v>0</v>
      </c>
      <c r="Q39" s="196">
        <f t="shared" si="11"/>
        <v>0</v>
      </c>
      <c r="R39" s="196">
        <f>6.72+6.5</f>
        <v>13.219999999999999</v>
      </c>
      <c r="S39" s="196">
        <f>1.408+1.7095</f>
        <v>3.1174999999999997</v>
      </c>
      <c r="T39" s="196"/>
      <c r="U39" s="196">
        <f t="shared" si="12"/>
        <v>0</v>
      </c>
      <c r="V39" s="196">
        <f t="shared" si="1"/>
        <v>-8.5265128291212022E-14</v>
      </c>
      <c r="W39" s="812">
        <f t="shared" si="2"/>
        <v>0.3916224161069195</v>
      </c>
      <c r="X39" s="805"/>
      <c r="Y39" s="1008">
        <v>575.4</v>
      </c>
      <c r="Z39" s="1008">
        <v>152.73442044084152</v>
      </c>
      <c r="AA39" s="1008">
        <v>40.479999999999997</v>
      </c>
      <c r="AB39" s="1008">
        <v>10.745028396672341</v>
      </c>
      <c r="AC39" s="1008">
        <v>25.741</v>
      </c>
      <c r="AD39" s="1008">
        <v>7.6389999999999993</v>
      </c>
      <c r="AE39" s="1008">
        <v>587.92100000000005</v>
      </c>
      <c r="AF39" s="1008">
        <v>156.05799999999999</v>
      </c>
      <c r="AG39" s="1008">
        <v>122.08200000000001</v>
      </c>
      <c r="AH39" s="1008">
        <v>32.605534184</v>
      </c>
      <c r="AI39" s="1008">
        <v>13.219999999999999</v>
      </c>
      <c r="AJ39" s="1008">
        <v>3.1174999999999997</v>
      </c>
      <c r="AK39" s="1008"/>
      <c r="AL39" s="1008"/>
      <c r="AM39" s="1008"/>
      <c r="AN39" s="1008"/>
      <c r="AO39" s="1008"/>
      <c r="AP39" s="1008"/>
      <c r="AQ39" s="1008"/>
      <c r="AR39" s="1008"/>
      <c r="AS39" s="1008"/>
      <c r="AT39" s="1008"/>
      <c r="AU39" s="821">
        <f>123.452+25.467+5.26+0.697+0.122+1.06</f>
        <v>156.05799999999999</v>
      </c>
      <c r="AV39" s="938"/>
      <c r="AW39" s="796"/>
      <c r="AX39" s="796"/>
      <c r="AZ39" s="799"/>
      <c r="BA39" s="799"/>
      <c r="BB39" s="800"/>
      <c r="BD39" s="801"/>
      <c r="BF39" s="801"/>
      <c r="BH39" s="797"/>
      <c r="BI39" s="806"/>
      <c r="BJ39" s="806"/>
      <c r="BK39" s="806"/>
      <c r="BL39" s="806"/>
      <c r="BM39" s="799"/>
      <c r="BN39" s="799"/>
    </row>
    <row r="40" spans="1:67" s="798" customFormat="1" ht="15" x14ac:dyDescent="0.25">
      <c r="A40" s="1083" t="s">
        <v>592</v>
      </c>
      <c r="B40" s="810" t="s">
        <v>476</v>
      </c>
      <c r="C40" s="1033">
        <v>251325.19407680997</v>
      </c>
      <c r="D40" s="196"/>
      <c r="E40" s="812">
        <f t="shared" si="3"/>
        <v>0</v>
      </c>
      <c r="F40" s="387">
        <f t="shared" si="0"/>
        <v>127.83499999999999</v>
      </c>
      <c r="G40" s="928">
        <f t="shared" si="4"/>
        <v>32.128156184809001</v>
      </c>
      <c r="H40" s="196">
        <f t="shared" si="5"/>
        <v>0</v>
      </c>
      <c r="I40" s="928">
        <f t="shared" si="6"/>
        <v>0</v>
      </c>
      <c r="J40" s="812">
        <v>24.524000000000001</v>
      </c>
      <c r="K40" s="812">
        <f>(J40*C40)/1000000</f>
        <v>6.1634990595396877</v>
      </c>
      <c r="L40" s="196">
        <f>142.5-138.789</f>
        <v>3.7110000000000127</v>
      </c>
      <c r="M40" s="812">
        <f t="shared" si="7"/>
        <v>0.93266779521904497</v>
      </c>
      <c r="N40" s="196">
        <f>L40+AE40-3.708</f>
        <v>142.50000000000003</v>
      </c>
      <c r="O40" s="196">
        <f t="shared" si="9"/>
        <v>37.677667795219051</v>
      </c>
      <c r="P40" s="813">
        <f t="shared" si="10"/>
        <v>3.7110000000000127</v>
      </c>
      <c r="Q40" s="196">
        <f t="shared" si="11"/>
        <v>0.93266779521904497</v>
      </c>
      <c r="R40" s="196"/>
      <c r="S40" s="196"/>
      <c r="T40" s="196">
        <v>3.7080000000000002</v>
      </c>
      <c r="U40" s="196">
        <f t="shared" si="12"/>
        <v>0.93191381963681141</v>
      </c>
      <c r="V40" s="196">
        <f t="shared" si="1"/>
        <v>6.1509999999999518</v>
      </c>
      <c r="W40" s="812">
        <f t="shared" si="2"/>
        <v>-0.31792637050717321</v>
      </c>
      <c r="X40" s="805"/>
      <c r="Y40" s="1008">
        <v>127.83499999999999</v>
      </c>
      <c r="Z40" s="1008">
        <v>32.128156184809001</v>
      </c>
      <c r="AA40" s="1008">
        <v>25</v>
      </c>
      <c r="AB40" s="1008">
        <v>6.2831298519202488</v>
      </c>
      <c r="AC40" s="1008">
        <v>24.524000000000001</v>
      </c>
      <c r="AD40" s="1008">
        <v>4.8689999999999998</v>
      </c>
      <c r="AE40" s="1008">
        <v>142.49700000000001</v>
      </c>
      <c r="AF40" s="1008">
        <v>36.745000000000005</v>
      </c>
      <c r="AG40" s="1008">
        <v>51.680999999999997</v>
      </c>
      <c r="AH40" s="1008">
        <v>13.466000000000001</v>
      </c>
      <c r="AI40" s="1008"/>
      <c r="AJ40" s="1008"/>
      <c r="AK40" s="1008"/>
      <c r="AL40" s="1008"/>
      <c r="AM40" s="1008"/>
      <c r="AN40" s="1008"/>
      <c r="AO40" s="1008"/>
      <c r="AP40" s="1008"/>
      <c r="AQ40" s="1008"/>
      <c r="AR40" s="1008"/>
      <c r="AS40" s="1008"/>
      <c r="AT40" s="1008"/>
      <c r="AU40" s="821">
        <f>23.279+6.575+5.926</f>
        <v>35.78</v>
      </c>
      <c r="AV40" s="938"/>
      <c r="AW40" s="796"/>
      <c r="AX40" s="796"/>
      <c r="AZ40" s="799"/>
      <c r="BA40" s="799"/>
      <c r="BB40" s="800"/>
      <c r="BD40" s="801"/>
      <c r="BF40" s="801"/>
      <c r="BH40" s="797"/>
      <c r="BI40" s="806"/>
      <c r="BJ40" s="806"/>
      <c r="BK40" s="806"/>
      <c r="BL40" s="806"/>
      <c r="BM40" s="799"/>
      <c r="BN40" s="799"/>
    </row>
    <row r="41" spans="1:67" s="798" customFormat="1" ht="15" x14ac:dyDescent="0.25">
      <c r="A41" s="1083" t="s">
        <v>715</v>
      </c>
      <c r="B41" s="810"/>
      <c r="C41" s="1033">
        <v>134156.93959274091</v>
      </c>
      <c r="D41" s="196"/>
      <c r="E41" s="812">
        <f t="shared" si="3"/>
        <v>0</v>
      </c>
      <c r="F41" s="387">
        <f t="shared" si="0"/>
        <v>0</v>
      </c>
      <c r="G41" s="928">
        <f t="shared" si="4"/>
        <v>0</v>
      </c>
      <c r="H41" s="196">
        <f t="shared" si="5"/>
        <v>0</v>
      </c>
      <c r="I41" s="928">
        <f t="shared" si="6"/>
        <v>0</v>
      </c>
      <c r="J41" s="812">
        <v>23.474</v>
      </c>
      <c r="K41" s="812">
        <v>3.1492</v>
      </c>
      <c r="L41" s="196"/>
      <c r="M41" s="812">
        <f t="shared" si="7"/>
        <v>0</v>
      </c>
      <c r="N41" s="196">
        <f t="shared" si="8"/>
        <v>0</v>
      </c>
      <c r="O41" s="196">
        <f t="shared" si="9"/>
        <v>0</v>
      </c>
      <c r="P41" s="813">
        <f t="shared" si="10"/>
        <v>0</v>
      </c>
      <c r="Q41" s="196">
        <f t="shared" si="11"/>
        <v>0</v>
      </c>
      <c r="R41" s="196">
        <v>0.68</v>
      </c>
      <c r="S41" s="196">
        <v>9.3899999999999997E-2</v>
      </c>
      <c r="T41" s="196"/>
      <c r="U41" s="196">
        <f t="shared" si="12"/>
        <v>0</v>
      </c>
      <c r="V41" s="196">
        <f t="shared" si="1"/>
        <v>22.794</v>
      </c>
      <c r="W41" s="812">
        <f t="shared" si="2"/>
        <v>3.0552999999999999</v>
      </c>
      <c r="X41" s="805"/>
      <c r="Y41" s="1008">
        <v>0</v>
      </c>
      <c r="Z41" s="1008">
        <v>0</v>
      </c>
      <c r="AA41" s="1008">
        <v>0</v>
      </c>
      <c r="AB41" s="1008">
        <v>0</v>
      </c>
      <c r="AC41" s="1008">
        <v>23.474</v>
      </c>
      <c r="AD41" s="1008">
        <v>3.1492</v>
      </c>
      <c r="AE41" s="1008">
        <v>0</v>
      </c>
      <c r="AF41" s="1008">
        <v>0</v>
      </c>
      <c r="AG41" s="1008">
        <v>0</v>
      </c>
      <c r="AH41" s="1008">
        <v>0</v>
      </c>
      <c r="AI41" s="1008">
        <v>0.68</v>
      </c>
      <c r="AJ41" s="1008">
        <v>9.3899999999999997E-2</v>
      </c>
      <c r="AK41" s="1008"/>
      <c r="AL41" s="1008"/>
      <c r="AM41" s="1008"/>
      <c r="AN41" s="1008"/>
      <c r="AO41" s="1008"/>
      <c r="AP41" s="1008"/>
      <c r="AQ41" s="1008"/>
      <c r="AR41" s="1008"/>
      <c r="AS41" s="1008"/>
      <c r="AT41" s="1008"/>
      <c r="AU41" s="821"/>
      <c r="AV41" s="938"/>
      <c r="AW41" s="796"/>
      <c r="AX41" s="796"/>
      <c r="AZ41" s="799"/>
      <c r="BA41" s="799"/>
      <c r="BB41" s="800"/>
      <c r="BD41" s="801"/>
      <c r="BF41" s="801"/>
      <c r="BH41" s="797"/>
      <c r="BI41" s="806"/>
      <c r="BJ41" s="806"/>
      <c r="BK41" s="806"/>
      <c r="BL41" s="806"/>
      <c r="BM41" s="799"/>
      <c r="BN41" s="799"/>
    </row>
    <row r="42" spans="1:67" s="798" customFormat="1" ht="15" x14ac:dyDescent="0.25">
      <c r="A42" s="1083" t="s">
        <v>716</v>
      </c>
      <c r="B42" s="810"/>
      <c r="C42" s="1033">
        <v>275475.36154258164</v>
      </c>
      <c r="D42" s="196"/>
      <c r="E42" s="812">
        <f t="shared" si="3"/>
        <v>0</v>
      </c>
      <c r="F42" s="387">
        <f t="shared" ref="F42:F73" si="13">D42+Y42</f>
        <v>0</v>
      </c>
      <c r="G42" s="928">
        <f t="shared" si="4"/>
        <v>0</v>
      </c>
      <c r="H42" s="196">
        <f t="shared" si="5"/>
        <v>0</v>
      </c>
      <c r="I42" s="928">
        <f t="shared" si="6"/>
        <v>0</v>
      </c>
      <c r="J42" s="812">
        <v>29.872</v>
      </c>
      <c r="K42" s="812">
        <v>8.2289999999999992</v>
      </c>
      <c r="L42" s="196"/>
      <c r="M42" s="812">
        <f t="shared" si="7"/>
        <v>0</v>
      </c>
      <c r="N42" s="196">
        <f t="shared" si="8"/>
        <v>0</v>
      </c>
      <c r="O42" s="196">
        <f t="shared" si="9"/>
        <v>0</v>
      </c>
      <c r="P42" s="813">
        <f t="shared" si="10"/>
        <v>0</v>
      </c>
      <c r="Q42" s="196">
        <f t="shared" si="11"/>
        <v>0</v>
      </c>
      <c r="R42" s="196">
        <v>6.4189999999999996</v>
      </c>
      <c r="S42" s="196">
        <v>1.7682</v>
      </c>
      <c r="T42" s="196"/>
      <c r="U42" s="196">
        <f t="shared" si="12"/>
        <v>0</v>
      </c>
      <c r="V42" s="196">
        <f t="shared" ref="V42:V73" si="14">F42+J42-N42-R42-T42</f>
        <v>23.452999999999999</v>
      </c>
      <c r="W42" s="812">
        <f t="shared" ref="W42:W73" si="15">G42+K42-O42-S42-U42</f>
        <v>6.460799999999999</v>
      </c>
      <c r="X42" s="805"/>
      <c r="Y42" s="1008">
        <v>0</v>
      </c>
      <c r="Z42" s="1008">
        <v>0</v>
      </c>
      <c r="AA42" s="1008">
        <v>0</v>
      </c>
      <c r="AB42" s="1008">
        <v>0</v>
      </c>
      <c r="AC42" s="1008">
        <v>29.872</v>
      </c>
      <c r="AD42" s="1008">
        <v>8.2289999999999992</v>
      </c>
      <c r="AE42" s="1008">
        <v>0</v>
      </c>
      <c r="AF42" s="1008">
        <v>0</v>
      </c>
      <c r="AG42" s="1008">
        <v>0</v>
      </c>
      <c r="AH42" s="1008">
        <v>0</v>
      </c>
      <c r="AI42" s="1008">
        <v>6.4189999999999996</v>
      </c>
      <c r="AJ42" s="1008">
        <v>1.7682</v>
      </c>
      <c r="AK42" s="1008"/>
      <c r="AL42" s="1008"/>
      <c r="AM42" s="1008"/>
      <c r="AN42" s="1008"/>
      <c r="AO42" s="1008"/>
      <c r="AP42" s="1008"/>
      <c r="AQ42" s="1008"/>
      <c r="AR42" s="1008"/>
      <c r="AS42" s="1008"/>
      <c r="AT42" s="1008"/>
      <c r="AU42" s="821"/>
      <c r="AV42" s="938"/>
      <c r="AW42" s="796"/>
      <c r="AX42" s="796"/>
      <c r="AZ42" s="799"/>
      <c r="BA42" s="799"/>
      <c r="BB42" s="800"/>
      <c r="BD42" s="801"/>
      <c r="BF42" s="801"/>
      <c r="BH42" s="797"/>
      <c r="BI42" s="806"/>
      <c r="BJ42" s="806"/>
      <c r="BK42" s="806"/>
      <c r="BL42" s="806"/>
      <c r="BM42" s="799"/>
      <c r="BN42" s="799"/>
    </row>
    <row r="43" spans="1:67" s="798" customFormat="1" ht="15" x14ac:dyDescent="0.25">
      <c r="A43" s="1087" t="s">
        <v>551</v>
      </c>
      <c r="B43" s="810" t="s">
        <v>562</v>
      </c>
      <c r="C43" s="1033">
        <v>779.86633249791146</v>
      </c>
      <c r="D43" s="196"/>
      <c r="E43" s="812">
        <f t="shared" si="3"/>
        <v>0</v>
      </c>
      <c r="F43" s="387">
        <f t="shared" si="13"/>
        <v>7182</v>
      </c>
      <c r="G43" s="928">
        <f t="shared" si="4"/>
        <v>5.601</v>
      </c>
      <c r="H43" s="196">
        <f t="shared" si="5"/>
        <v>0</v>
      </c>
      <c r="I43" s="928">
        <f t="shared" si="6"/>
        <v>0</v>
      </c>
      <c r="J43" s="812"/>
      <c r="K43" s="812"/>
      <c r="L43" s="196">
        <v>0</v>
      </c>
      <c r="M43" s="812">
        <f t="shared" si="7"/>
        <v>0</v>
      </c>
      <c r="N43" s="196">
        <f t="shared" si="8"/>
        <v>7182</v>
      </c>
      <c r="O43" s="196">
        <f t="shared" si="9"/>
        <v>5.601</v>
      </c>
      <c r="P43" s="813">
        <f t="shared" si="10"/>
        <v>0</v>
      </c>
      <c r="Q43" s="196">
        <f t="shared" si="11"/>
        <v>0</v>
      </c>
      <c r="R43" s="196"/>
      <c r="S43" s="196"/>
      <c r="T43" s="196"/>
      <c r="U43" s="196"/>
      <c r="V43" s="196">
        <f t="shared" si="14"/>
        <v>0</v>
      </c>
      <c r="W43" s="812">
        <f t="shared" si="15"/>
        <v>0</v>
      </c>
      <c r="X43" s="805"/>
      <c r="Y43" s="1008">
        <v>7182</v>
      </c>
      <c r="Z43" s="1008">
        <v>5.601</v>
      </c>
      <c r="AA43" s="1008">
        <v>1590</v>
      </c>
      <c r="AB43" s="1008">
        <v>1.2399874686716792</v>
      </c>
      <c r="AC43" s="1008"/>
      <c r="AD43" s="1008"/>
      <c r="AE43" s="1008">
        <v>7182</v>
      </c>
      <c r="AF43" s="1008">
        <v>5.601</v>
      </c>
      <c r="AG43" s="1008">
        <v>2817</v>
      </c>
      <c r="AH43" s="1008">
        <v>2.1970000000000001</v>
      </c>
      <c r="AI43" s="1008"/>
      <c r="AJ43" s="1008"/>
      <c r="AK43" s="1008"/>
      <c r="AL43" s="1008"/>
      <c r="AM43" s="1008"/>
      <c r="AN43" s="1008"/>
      <c r="AO43" s="1008"/>
      <c r="AP43" s="1008"/>
      <c r="AQ43" s="1008"/>
      <c r="AR43" s="1008"/>
      <c r="AS43" s="1008"/>
      <c r="AT43" s="1008"/>
      <c r="AU43" s="821">
        <f>3.404+1.172-0.215+1.24</f>
        <v>5.601</v>
      </c>
      <c r="AV43" s="938"/>
      <c r="AW43" s="796"/>
      <c r="AX43" s="796"/>
      <c r="AZ43" s="799"/>
      <c r="BA43" s="799"/>
      <c r="BB43" s="800"/>
      <c r="BD43" s="801"/>
      <c r="BF43" s="801"/>
      <c r="BH43" s="797"/>
      <c r="BI43" s="806"/>
      <c r="BJ43" s="806"/>
      <c r="BK43" s="806"/>
      <c r="BL43" s="806"/>
      <c r="BM43" s="799"/>
      <c r="BN43" s="799"/>
    </row>
    <row r="44" spans="1:67" s="798" customFormat="1" ht="15" x14ac:dyDescent="0.25">
      <c r="A44" s="1087" t="s">
        <v>552</v>
      </c>
      <c r="B44" s="810" t="s">
        <v>562</v>
      </c>
      <c r="C44" s="1033">
        <v>912.80996206099212</v>
      </c>
      <c r="D44" s="196"/>
      <c r="E44" s="812">
        <f t="shared" si="3"/>
        <v>0</v>
      </c>
      <c r="F44" s="387">
        <f t="shared" si="13"/>
        <v>5453.49</v>
      </c>
      <c r="G44" s="928">
        <f t="shared" si="4"/>
        <v>4.9779999999999998</v>
      </c>
      <c r="H44" s="196">
        <f t="shared" si="5"/>
        <v>0</v>
      </c>
      <c r="I44" s="928">
        <f t="shared" si="6"/>
        <v>0</v>
      </c>
      <c r="J44" s="812"/>
      <c r="K44" s="812"/>
      <c r="L44" s="196"/>
      <c r="M44" s="812">
        <f t="shared" si="7"/>
        <v>0</v>
      </c>
      <c r="N44" s="196">
        <f t="shared" si="8"/>
        <v>5453.49</v>
      </c>
      <c r="O44" s="196">
        <f t="shared" si="9"/>
        <v>4.9779999999999998</v>
      </c>
      <c r="P44" s="813">
        <f t="shared" si="10"/>
        <v>0</v>
      </c>
      <c r="Q44" s="196">
        <f t="shared" si="11"/>
        <v>0</v>
      </c>
      <c r="R44" s="196"/>
      <c r="S44" s="196"/>
      <c r="T44" s="196"/>
      <c r="U44" s="196"/>
      <c r="V44" s="196">
        <f t="shared" si="14"/>
        <v>0</v>
      </c>
      <c r="W44" s="812">
        <f t="shared" si="15"/>
        <v>0</v>
      </c>
      <c r="X44" s="805"/>
      <c r="Y44" s="1008">
        <v>5453.49</v>
      </c>
      <c r="Z44" s="1008">
        <v>4.9779999999999998</v>
      </c>
      <c r="AA44" s="1008">
        <v>2900.49</v>
      </c>
      <c r="AB44" s="1008">
        <v>2.6475961668582872</v>
      </c>
      <c r="AC44" s="1008"/>
      <c r="AD44" s="1008"/>
      <c r="AE44" s="1008">
        <v>5453.49</v>
      </c>
      <c r="AF44" s="1008">
        <v>4.9779999999999998</v>
      </c>
      <c r="AG44" s="1008">
        <v>2900.49</v>
      </c>
      <c r="AH44" s="1008">
        <v>1.212</v>
      </c>
      <c r="AI44" s="1008"/>
      <c r="AJ44" s="1008"/>
      <c r="AK44" s="1008"/>
      <c r="AL44" s="1008"/>
      <c r="AM44" s="1008"/>
      <c r="AN44" s="1008"/>
      <c r="AO44" s="1008"/>
      <c r="AP44" s="1008"/>
      <c r="AQ44" s="1008"/>
      <c r="AR44" s="1008"/>
      <c r="AS44" s="1008"/>
      <c r="AT44" s="1008"/>
      <c r="AU44" s="821">
        <f>3.766+1.033+0.179</f>
        <v>4.9779999999999998</v>
      </c>
      <c r="AV44" s="938"/>
      <c r="AW44" s="796"/>
      <c r="AX44" s="796"/>
      <c r="AZ44" s="799"/>
      <c r="BA44" s="799"/>
      <c r="BB44" s="800"/>
      <c r="BD44" s="801"/>
      <c r="BF44" s="801"/>
      <c r="BH44" s="797"/>
      <c r="BI44" s="806"/>
      <c r="BJ44" s="806"/>
      <c r="BK44" s="806"/>
      <c r="BL44" s="806"/>
      <c r="BM44" s="799"/>
      <c r="BN44" s="799"/>
    </row>
    <row r="45" spans="1:67" s="798" customFormat="1" ht="15" x14ac:dyDescent="0.25">
      <c r="A45" s="1087" t="s">
        <v>557</v>
      </c>
      <c r="B45" s="810" t="s">
        <v>562</v>
      </c>
      <c r="C45" s="1033">
        <v>985.14285714285711</v>
      </c>
      <c r="D45" s="196"/>
      <c r="E45" s="812">
        <f t="shared" si="3"/>
        <v>0</v>
      </c>
      <c r="F45" s="387">
        <f t="shared" si="13"/>
        <v>24500</v>
      </c>
      <c r="G45" s="928">
        <f t="shared" si="4"/>
        <v>24.135999999999999</v>
      </c>
      <c r="H45" s="196">
        <f t="shared" si="5"/>
        <v>0</v>
      </c>
      <c r="I45" s="928">
        <f t="shared" si="6"/>
        <v>0</v>
      </c>
      <c r="J45" s="812"/>
      <c r="K45" s="812"/>
      <c r="L45" s="196"/>
      <c r="M45" s="812">
        <f t="shared" si="7"/>
        <v>0</v>
      </c>
      <c r="N45" s="196">
        <f t="shared" si="8"/>
        <v>24500</v>
      </c>
      <c r="O45" s="196">
        <f t="shared" si="9"/>
        <v>24.135999999999999</v>
      </c>
      <c r="P45" s="813">
        <f t="shared" si="10"/>
        <v>0</v>
      </c>
      <c r="Q45" s="196">
        <f t="shared" si="11"/>
        <v>0</v>
      </c>
      <c r="R45" s="196"/>
      <c r="S45" s="196"/>
      <c r="T45" s="196"/>
      <c r="U45" s="196"/>
      <c r="V45" s="196">
        <f t="shared" si="14"/>
        <v>0</v>
      </c>
      <c r="W45" s="812">
        <f t="shared" si="15"/>
        <v>0</v>
      </c>
      <c r="X45" s="805"/>
      <c r="Y45" s="1008">
        <v>24500</v>
      </c>
      <c r="Z45" s="1008">
        <v>24.135999999999999</v>
      </c>
      <c r="AA45" s="1008">
        <v>14000</v>
      </c>
      <c r="AB45" s="1008">
        <v>13.792</v>
      </c>
      <c r="AC45" s="1008"/>
      <c r="AD45" s="1008"/>
      <c r="AE45" s="1008">
        <v>24500</v>
      </c>
      <c r="AF45" s="1008">
        <v>24.135999999999999</v>
      </c>
      <c r="AG45" s="1008">
        <v>20000</v>
      </c>
      <c r="AH45" s="1008">
        <v>16.756</v>
      </c>
      <c r="AI45" s="1008"/>
      <c r="AJ45" s="1008"/>
      <c r="AK45" s="1008"/>
      <c r="AL45" s="1008"/>
      <c r="AM45" s="1008"/>
      <c r="AN45" s="1008"/>
      <c r="AO45" s="1008"/>
      <c r="AP45" s="1008"/>
      <c r="AQ45" s="1008"/>
      <c r="AR45" s="1008"/>
      <c r="AS45" s="1008"/>
      <c r="AT45" s="1008"/>
      <c r="AU45" s="821">
        <f>7.38+8.756+3.75+4.25</f>
        <v>24.135999999999999</v>
      </c>
      <c r="AV45" s="938"/>
      <c r="AW45" s="796"/>
      <c r="AX45" s="796"/>
      <c r="AZ45" s="799"/>
      <c r="BA45" s="799"/>
      <c r="BB45" s="800"/>
      <c r="BD45" s="801"/>
      <c r="BF45" s="801"/>
      <c r="BH45" s="797"/>
      <c r="BI45" s="806"/>
      <c r="BJ45" s="806"/>
      <c r="BK45" s="806"/>
      <c r="BL45" s="806"/>
      <c r="BM45" s="799"/>
      <c r="BN45" s="799"/>
    </row>
    <row r="46" spans="1:67" s="798" customFormat="1" ht="15" x14ac:dyDescent="0.25">
      <c r="A46" s="1087" t="s">
        <v>553</v>
      </c>
      <c r="B46" s="810" t="s">
        <v>562</v>
      </c>
      <c r="C46" s="1033">
        <v>1952.1367521367522</v>
      </c>
      <c r="D46" s="196"/>
      <c r="E46" s="812">
        <f t="shared" si="3"/>
        <v>0</v>
      </c>
      <c r="F46" s="387">
        <f t="shared" si="13"/>
        <v>2340</v>
      </c>
      <c r="G46" s="928">
        <f t="shared" si="4"/>
        <v>4.5679999999999996</v>
      </c>
      <c r="H46" s="196">
        <f t="shared" si="5"/>
        <v>0</v>
      </c>
      <c r="I46" s="928">
        <f t="shared" si="6"/>
        <v>0</v>
      </c>
      <c r="J46" s="812"/>
      <c r="K46" s="812"/>
      <c r="L46" s="196"/>
      <c r="M46" s="812">
        <f t="shared" si="7"/>
        <v>0</v>
      </c>
      <c r="N46" s="196">
        <f t="shared" si="8"/>
        <v>2340</v>
      </c>
      <c r="O46" s="196">
        <f t="shared" si="9"/>
        <v>4.5679999999999996</v>
      </c>
      <c r="P46" s="813">
        <f t="shared" si="10"/>
        <v>0</v>
      </c>
      <c r="Q46" s="196">
        <f t="shared" si="11"/>
        <v>0</v>
      </c>
      <c r="R46" s="196"/>
      <c r="S46" s="196"/>
      <c r="T46" s="196"/>
      <c r="U46" s="196"/>
      <c r="V46" s="196">
        <f t="shared" si="14"/>
        <v>0</v>
      </c>
      <c r="W46" s="812">
        <f t="shared" si="15"/>
        <v>0</v>
      </c>
      <c r="X46" s="805"/>
      <c r="Y46" s="1008">
        <v>2340</v>
      </c>
      <c r="Z46" s="1008">
        <v>4.5679999999999996</v>
      </c>
      <c r="AA46" s="1008">
        <v>0</v>
      </c>
      <c r="AB46" s="1008">
        <v>0</v>
      </c>
      <c r="AC46" s="1008"/>
      <c r="AD46" s="1008"/>
      <c r="AE46" s="1008">
        <v>2340</v>
      </c>
      <c r="AF46" s="1008">
        <v>4.5679999999999996</v>
      </c>
      <c r="AG46" s="1008">
        <v>990</v>
      </c>
      <c r="AH46" s="1008">
        <v>0.89500000000000002</v>
      </c>
      <c r="AI46" s="1008"/>
      <c r="AJ46" s="1008"/>
      <c r="AK46" s="1008"/>
      <c r="AL46" s="1008"/>
      <c r="AM46" s="1008"/>
      <c r="AN46" s="1008"/>
      <c r="AO46" s="1008"/>
      <c r="AP46" s="1008"/>
      <c r="AQ46" s="1008"/>
      <c r="AR46" s="1008"/>
      <c r="AS46" s="1008"/>
      <c r="AT46" s="1008"/>
      <c r="AU46" s="821">
        <f>3.673+0.062+0.189+0.644</f>
        <v>4.5679999999999996</v>
      </c>
      <c r="AV46" s="938"/>
      <c r="AW46" s="796"/>
      <c r="AX46" s="796"/>
      <c r="AZ46" s="799"/>
      <c r="BA46" s="799"/>
      <c r="BB46" s="800"/>
      <c r="BD46" s="801"/>
      <c r="BF46" s="801"/>
      <c r="BH46" s="797"/>
      <c r="BI46" s="806"/>
      <c r="BJ46" s="806"/>
      <c r="BK46" s="806"/>
      <c r="BL46" s="806"/>
      <c r="BM46" s="799"/>
      <c r="BN46" s="799"/>
    </row>
    <row r="47" spans="1:67" s="798" customFormat="1" ht="15" x14ac:dyDescent="0.25">
      <c r="A47" s="1087" t="s">
        <v>554</v>
      </c>
      <c r="B47" s="810" t="s">
        <v>562</v>
      </c>
      <c r="C47" s="1033">
        <v>2672.2972972972971</v>
      </c>
      <c r="D47" s="196"/>
      <c r="E47" s="812">
        <f t="shared" si="3"/>
        <v>0</v>
      </c>
      <c r="F47" s="387">
        <f t="shared" si="13"/>
        <v>1184</v>
      </c>
      <c r="G47" s="928">
        <f t="shared" si="4"/>
        <v>3.1639999999999997</v>
      </c>
      <c r="H47" s="196">
        <f t="shared" si="5"/>
        <v>0</v>
      </c>
      <c r="I47" s="928">
        <f t="shared" si="6"/>
        <v>0</v>
      </c>
      <c r="J47" s="812"/>
      <c r="K47" s="812"/>
      <c r="L47" s="196"/>
      <c r="M47" s="812">
        <f t="shared" si="7"/>
        <v>0</v>
      </c>
      <c r="N47" s="196">
        <f t="shared" si="8"/>
        <v>1184</v>
      </c>
      <c r="O47" s="196">
        <f t="shared" si="9"/>
        <v>3.1639999999999997</v>
      </c>
      <c r="P47" s="813">
        <f t="shared" si="10"/>
        <v>0</v>
      </c>
      <c r="Q47" s="196">
        <f t="shared" si="11"/>
        <v>0</v>
      </c>
      <c r="R47" s="196"/>
      <c r="S47" s="196"/>
      <c r="T47" s="196"/>
      <c r="U47" s="196"/>
      <c r="V47" s="196">
        <f t="shared" si="14"/>
        <v>0</v>
      </c>
      <c r="W47" s="812">
        <f t="shared" si="15"/>
        <v>0</v>
      </c>
      <c r="X47" s="805"/>
      <c r="Y47" s="1008">
        <v>1184</v>
      </c>
      <c r="Z47" s="1008">
        <v>3.1639999999999997</v>
      </c>
      <c r="AA47" s="1008">
        <v>0</v>
      </c>
      <c r="AB47" s="1008">
        <v>0</v>
      </c>
      <c r="AC47" s="1008"/>
      <c r="AD47" s="1008"/>
      <c r="AE47" s="1008">
        <v>1184</v>
      </c>
      <c r="AF47" s="1008">
        <v>3.1639999999999997</v>
      </c>
      <c r="AG47" s="1008">
        <v>1069</v>
      </c>
      <c r="AH47" s="1008">
        <v>2.4870000000000001</v>
      </c>
      <c r="AI47" s="1008"/>
      <c r="AJ47" s="1008"/>
      <c r="AK47" s="1008"/>
      <c r="AL47" s="1008"/>
      <c r="AM47" s="1008"/>
      <c r="AN47" s="1008"/>
      <c r="AO47" s="1008"/>
      <c r="AP47" s="1008"/>
      <c r="AQ47" s="1008"/>
      <c r="AR47" s="1008"/>
      <c r="AS47" s="1008"/>
      <c r="AT47" s="1008"/>
      <c r="AU47" s="821">
        <f>0.677+0.412+0.536+0.893+0.646</f>
        <v>3.1639999999999997</v>
      </c>
      <c r="AV47" s="938"/>
      <c r="AW47" s="796"/>
      <c r="AX47" s="796"/>
      <c r="AZ47" s="799"/>
      <c r="BA47" s="799"/>
      <c r="BB47" s="800"/>
      <c r="BD47" s="801"/>
      <c r="BF47" s="801"/>
      <c r="BH47" s="797"/>
      <c r="BI47" s="806"/>
      <c r="BJ47" s="806"/>
      <c r="BK47" s="806"/>
      <c r="BL47" s="806"/>
      <c r="BM47" s="799"/>
      <c r="BN47" s="799"/>
    </row>
    <row r="48" spans="1:67" s="798" customFormat="1" ht="15" x14ac:dyDescent="0.25">
      <c r="A48" s="1087" t="s">
        <v>555</v>
      </c>
      <c r="B48" s="810" t="s">
        <v>562</v>
      </c>
      <c r="C48" s="1033">
        <v>9295.7535885167472</v>
      </c>
      <c r="D48" s="196"/>
      <c r="E48" s="812">
        <f t="shared" si="3"/>
        <v>0</v>
      </c>
      <c r="F48" s="387">
        <f t="shared" si="13"/>
        <v>668.8</v>
      </c>
      <c r="G48" s="928">
        <f t="shared" si="4"/>
        <v>6.2169999999999996</v>
      </c>
      <c r="H48" s="196">
        <f t="shared" si="5"/>
        <v>0</v>
      </c>
      <c r="I48" s="928">
        <f t="shared" si="6"/>
        <v>0</v>
      </c>
      <c r="J48" s="812"/>
      <c r="K48" s="812"/>
      <c r="L48" s="196"/>
      <c r="M48" s="812">
        <f t="shared" si="7"/>
        <v>0</v>
      </c>
      <c r="N48" s="196">
        <f t="shared" si="8"/>
        <v>668.8</v>
      </c>
      <c r="O48" s="196">
        <f t="shared" si="9"/>
        <v>6.2169999999999996</v>
      </c>
      <c r="P48" s="813">
        <f t="shared" si="10"/>
        <v>0</v>
      </c>
      <c r="Q48" s="196">
        <f t="shared" si="11"/>
        <v>0</v>
      </c>
      <c r="R48" s="196"/>
      <c r="S48" s="196"/>
      <c r="T48" s="196"/>
      <c r="U48" s="196"/>
      <c r="V48" s="196">
        <f t="shared" si="14"/>
        <v>0</v>
      </c>
      <c r="W48" s="812">
        <f t="shared" si="15"/>
        <v>0</v>
      </c>
      <c r="X48" s="805"/>
      <c r="Y48" s="1008">
        <v>668.8</v>
      </c>
      <c r="Z48" s="1008">
        <v>6.2169999999999996</v>
      </c>
      <c r="AA48" s="1008">
        <v>0</v>
      </c>
      <c r="AB48" s="1008">
        <v>0</v>
      </c>
      <c r="AC48" s="1008"/>
      <c r="AD48" s="1008"/>
      <c r="AE48" s="1008">
        <v>668.8</v>
      </c>
      <c r="AF48" s="1008">
        <v>6.2169999999999996</v>
      </c>
      <c r="AG48" s="1008">
        <v>668.8</v>
      </c>
      <c r="AH48" s="1008">
        <v>6.2169999999999996</v>
      </c>
      <c r="AI48" s="1008"/>
      <c r="AJ48" s="1008"/>
      <c r="AK48" s="1008"/>
      <c r="AL48" s="1008"/>
      <c r="AM48" s="1008"/>
      <c r="AN48" s="1008"/>
      <c r="AO48" s="1008"/>
      <c r="AP48" s="1008"/>
      <c r="AQ48" s="1008"/>
      <c r="AR48" s="1008"/>
      <c r="AS48" s="1008"/>
      <c r="AT48" s="1008"/>
      <c r="AU48" s="821">
        <f>0.595+0.567+2.845+1.952+0.258</f>
        <v>6.2169999999999996</v>
      </c>
      <c r="AV48" s="938"/>
      <c r="AW48" s="796"/>
      <c r="AX48" s="796"/>
      <c r="AZ48" s="799"/>
      <c r="BA48" s="799"/>
      <c r="BB48" s="800"/>
      <c r="BD48" s="801"/>
      <c r="BF48" s="801"/>
      <c r="BH48" s="797"/>
      <c r="BI48" s="806"/>
      <c r="BJ48" s="806"/>
      <c r="BK48" s="806"/>
      <c r="BL48" s="806"/>
      <c r="BM48" s="799"/>
      <c r="BN48" s="799"/>
    </row>
    <row r="49" spans="1:66" ht="15" x14ac:dyDescent="0.25">
      <c r="A49" s="1087" t="s">
        <v>556</v>
      </c>
      <c r="B49" s="810" t="s">
        <v>562</v>
      </c>
      <c r="C49" s="1033">
        <v>11828.298887122417</v>
      </c>
      <c r="D49" s="196"/>
      <c r="E49" s="812">
        <f t="shared" si="3"/>
        <v>0</v>
      </c>
      <c r="F49" s="387">
        <f t="shared" si="13"/>
        <v>62.9</v>
      </c>
      <c r="G49" s="928">
        <f t="shared" si="4"/>
        <v>0.74399999999999999</v>
      </c>
      <c r="H49" s="196">
        <f t="shared" si="5"/>
        <v>0</v>
      </c>
      <c r="I49" s="928">
        <f t="shared" si="6"/>
        <v>0</v>
      </c>
      <c r="J49" s="812"/>
      <c r="K49" s="812"/>
      <c r="L49" s="196"/>
      <c r="M49" s="812">
        <f t="shared" si="7"/>
        <v>0</v>
      </c>
      <c r="N49" s="196">
        <f t="shared" si="8"/>
        <v>62.9</v>
      </c>
      <c r="O49" s="196">
        <f t="shared" si="9"/>
        <v>0.74399999999999999</v>
      </c>
      <c r="P49" s="813">
        <f t="shared" si="10"/>
        <v>0</v>
      </c>
      <c r="Q49" s="196">
        <f t="shared" si="11"/>
        <v>0</v>
      </c>
      <c r="R49" s="196"/>
      <c r="S49" s="196"/>
      <c r="T49" s="196"/>
      <c r="U49" s="196"/>
      <c r="V49" s="196">
        <f t="shared" si="14"/>
        <v>0</v>
      </c>
      <c r="W49" s="812">
        <f t="shared" si="15"/>
        <v>0</v>
      </c>
      <c r="X49" s="194"/>
      <c r="Y49" s="955">
        <v>62.9</v>
      </c>
      <c r="Z49" s="955">
        <v>0.74399999999999999</v>
      </c>
      <c r="AA49" s="955">
        <v>0</v>
      </c>
      <c r="AB49" s="955">
        <v>0</v>
      </c>
      <c r="AC49" s="955"/>
      <c r="AD49" s="955"/>
      <c r="AE49" s="955">
        <v>62.9</v>
      </c>
      <c r="AF49" s="955">
        <v>0.74399999999999999</v>
      </c>
      <c r="AG49" s="955">
        <v>62.9</v>
      </c>
      <c r="AH49" s="955">
        <v>0.74399999999999999</v>
      </c>
      <c r="AI49" s="955"/>
      <c r="AJ49" s="955"/>
      <c r="AK49" s="955"/>
      <c r="AL49" s="955"/>
      <c r="AM49" s="955"/>
      <c r="AN49" s="955"/>
      <c r="AO49" s="955"/>
      <c r="AP49" s="955"/>
      <c r="AQ49" s="955"/>
      <c r="AR49" s="955"/>
      <c r="AS49" s="955"/>
      <c r="AT49" s="955"/>
      <c r="AU49" s="821">
        <v>0.74399999999999999</v>
      </c>
      <c r="AV49" s="936"/>
      <c r="AW49" s="524"/>
      <c r="AX49" s="524"/>
      <c r="AZ49" s="148"/>
      <c r="BA49" s="148"/>
      <c r="BB49" s="77"/>
      <c r="BC49" s="455"/>
      <c r="BD49" s="456"/>
      <c r="BE49" s="455"/>
      <c r="BF49" s="456"/>
      <c r="BH49" s="105"/>
      <c r="BI49" s="459"/>
      <c r="BJ49" s="459"/>
      <c r="BK49" s="459"/>
      <c r="BL49" s="459"/>
      <c r="BM49" s="461"/>
      <c r="BN49" s="461"/>
    </row>
    <row r="50" spans="1:66" s="798" customFormat="1" ht="15" x14ac:dyDescent="0.25">
      <c r="A50" s="1099" t="s">
        <v>558</v>
      </c>
      <c r="B50" s="810" t="s">
        <v>495</v>
      </c>
      <c r="C50" s="1033">
        <v>725.85566095301488</v>
      </c>
      <c r="D50" s="196"/>
      <c r="E50" s="812">
        <f t="shared" si="3"/>
        <v>0</v>
      </c>
      <c r="F50" s="387">
        <f t="shared" si="13"/>
        <v>20540</v>
      </c>
      <c r="G50" s="928">
        <f t="shared" si="4"/>
        <v>14.909075275974926</v>
      </c>
      <c r="H50" s="196">
        <f t="shared" si="5"/>
        <v>0</v>
      </c>
      <c r="I50" s="928">
        <f t="shared" si="6"/>
        <v>0</v>
      </c>
      <c r="J50" s="812"/>
      <c r="K50" s="812"/>
      <c r="L50" s="196"/>
      <c r="M50" s="812">
        <f t="shared" si="7"/>
        <v>0</v>
      </c>
      <c r="N50" s="196">
        <f t="shared" si="8"/>
        <v>18027</v>
      </c>
      <c r="O50" s="196">
        <f t="shared" si="9"/>
        <v>13.084999999999999</v>
      </c>
      <c r="P50" s="813">
        <f t="shared" si="10"/>
        <v>0</v>
      </c>
      <c r="Q50" s="196">
        <f t="shared" si="11"/>
        <v>0</v>
      </c>
      <c r="R50" s="196"/>
      <c r="S50" s="196"/>
      <c r="T50" s="196"/>
      <c r="U50" s="196"/>
      <c r="V50" s="196">
        <f t="shared" si="14"/>
        <v>2513</v>
      </c>
      <c r="W50" s="812">
        <f t="shared" si="15"/>
        <v>1.824075275974927</v>
      </c>
      <c r="X50" s="805"/>
      <c r="Y50" s="1008">
        <v>20540</v>
      </c>
      <c r="Z50" s="1008">
        <v>14.909075275974926</v>
      </c>
      <c r="AA50" s="1008">
        <v>5220</v>
      </c>
      <c r="AB50" s="1008">
        <v>3.7889665501747376</v>
      </c>
      <c r="AC50" s="1008"/>
      <c r="AD50" s="1008"/>
      <c r="AE50" s="1008">
        <v>18027</v>
      </c>
      <c r="AF50" s="1008">
        <v>13.084999999999999</v>
      </c>
      <c r="AG50" s="1008">
        <v>2821</v>
      </c>
      <c r="AH50" s="1008">
        <v>2.1160000000000001</v>
      </c>
      <c r="AI50" s="1008"/>
      <c r="AJ50" s="1008"/>
      <c r="AK50" s="1008"/>
      <c r="AL50" s="1008"/>
      <c r="AM50" s="1008"/>
      <c r="AN50" s="1008"/>
      <c r="AO50" s="1008"/>
      <c r="AP50" s="1008"/>
      <c r="AQ50" s="1008"/>
      <c r="AR50" s="1008"/>
      <c r="AS50" s="1008"/>
      <c r="AT50" s="1008"/>
      <c r="AU50" s="821">
        <f>10.969+0.615+0.601+0.9</f>
        <v>13.084999999999999</v>
      </c>
      <c r="AV50" s="938"/>
      <c r="AW50" s="796"/>
      <c r="AX50" s="796"/>
      <c r="AZ50" s="799"/>
      <c r="BA50" s="799"/>
      <c r="BB50" s="800"/>
      <c r="BD50" s="801"/>
      <c r="BF50" s="801"/>
      <c r="BH50" s="797"/>
      <c r="BI50" s="806"/>
      <c r="BJ50" s="806"/>
      <c r="BK50" s="806"/>
      <c r="BL50" s="806"/>
      <c r="BM50" s="799"/>
      <c r="BN50" s="799"/>
    </row>
    <row r="51" spans="1:66" s="798" customFormat="1" ht="15" x14ac:dyDescent="0.25">
      <c r="A51" s="1099" t="s">
        <v>559</v>
      </c>
      <c r="B51" s="810" t="s">
        <v>495</v>
      </c>
      <c r="C51" s="1033">
        <v>256.61375661375666</v>
      </c>
      <c r="D51" s="196"/>
      <c r="E51" s="812">
        <f t="shared" si="3"/>
        <v>0</v>
      </c>
      <c r="F51" s="387">
        <f t="shared" si="13"/>
        <v>6080</v>
      </c>
      <c r="G51" s="928">
        <f t="shared" si="4"/>
        <v>1.5602116402116406</v>
      </c>
      <c r="H51" s="196">
        <f t="shared" si="5"/>
        <v>0</v>
      </c>
      <c r="I51" s="928">
        <f t="shared" si="6"/>
        <v>0</v>
      </c>
      <c r="J51" s="812"/>
      <c r="K51" s="812"/>
      <c r="L51" s="196"/>
      <c r="M51" s="812">
        <f t="shared" si="7"/>
        <v>0</v>
      </c>
      <c r="N51" s="196">
        <f t="shared" si="8"/>
        <v>4914</v>
      </c>
      <c r="O51" s="196">
        <f t="shared" si="9"/>
        <v>1.2610000000000001</v>
      </c>
      <c r="P51" s="813">
        <f t="shared" si="10"/>
        <v>0</v>
      </c>
      <c r="Q51" s="196">
        <f t="shared" si="11"/>
        <v>0</v>
      </c>
      <c r="R51" s="196"/>
      <c r="S51" s="196"/>
      <c r="T51" s="196"/>
      <c r="U51" s="196"/>
      <c r="V51" s="196">
        <f t="shared" si="14"/>
        <v>1166</v>
      </c>
      <c r="W51" s="812">
        <f t="shared" si="15"/>
        <v>0.29921164021164048</v>
      </c>
      <c r="X51" s="805"/>
      <c r="Y51" s="1008">
        <v>6080</v>
      </c>
      <c r="Z51" s="1008">
        <v>1.5602116402116406</v>
      </c>
      <c r="AA51" s="1008">
        <v>1400</v>
      </c>
      <c r="AB51" s="1008">
        <v>0.35925925925925933</v>
      </c>
      <c r="AC51" s="1008"/>
      <c r="AD51" s="1008"/>
      <c r="AE51" s="1008">
        <v>4914</v>
      </c>
      <c r="AF51" s="1008">
        <v>1.2610000000000001</v>
      </c>
      <c r="AG51" s="1008">
        <v>280</v>
      </c>
      <c r="AH51" s="1008">
        <v>7.0000000000000007E-2</v>
      </c>
      <c r="AI51" s="1008"/>
      <c r="AJ51" s="1008"/>
      <c r="AK51" s="1008"/>
      <c r="AL51" s="1008"/>
      <c r="AM51" s="1008"/>
      <c r="AN51" s="1008"/>
      <c r="AO51" s="1008"/>
      <c r="AP51" s="1008"/>
      <c r="AQ51" s="1008"/>
      <c r="AR51" s="1008"/>
      <c r="AS51" s="1008"/>
      <c r="AT51" s="1008"/>
      <c r="AU51" s="821">
        <f>1.191+0.07</f>
        <v>1.2610000000000001</v>
      </c>
      <c r="AV51" s="938"/>
      <c r="AW51" s="796"/>
      <c r="AX51" s="796"/>
      <c r="AZ51" s="799"/>
      <c r="BA51" s="799"/>
      <c r="BB51" s="800"/>
      <c r="BD51" s="801"/>
      <c r="BF51" s="801"/>
      <c r="BH51" s="797"/>
      <c r="BI51" s="806"/>
      <c r="BJ51" s="806"/>
      <c r="BK51" s="806"/>
      <c r="BL51" s="806"/>
      <c r="BM51" s="799"/>
      <c r="BN51" s="799"/>
    </row>
    <row r="52" spans="1:66" ht="15" x14ac:dyDescent="0.25">
      <c r="A52" s="809" t="s">
        <v>482</v>
      </c>
      <c r="B52" s="810" t="s">
        <v>480</v>
      </c>
      <c r="C52" s="1033">
        <v>4771.7307692307695</v>
      </c>
      <c r="D52" s="196"/>
      <c r="E52" s="812">
        <f t="shared" si="3"/>
        <v>0</v>
      </c>
      <c r="F52" s="387">
        <f t="shared" si="13"/>
        <v>156</v>
      </c>
      <c r="G52" s="928">
        <f t="shared" si="4"/>
        <v>0.74439</v>
      </c>
      <c r="H52" s="196">
        <f t="shared" si="5"/>
        <v>0</v>
      </c>
      <c r="I52" s="928">
        <f t="shared" si="6"/>
        <v>0</v>
      </c>
      <c r="J52" s="812"/>
      <c r="K52" s="812"/>
      <c r="L52" s="196"/>
      <c r="M52" s="812">
        <f t="shared" si="7"/>
        <v>0</v>
      </c>
      <c r="N52" s="196">
        <f t="shared" si="8"/>
        <v>156</v>
      </c>
      <c r="O52" s="196">
        <f t="shared" si="9"/>
        <v>0.74439</v>
      </c>
      <c r="P52" s="813">
        <f t="shared" si="10"/>
        <v>0</v>
      </c>
      <c r="Q52" s="196">
        <f t="shared" si="11"/>
        <v>0</v>
      </c>
      <c r="R52" s="196"/>
      <c r="S52" s="196"/>
      <c r="T52" s="196"/>
      <c r="U52" s="196"/>
      <c r="V52" s="196">
        <f t="shared" si="14"/>
        <v>0</v>
      </c>
      <c r="W52" s="812">
        <f t="shared" si="15"/>
        <v>0</v>
      </c>
      <c r="X52" s="194"/>
      <c r="Y52" s="955">
        <v>156</v>
      </c>
      <c r="Z52" s="955">
        <v>0.74439</v>
      </c>
      <c r="AA52" s="955">
        <v>104</v>
      </c>
      <c r="AB52" s="955">
        <v>0.49625999999999998</v>
      </c>
      <c r="AC52" s="955"/>
      <c r="AD52" s="955"/>
      <c r="AE52" s="955">
        <v>156</v>
      </c>
      <c r="AF52" s="955">
        <v>0.74439</v>
      </c>
      <c r="AG52" s="955">
        <v>104</v>
      </c>
      <c r="AH52" s="955">
        <v>0.51039199999999996</v>
      </c>
      <c r="AI52" s="955"/>
      <c r="AJ52" s="955"/>
      <c r="AK52" s="955"/>
      <c r="AL52" s="955"/>
      <c r="AM52" s="955"/>
      <c r="AN52" s="955"/>
      <c r="AO52" s="955"/>
      <c r="AP52" s="955"/>
      <c r="AQ52" s="955"/>
      <c r="AR52" s="955"/>
      <c r="AS52" s="955"/>
      <c r="AT52" s="955"/>
      <c r="AU52" s="841">
        <f>0.234+0.08089</f>
        <v>0.31489</v>
      </c>
      <c r="AV52" s="936"/>
      <c r="AW52" s="524"/>
      <c r="AX52" s="524"/>
      <c r="AZ52" s="148"/>
      <c r="BA52" s="148"/>
      <c r="BB52" s="77"/>
      <c r="BC52" s="455">
        <v>12705</v>
      </c>
      <c r="BD52" s="456">
        <v>0.88934999999999997</v>
      </c>
      <c r="BE52" s="455">
        <v>12705</v>
      </c>
      <c r="BF52" s="456">
        <v>0.88934999999999997</v>
      </c>
      <c r="BH52" s="105"/>
      <c r="BI52" s="459">
        <v>11679.390000000001</v>
      </c>
      <c r="BJ52" s="459">
        <v>0.81755730000000004</v>
      </c>
      <c r="BK52" s="459">
        <v>11679.390000000001</v>
      </c>
      <c r="BL52" s="459">
        <v>0.81755730000000004</v>
      </c>
      <c r="BM52" s="461"/>
      <c r="BN52" s="461"/>
    </row>
    <row r="53" spans="1:66" ht="15" x14ac:dyDescent="0.25">
      <c r="A53" s="809" t="s">
        <v>481</v>
      </c>
      <c r="B53" s="810" t="s">
        <v>480</v>
      </c>
      <c r="C53" s="1033">
        <v>6125.0183150183148</v>
      </c>
      <c r="D53" s="196"/>
      <c r="E53" s="812">
        <f t="shared" si="3"/>
        <v>0</v>
      </c>
      <c r="F53" s="387">
        <f t="shared" si="13"/>
        <v>273</v>
      </c>
      <c r="G53" s="928">
        <f t="shared" si="4"/>
        <v>1.6721299999999999</v>
      </c>
      <c r="H53" s="196">
        <f t="shared" si="5"/>
        <v>0</v>
      </c>
      <c r="I53" s="928">
        <f t="shared" si="6"/>
        <v>0</v>
      </c>
      <c r="J53" s="812"/>
      <c r="K53" s="812"/>
      <c r="L53" s="196"/>
      <c r="M53" s="812">
        <f t="shared" si="7"/>
        <v>0</v>
      </c>
      <c r="N53" s="196">
        <f t="shared" si="8"/>
        <v>273</v>
      </c>
      <c r="O53" s="196">
        <f t="shared" si="9"/>
        <v>1.6721300000000001</v>
      </c>
      <c r="P53" s="813">
        <f t="shared" si="10"/>
        <v>0</v>
      </c>
      <c r="Q53" s="196">
        <f t="shared" si="11"/>
        <v>0</v>
      </c>
      <c r="R53" s="196"/>
      <c r="S53" s="196"/>
      <c r="T53" s="196"/>
      <c r="U53" s="196"/>
      <c r="V53" s="196">
        <f t="shared" si="14"/>
        <v>0</v>
      </c>
      <c r="W53" s="812">
        <f t="shared" si="15"/>
        <v>-2.2204460492503131E-16</v>
      </c>
      <c r="X53" s="194"/>
      <c r="Y53" s="955">
        <v>273</v>
      </c>
      <c r="Z53" s="955">
        <v>1.6721299999999999</v>
      </c>
      <c r="AA53" s="955">
        <v>17</v>
      </c>
      <c r="AB53" s="955">
        <v>0.10412531135531135</v>
      </c>
      <c r="AC53" s="955"/>
      <c r="AD53" s="955"/>
      <c r="AE53" s="955">
        <v>273</v>
      </c>
      <c r="AF53" s="955">
        <v>1.6721300000000001</v>
      </c>
      <c r="AG53" s="955">
        <v>17</v>
      </c>
      <c r="AH53" s="955">
        <v>0.10413</v>
      </c>
      <c r="AI53" s="955"/>
      <c r="AJ53" s="955"/>
      <c r="AK53" s="955"/>
      <c r="AL53" s="955"/>
      <c r="AM53" s="955"/>
      <c r="AN53" s="955"/>
      <c r="AO53" s="955"/>
      <c r="AP53" s="955"/>
      <c r="AQ53" s="955"/>
      <c r="AR53" s="955"/>
      <c r="AS53" s="955"/>
      <c r="AT53" s="955"/>
      <c r="AU53" s="930">
        <f>1.568+0.06125</f>
        <v>1.6292500000000001</v>
      </c>
      <c r="AV53" s="936"/>
      <c r="AW53" s="524"/>
      <c r="AX53" s="524"/>
      <c r="AZ53" s="148"/>
      <c r="BA53" s="148"/>
      <c r="BB53" s="77"/>
      <c r="BC53" s="455"/>
      <c r="BD53" s="456"/>
      <c r="BE53" s="455"/>
      <c r="BF53" s="456"/>
      <c r="BH53" s="105"/>
      <c r="BI53" s="459"/>
      <c r="BJ53" s="459"/>
      <c r="BK53" s="459"/>
      <c r="BL53" s="459"/>
      <c r="BM53" s="461"/>
      <c r="BN53" s="461"/>
    </row>
    <row r="54" spans="1:66" s="798" customFormat="1" ht="15" x14ac:dyDescent="0.25">
      <c r="A54" s="809" t="s">
        <v>483</v>
      </c>
      <c r="B54" s="810" t="s">
        <v>480</v>
      </c>
      <c r="C54" s="1033">
        <v>7375.7575757575742</v>
      </c>
      <c r="D54" s="196"/>
      <c r="E54" s="812">
        <f t="shared" si="3"/>
        <v>0</v>
      </c>
      <c r="F54" s="387">
        <f t="shared" si="13"/>
        <v>165</v>
      </c>
      <c r="G54" s="928">
        <f t="shared" si="4"/>
        <v>1.2169999999999999</v>
      </c>
      <c r="H54" s="196">
        <f t="shared" si="5"/>
        <v>0</v>
      </c>
      <c r="I54" s="928">
        <f t="shared" si="6"/>
        <v>0</v>
      </c>
      <c r="J54" s="812"/>
      <c r="K54" s="812"/>
      <c r="L54" s="196"/>
      <c r="M54" s="812">
        <f t="shared" si="7"/>
        <v>0</v>
      </c>
      <c r="N54" s="196">
        <f t="shared" si="8"/>
        <v>165</v>
      </c>
      <c r="O54" s="196">
        <f t="shared" si="9"/>
        <v>1.2169999999999999</v>
      </c>
      <c r="P54" s="813">
        <f t="shared" si="10"/>
        <v>0</v>
      </c>
      <c r="Q54" s="196">
        <f t="shared" si="11"/>
        <v>0</v>
      </c>
      <c r="R54" s="196"/>
      <c r="S54" s="196"/>
      <c r="T54" s="196"/>
      <c r="U54" s="196"/>
      <c r="V54" s="196">
        <f t="shared" si="14"/>
        <v>0</v>
      </c>
      <c r="W54" s="812">
        <f t="shared" si="15"/>
        <v>0</v>
      </c>
      <c r="X54" s="805"/>
      <c r="Y54" s="1008">
        <v>165</v>
      </c>
      <c r="Z54" s="1008">
        <v>1.2169999999999999</v>
      </c>
      <c r="AA54" s="1008">
        <v>0</v>
      </c>
      <c r="AB54" s="1008">
        <v>0</v>
      </c>
      <c r="AC54" s="1008"/>
      <c r="AD54" s="1008"/>
      <c r="AE54" s="1008">
        <v>165</v>
      </c>
      <c r="AF54" s="1008">
        <v>1.2169999999999999</v>
      </c>
      <c r="AG54" s="1008">
        <v>0</v>
      </c>
      <c r="AH54" s="1008">
        <v>0</v>
      </c>
      <c r="AI54" s="1008"/>
      <c r="AJ54" s="1008"/>
      <c r="AK54" s="1008"/>
      <c r="AL54" s="1008"/>
      <c r="AM54" s="1008"/>
      <c r="AN54" s="1008"/>
      <c r="AO54" s="1008"/>
      <c r="AP54" s="1008"/>
      <c r="AQ54" s="1008"/>
      <c r="AR54" s="1008"/>
      <c r="AS54" s="1008"/>
      <c r="AT54" s="1008"/>
      <c r="AU54" s="821">
        <v>1.2169999999999999</v>
      </c>
      <c r="AV54" s="938"/>
      <c r="AW54" s="796"/>
      <c r="AX54" s="796"/>
      <c r="AZ54" s="799"/>
      <c r="BA54" s="799"/>
      <c r="BB54" s="800"/>
      <c r="BD54" s="801"/>
      <c r="BF54" s="801"/>
      <c r="BH54" s="797"/>
      <c r="BI54" s="806"/>
      <c r="BJ54" s="806"/>
      <c r="BK54" s="806"/>
      <c r="BL54" s="806"/>
      <c r="BM54" s="799"/>
      <c r="BN54" s="799"/>
    </row>
    <row r="55" spans="1:66" s="798" customFormat="1" ht="15" x14ac:dyDescent="0.25">
      <c r="A55" s="809" t="s">
        <v>479</v>
      </c>
      <c r="B55" s="810" t="s">
        <v>480</v>
      </c>
      <c r="C55" s="1033">
        <v>9166.6666666666661</v>
      </c>
      <c r="D55" s="196"/>
      <c r="E55" s="812">
        <f t="shared" si="3"/>
        <v>0</v>
      </c>
      <c r="F55" s="387">
        <f t="shared" si="13"/>
        <v>60</v>
      </c>
      <c r="G55" s="928">
        <f t="shared" si="4"/>
        <v>0.55000000000000004</v>
      </c>
      <c r="H55" s="196">
        <f t="shared" si="5"/>
        <v>0</v>
      </c>
      <c r="I55" s="928">
        <f t="shared" si="6"/>
        <v>0</v>
      </c>
      <c r="J55" s="812"/>
      <c r="K55" s="812"/>
      <c r="L55" s="196"/>
      <c r="M55" s="812">
        <f t="shared" si="7"/>
        <v>0</v>
      </c>
      <c r="N55" s="196">
        <f t="shared" si="8"/>
        <v>60</v>
      </c>
      <c r="O55" s="196">
        <f t="shared" si="9"/>
        <v>0.55000000000000004</v>
      </c>
      <c r="P55" s="813">
        <f t="shared" si="10"/>
        <v>0</v>
      </c>
      <c r="Q55" s="196">
        <f t="shared" si="11"/>
        <v>0</v>
      </c>
      <c r="R55" s="196"/>
      <c r="S55" s="196"/>
      <c r="T55" s="196"/>
      <c r="U55" s="196"/>
      <c r="V55" s="196">
        <f t="shared" si="14"/>
        <v>0</v>
      </c>
      <c r="W55" s="812">
        <f t="shared" si="15"/>
        <v>0</v>
      </c>
      <c r="X55" s="805"/>
      <c r="Y55" s="1008">
        <v>60</v>
      </c>
      <c r="Z55" s="1008">
        <v>0.55000000000000004</v>
      </c>
      <c r="AA55" s="1008">
        <v>0</v>
      </c>
      <c r="AB55" s="1008">
        <v>0</v>
      </c>
      <c r="AC55" s="1008"/>
      <c r="AD55" s="1008"/>
      <c r="AE55" s="1008">
        <v>60</v>
      </c>
      <c r="AF55" s="1008">
        <v>0.55000000000000004</v>
      </c>
      <c r="AG55" s="1008">
        <v>60</v>
      </c>
      <c r="AH55" s="1008">
        <v>0.55000000000000004</v>
      </c>
      <c r="AI55" s="1008"/>
      <c r="AJ55" s="1008"/>
      <c r="AK55" s="1008"/>
      <c r="AL55" s="1008"/>
      <c r="AM55" s="1008"/>
      <c r="AN55" s="1008"/>
      <c r="AO55" s="1008"/>
      <c r="AP55" s="1008"/>
      <c r="AQ55" s="1008"/>
      <c r="AR55" s="1008"/>
      <c r="AS55" s="1008"/>
      <c r="AT55" s="1008"/>
      <c r="AU55" s="930">
        <f>0.128+0.422</f>
        <v>0.55000000000000004</v>
      </c>
      <c r="AV55" s="938"/>
      <c r="AW55" s="796"/>
      <c r="AX55" s="796"/>
      <c r="AZ55" s="799"/>
      <c r="BA55" s="799"/>
      <c r="BB55" s="800"/>
      <c r="BD55" s="801"/>
      <c r="BF55" s="801"/>
      <c r="BH55" s="797"/>
      <c r="BI55" s="806"/>
      <c r="BJ55" s="806"/>
      <c r="BK55" s="806"/>
      <c r="BL55" s="806"/>
      <c r="BM55" s="799"/>
      <c r="BN55" s="799"/>
    </row>
    <row r="56" spans="1:66" s="798" customFormat="1" ht="15" x14ac:dyDescent="0.25">
      <c r="A56" s="809" t="s">
        <v>484</v>
      </c>
      <c r="B56" s="810" t="s">
        <v>480</v>
      </c>
      <c r="C56" s="1033">
        <v>12504.736842105265</v>
      </c>
      <c r="D56" s="196"/>
      <c r="E56" s="812">
        <f t="shared" si="3"/>
        <v>0</v>
      </c>
      <c r="F56" s="387">
        <f t="shared" si="13"/>
        <v>152</v>
      </c>
      <c r="G56" s="928">
        <f t="shared" si="4"/>
        <v>1.9007200000000002</v>
      </c>
      <c r="H56" s="196">
        <f t="shared" si="5"/>
        <v>0</v>
      </c>
      <c r="I56" s="928">
        <f t="shared" si="6"/>
        <v>0</v>
      </c>
      <c r="J56" s="812"/>
      <c r="K56" s="812"/>
      <c r="L56" s="196"/>
      <c r="M56" s="812">
        <f t="shared" si="7"/>
        <v>0</v>
      </c>
      <c r="N56" s="196">
        <f t="shared" si="8"/>
        <v>152</v>
      </c>
      <c r="O56" s="196">
        <f t="shared" si="9"/>
        <v>1.9007200000000002</v>
      </c>
      <c r="P56" s="813">
        <f t="shared" si="10"/>
        <v>0</v>
      </c>
      <c r="Q56" s="196">
        <f t="shared" si="11"/>
        <v>0</v>
      </c>
      <c r="R56" s="196"/>
      <c r="S56" s="196"/>
      <c r="T56" s="196"/>
      <c r="U56" s="196"/>
      <c r="V56" s="196">
        <f t="shared" si="14"/>
        <v>0</v>
      </c>
      <c r="W56" s="812">
        <f t="shared" si="15"/>
        <v>0</v>
      </c>
      <c r="X56" s="805"/>
      <c r="Y56" s="1008">
        <v>152</v>
      </c>
      <c r="Z56" s="1008">
        <v>1.9007200000000002</v>
      </c>
      <c r="AA56" s="1008">
        <v>0</v>
      </c>
      <c r="AB56" s="1008">
        <v>0</v>
      </c>
      <c r="AC56" s="1008"/>
      <c r="AD56" s="1008"/>
      <c r="AE56" s="1008">
        <v>152</v>
      </c>
      <c r="AF56" s="1008">
        <v>1.9007200000000002</v>
      </c>
      <c r="AG56" s="1008">
        <v>36</v>
      </c>
      <c r="AH56" s="1008">
        <v>0.2380000000000001</v>
      </c>
      <c r="AI56" s="1008"/>
      <c r="AJ56" s="1008"/>
      <c r="AK56" s="1008"/>
      <c r="AL56" s="1008"/>
      <c r="AM56" s="1008"/>
      <c r="AN56" s="1008"/>
      <c r="AO56" s="1008"/>
      <c r="AP56" s="1008"/>
      <c r="AQ56" s="1008"/>
      <c r="AR56" s="1008"/>
      <c r="AS56" s="1008"/>
      <c r="AT56" s="1008"/>
      <c r="AU56" s="821">
        <f>1.32772+0.811-0.573+0.335</f>
        <v>1.9007200000000002</v>
      </c>
      <c r="AV56" s="938"/>
      <c r="AW56" s="796"/>
      <c r="AX56" s="796"/>
      <c r="AZ56" s="799"/>
      <c r="BA56" s="799"/>
      <c r="BB56" s="800"/>
      <c r="BD56" s="801"/>
      <c r="BF56" s="801"/>
      <c r="BH56" s="797"/>
      <c r="BI56" s="806"/>
      <c r="BJ56" s="806"/>
      <c r="BK56" s="806"/>
      <c r="BL56" s="806"/>
      <c r="BM56" s="799"/>
      <c r="BN56" s="799"/>
    </row>
    <row r="57" spans="1:66" ht="15" x14ac:dyDescent="0.25">
      <c r="A57" s="809" t="s">
        <v>485</v>
      </c>
      <c r="B57" s="810" t="s">
        <v>480</v>
      </c>
      <c r="C57" s="1033">
        <v>13758.62068965517</v>
      </c>
      <c r="D57" s="196"/>
      <c r="E57" s="812">
        <f t="shared" si="3"/>
        <v>0</v>
      </c>
      <c r="F57" s="387">
        <f t="shared" si="13"/>
        <v>261</v>
      </c>
      <c r="G57" s="928">
        <f t="shared" si="4"/>
        <v>3.5909999999999997</v>
      </c>
      <c r="H57" s="196">
        <f t="shared" si="5"/>
        <v>0</v>
      </c>
      <c r="I57" s="928">
        <f t="shared" si="6"/>
        <v>0</v>
      </c>
      <c r="J57" s="812"/>
      <c r="K57" s="812"/>
      <c r="L57" s="196"/>
      <c r="M57" s="812">
        <f t="shared" si="7"/>
        <v>0</v>
      </c>
      <c r="N57" s="196">
        <f t="shared" si="8"/>
        <v>261</v>
      </c>
      <c r="O57" s="196">
        <f t="shared" si="9"/>
        <v>3.5909999999999997</v>
      </c>
      <c r="P57" s="813">
        <f t="shared" si="10"/>
        <v>0</v>
      </c>
      <c r="Q57" s="196">
        <f t="shared" si="11"/>
        <v>0</v>
      </c>
      <c r="R57" s="196"/>
      <c r="S57" s="196"/>
      <c r="T57" s="196"/>
      <c r="U57" s="196"/>
      <c r="V57" s="196">
        <f t="shared" si="14"/>
        <v>0</v>
      </c>
      <c r="W57" s="812">
        <f t="shared" si="15"/>
        <v>0</v>
      </c>
      <c r="X57" s="194"/>
      <c r="Y57" s="955">
        <v>261</v>
      </c>
      <c r="Z57" s="955">
        <v>3.5909999999999997</v>
      </c>
      <c r="AA57" s="955">
        <v>0</v>
      </c>
      <c r="AB57" s="955">
        <v>0</v>
      </c>
      <c r="AC57" s="955"/>
      <c r="AD57" s="955"/>
      <c r="AE57" s="955">
        <v>261</v>
      </c>
      <c r="AF57" s="955">
        <v>3.5909999999999997</v>
      </c>
      <c r="AG57" s="955">
        <v>99</v>
      </c>
      <c r="AH57" s="955">
        <v>1.327</v>
      </c>
      <c r="AI57" s="955"/>
      <c r="AJ57" s="955"/>
      <c r="AK57" s="955"/>
      <c r="AL57" s="955"/>
      <c r="AM57" s="955"/>
      <c r="AN57" s="955"/>
      <c r="AO57" s="955"/>
      <c r="AP57" s="955"/>
      <c r="AQ57" s="955"/>
      <c r="AR57" s="955"/>
      <c r="AS57" s="955"/>
      <c r="AT57" s="955"/>
      <c r="AU57" s="841">
        <f>2.264+1.422</f>
        <v>3.6859999999999999</v>
      </c>
      <c r="AV57" s="936"/>
      <c r="AW57" s="524"/>
      <c r="AX57" s="524"/>
      <c r="AZ57" s="148"/>
      <c r="BA57" s="148"/>
      <c r="BB57" s="77"/>
      <c r="BC57" s="455"/>
      <c r="BD57" s="456"/>
      <c r="BE57" s="455"/>
      <c r="BF57" s="456"/>
      <c r="BH57" s="105"/>
      <c r="BI57" s="459"/>
      <c r="BJ57" s="459"/>
      <c r="BK57" s="459"/>
      <c r="BL57" s="459"/>
      <c r="BM57" s="461"/>
      <c r="BN57" s="461"/>
    </row>
    <row r="58" spans="1:66" s="798" customFormat="1" ht="15" x14ac:dyDescent="0.25">
      <c r="A58" s="809" t="s">
        <v>669</v>
      </c>
      <c r="B58" s="810" t="s">
        <v>480</v>
      </c>
      <c r="C58" s="1033">
        <v>32310.344827586207</v>
      </c>
      <c r="D58" s="196"/>
      <c r="E58" s="812">
        <f t="shared" si="3"/>
        <v>0</v>
      </c>
      <c r="F58" s="387">
        <f t="shared" si="13"/>
        <v>116</v>
      </c>
      <c r="G58" s="928">
        <f t="shared" si="4"/>
        <v>3.7480000000000002</v>
      </c>
      <c r="H58" s="196">
        <f t="shared" si="5"/>
        <v>0</v>
      </c>
      <c r="I58" s="928">
        <f t="shared" si="6"/>
        <v>0</v>
      </c>
      <c r="J58" s="812"/>
      <c r="K58" s="812"/>
      <c r="L58" s="196"/>
      <c r="M58" s="812">
        <f t="shared" si="7"/>
        <v>0</v>
      </c>
      <c r="N58" s="196">
        <f t="shared" si="8"/>
        <v>116</v>
      </c>
      <c r="O58" s="196">
        <f t="shared" si="9"/>
        <v>3.7480000000000002</v>
      </c>
      <c r="P58" s="813">
        <f t="shared" si="10"/>
        <v>0</v>
      </c>
      <c r="Q58" s="196">
        <f t="shared" si="11"/>
        <v>0</v>
      </c>
      <c r="R58" s="196"/>
      <c r="S58" s="196"/>
      <c r="T58" s="196"/>
      <c r="U58" s="196"/>
      <c r="V58" s="196">
        <f t="shared" si="14"/>
        <v>0</v>
      </c>
      <c r="W58" s="812">
        <f t="shared" si="15"/>
        <v>0</v>
      </c>
      <c r="X58" s="805"/>
      <c r="Y58" s="1008">
        <v>116</v>
      </c>
      <c r="Z58" s="1008">
        <v>3.7480000000000002</v>
      </c>
      <c r="AA58" s="1008">
        <v>1</v>
      </c>
      <c r="AB58" s="1008">
        <v>3.2310344827586206E-2</v>
      </c>
      <c r="AC58" s="1008"/>
      <c r="AD58" s="1008"/>
      <c r="AE58" s="1008">
        <v>116</v>
      </c>
      <c r="AF58" s="1008">
        <v>3.7480000000000002</v>
      </c>
      <c r="AG58" s="1008">
        <v>1</v>
      </c>
      <c r="AH58" s="1008">
        <v>3.2309999999999998E-2</v>
      </c>
      <c r="AI58" s="1008"/>
      <c r="AJ58" s="1008"/>
      <c r="AK58" s="1008"/>
      <c r="AL58" s="1008"/>
      <c r="AM58" s="1008"/>
      <c r="AN58" s="1008"/>
      <c r="AO58" s="1008"/>
      <c r="AP58" s="1008"/>
      <c r="AQ58" s="1008"/>
      <c r="AR58" s="1008"/>
      <c r="AS58" s="1008"/>
      <c r="AT58" s="1008"/>
      <c r="AU58" s="841">
        <f>3.716+0.032</f>
        <v>3.7480000000000002</v>
      </c>
      <c r="AV58" s="938"/>
      <c r="AW58" s="796"/>
      <c r="AX58" s="796"/>
      <c r="AZ58" s="799"/>
      <c r="BA58" s="799"/>
      <c r="BB58" s="800"/>
      <c r="BD58" s="801"/>
      <c r="BF58" s="801"/>
      <c r="BH58" s="797"/>
      <c r="BI58" s="806"/>
      <c r="BJ58" s="806"/>
      <c r="BK58" s="806"/>
      <c r="BL58" s="806"/>
      <c r="BM58" s="799"/>
      <c r="BN58" s="799"/>
    </row>
    <row r="59" spans="1:66" s="798" customFormat="1" ht="15" x14ac:dyDescent="0.25">
      <c r="A59" s="809" t="s">
        <v>679</v>
      </c>
      <c r="B59" s="810" t="s">
        <v>480</v>
      </c>
      <c r="C59" s="1033">
        <v>50000</v>
      </c>
      <c r="D59" s="196"/>
      <c r="E59" s="812">
        <f t="shared" si="3"/>
        <v>0</v>
      </c>
      <c r="F59" s="387">
        <f t="shared" si="13"/>
        <v>42</v>
      </c>
      <c r="G59" s="928">
        <f t="shared" si="4"/>
        <v>2.1</v>
      </c>
      <c r="H59" s="196">
        <f t="shared" si="5"/>
        <v>0</v>
      </c>
      <c r="I59" s="928">
        <f t="shared" si="6"/>
        <v>0</v>
      </c>
      <c r="J59" s="812"/>
      <c r="K59" s="812"/>
      <c r="L59" s="196">
        <v>-11</v>
      </c>
      <c r="M59" s="812">
        <f t="shared" si="7"/>
        <v>-0.55000000000000004</v>
      </c>
      <c r="N59" s="196">
        <f t="shared" si="8"/>
        <v>42</v>
      </c>
      <c r="O59" s="196">
        <f t="shared" si="9"/>
        <v>2.0999999999999996</v>
      </c>
      <c r="P59" s="813">
        <f t="shared" si="10"/>
        <v>-11</v>
      </c>
      <c r="Q59" s="196">
        <f t="shared" si="11"/>
        <v>-0.55000000000000004</v>
      </c>
      <c r="R59" s="196"/>
      <c r="S59" s="196"/>
      <c r="T59" s="196"/>
      <c r="U59" s="196"/>
      <c r="V59" s="196">
        <f t="shared" si="14"/>
        <v>0</v>
      </c>
      <c r="W59" s="812">
        <f t="shared" si="15"/>
        <v>4.4408920985006262E-16</v>
      </c>
      <c r="X59" s="805"/>
      <c r="Y59" s="1008">
        <v>42</v>
      </c>
      <c r="Z59" s="1008">
        <v>2.1</v>
      </c>
      <c r="AA59" s="1008">
        <v>0</v>
      </c>
      <c r="AB59" s="1008">
        <v>0</v>
      </c>
      <c r="AC59" s="1008"/>
      <c r="AD59" s="1008"/>
      <c r="AE59" s="1008">
        <v>53</v>
      </c>
      <c r="AF59" s="1008">
        <v>2.65</v>
      </c>
      <c r="AG59" s="1008">
        <v>53</v>
      </c>
      <c r="AH59" s="1008">
        <v>2.65</v>
      </c>
      <c r="AI59" s="1008"/>
      <c r="AJ59" s="1008"/>
      <c r="AK59" s="1008"/>
      <c r="AL59" s="1008"/>
      <c r="AM59" s="1008"/>
      <c r="AN59" s="1008"/>
      <c r="AO59" s="1008"/>
      <c r="AP59" s="1008"/>
      <c r="AQ59" s="1008"/>
      <c r="AR59" s="1008"/>
      <c r="AS59" s="1008"/>
      <c r="AT59" s="1008"/>
      <c r="AU59" s="841">
        <v>2.65</v>
      </c>
      <c r="AV59" s="938"/>
      <c r="AW59" s="796"/>
      <c r="AX59" s="796"/>
      <c r="AZ59" s="799"/>
      <c r="BA59" s="799"/>
      <c r="BB59" s="800"/>
      <c r="BD59" s="801"/>
      <c r="BF59" s="801"/>
      <c r="BH59" s="797"/>
      <c r="BI59" s="806"/>
      <c r="BJ59" s="806"/>
      <c r="BK59" s="806"/>
      <c r="BL59" s="806"/>
      <c r="BM59" s="799"/>
      <c r="BN59" s="799"/>
    </row>
    <row r="60" spans="1:66" s="798" customFormat="1" ht="15" x14ac:dyDescent="0.25">
      <c r="A60" s="809" t="s">
        <v>494</v>
      </c>
      <c r="B60" s="810" t="s">
        <v>495</v>
      </c>
      <c r="C60" s="1033">
        <v>541.66666666666663</v>
      </c>
      <c r="D60" s="196"/>
      <c r="E60" s="812">
        <f t="shared" si="3"/>
        <v>0</v>
      </c>
      <c r="F60" s="387">
        <f t="shared" si="13"/>
        <v>27000</v>
      </c>
      <c r="G60" s="928">
        <f t="shared" si="4"/>
        <v>14.624999999999998</v>
      </c>
      <c r="H60" s="196">
        <f t="shared" si="5"/>
        <v>0</v>
      </c>
      <c r="I60" s="928">
        <f t="shared" si="6"/>
        <v>0</v>
      </c>
      <c r="J60" s="812"/>
      <c r="K60" s="812"/>
      <c r="L60" s="196"/>
      <c r="M60" s="812">
        <f t="shared" si="7"/>
        <v>0</v>
      </c>
      <c r="N60" s="196">
        <f t="shared" si="8"/>
        <v>27000</v>
      </c>
      <c r="O60" s="196">
        <f t="shared" si="9"/>
        <v>14.625</v>
      </c>
      <c r="P60" s="813">
        <f t="shared" si="10"/>
        <v>0</v>
      </c>
      <c r="Q60" s="196">
        <f t="shared" si="11"/>
        <v>0</v>
      </c>
      <c r="R60" s="196"/>
      <c r="S60" s="196"/>
      <c r="T60" s="196"/>
      <c r="U60" s="196"/>
      <c r="V60" s="196">
        <f t="shared" si="14"/>
        <v>0</v>
      </c>
      <c r="W60" s="812">
        <f t="shared" si="15"/>
        <v>-1.7763568394002505E-15</v>
      </c>
      <c r="X60" s="805"/>
      <c r="Y60" s="1008">
        <v>27000</v>
      </c>
      <c r="Z60" s="1008">
        <v>14.624999999999998</v>
      </c>
      <c r="AA60" s="1008">
        <v>400</v>
      </c>
      <c r="AB60" s="1008">
        <v>0.21666666666666665</v>
      </c>
      <c r="AC60" s="1008"/>
      <c r="AD60" s="1008"/>
      <c r="AE60" s="1008">
        <v>27000</v>
      </c>
      <c r="AF60" s="1008">
        <v>14.625</v>
      </c>
      <c r="AG60" s="1008">
        <v>9478</v>
      </c>
      <c r="AH60" s="1008">
        <v>4.9285199999999998</v>
      </c>
      <c r="AI60" s="1008"/>
      <c r="AJ60" s="1008"/>
      <c r="AK60" s="1008"/>
      <c r="AL60" s="1008"/>
      <c r="AM60" s="1008"/>
      <c r="AN60" s="1008"/>
      <c r="AO60" s="1008"/>
      <c r="AP60" s="1008"/>
      <c r="AQ60" s="1008"/>
      <c r="AR60" s="1008"/>
      <c r="AS60" s="1008"/>
      <c r="AT60" s="1008"/>
      <c r="AU60" s="821">
        <f>9.696+0.456+4.421+0.052</f>
        <v>14.625</v>
      </c>
      <c r="AV60" s="938"/>
      <c r="AW60" s="796"/>
      <c r="AX60" s="796"/>
      <c r="AZ60" s="799"/>
      <c r="BA60" s="799"/>
      <c r="BB60" s="800"/>
      <c r="BD60" s="801"/>
      <c r="BF60" s="801"/>
      <c r="BH60" s="797"/>
      <c r="BI60" s="806"/>
      <c r="BJ60" s="806"/>
      <c r="BK60" s="806"/>
      <c r="BL60" s="806"/>
      <c r="BM60" s="799"/>
      <c r="BN60" s="799"/>
    </row>
    <row r="61" spans="1:66" ht="30" x14ac:dyDescent="0.25">
      <c r="A61" s="809" t="s">
        <v>692</v>
      </c>
      <c r="B61" s="810" t="s">
        <v>495</v>
      </c>
      <c r="C61" s="1033">
        <v>2598.0500000000002</v>
      </c>
      <c r="D61" s="196"/>
      <c r="E61" s="812">
        <f t="shared" si="3"/>
        <v>0</v>
      </c>
      <c r="F61" s="387">
        <f t="shared" si="13"/>
        <v>40</v>
      </c>
      <c r="G61" s="928">
        <f t="shared" si="4"/>
        <v>0.103922</v>
      </c>
      <c r="H61" s="196">
        <f t="shared" si="5"/>
        <v>0</v>
      </c>
      <c r="I61" s="928">
        <f t="shared" si="6"/>
        <v>0</v>
      </c>
      <c r="J61" s="196"/>
      <c r="K61" s="196"/>
      <c r="L61" s="813"/>
      <c r="M61" s="812">
        <f t="shared" si="7"/>
        <v>0</v>
      </c>
      <c r="N61" s="196">
        <f t="shared" si="8"/>
        <v>40</v>
      </c>
      <c r="O61" s="196">
        <f t="shared" si="9"/>
        <v>0.103922</v>
      </c>
      <c r="P61" s="813">
        <f t="shared" si="10"/>
        <v>0</v>
      </c>
      <c r="Q61" s="196">
        <f t="shared" si="11"/>
        <v>0</v>
      </c>
      <c r="R61" s="196"/>
      <c r="S61" s="196"/>
      <c r="T61" s="196"/>
      <c r="U61" s="196"/>
      <c r="V61" s="196">
        <f t="shared" si="14"/>
        <v>0</v>
      </c>
      <c r="W61" s="812">
        <f t="shared" si="15"/>
        <v>0</v>
      </c>
      <c r="X61" s="194"/>
      <c r="Y61" s="955">
        <v>40</v>
      </c>
      <c r="Z61" s="955">
        <v>0.103922</v>
      </c>
      <c r="AA61" s="955">
        <v>0</v>
      </c>
      <c r="AB61" s="955">
        <v>0</v>
      </c>
      <c r="AC61" s="955"/>
      <c r="AD61" s="955"/>
      <c r="AE61" s="955">
        <v>40</v>
      </c>
      <c r="AF61" s="955">
        <v>0.103922</v>
      </c>
      <c r="AG61" s="955">
        <v>30</v>
      </c>
      <c r="AH61" s="955">
        <v>7.7961000000000003E-2</v>
      </c>
      <c r="AI61" s="955"/>
      <c r="AJ61" s="955"/>
      <c r="AK61" s="955"/>
      <c r="AL61" s="955"/>
      <c r="AM61" s="955"/>
      <c r="AN61" s="955"/>
      <c r="AO61" s="955"/>
      <c r="AP61" s="955"/>
      <c r="AQ61" s="955"/>
      <c r="AR61" s="955"/>
      <c r="AS61" s="955"/>
      <c r="AT61" s="955"/>
      <c r="AU61" s="841">
        <f>0.025961+0.025961+0.052</f>
        <v>0.103922</v>
      </c>
      <c r="AV61" s="936"/>
      <c r="AW61" s="524">
        <f>+O61-M61</f>
        <v>0.103922</v>
      </c>
      <c r="AX61" s="524">
        <f>+AW61-BJ61</f>
        <v>-0.33232800000000001</v>
      </c>
      <c r="AZ61" s="148"/>
      <c r="BA61" s="148"/>
      <c r="BB61" s="77"/>
      <c r="BC61" s="455">
        <v>1750</v>
      </c>
      <c r="BD61" s="456">
        <v>0.4375</v>
      </c>
      <c r="BE61" s="455">
        <v>1750</v>
      </c>
      <c r="BF61" s="456">
        <v>0.4375</v>
      </c>
      <c r="BI61" s="459">
        <v>1745</v>
      </c>
      <c r="BJ61" s="459">
        <v>0.43625000000000003</v>
      </c>
      <c r="BK61" s="459">
        <v>1745</v>
      </c>
      <c r="BL61" s="459">
        <v>0.43625000000000003</v>
      </c>
      <c r="BM61" s="461"/>
      <c r="BN61" s="461"/>
    </row>
    <row r="62" spans="1:66" ht="30" x14ac:dyDescent="0.25">
      <c r="A62" s="809" t="s">
        <v>693</v>
      </c>
      <c r="B62" s="810" t="s">
        <v>495</v>
      </c>
      <c r="C62" s="1033">
        <v>2595.8032786885246</v>
      </c>
      <c r="D62" s="196"/>
      <c r="E62" s="812">
        <f t="shared" si="3"/>
        <v>0</v>
      </c>
      <c r="F62" s="387">
        <f t="shared" si="13"/>
        <v>1600</v>
      </c>
      <c r="G62" s="928">
        <f t="shared" si="4"/>
        <v>4.1532852459016398</v>
      </c>
      <c r="H62" s="196">
        <f t="shared" si="5"/>
        <v>0</v>
      </c>
      <c r="I62" s="928">
        <f t="shared" si="6"/>
        <v>0</v>
      </c>
      <c r="J62" s="196"/>
      <c r="K62" s="196"/>
      <c r="L62" s="813"/>
      <c r="M62" s="812">
        <f t="shared" si="7"/>
        <v>0</v>
      </c>
      <c r="N62" s="196">
        <f t="shared" si="8"/>
        <v>1600</v>
      </c>
      <c r="O62" s="196">
        <f t="shared" si="9"/>
        <v>4.1532852459016389</v>
      </c>
      <c r="P62" s="813">
        <f t="shared" si="10"/>
        <v>0</v>
      </c>
      <c r="Q62" s="196">
        <f t="shared" si="11"/>
        <v>0</v>
      </c>
      <c r="R62" s="196"/>
      <c r="S62" s="196"/>
      <c r="T62" s="196"/>
      <c r="U62" s="196"/>
      <c r="V62" s="196">
        <f t="shared" si="14"/>
        <v>0</v>
      </c>
      <c r="W62" s="812">
        <f t="shared" si="15"/>
        <v>8.8817841970012523E-16</v>
      </c>
      <c r="X62" s="194"/>
      <c r="Y62" s="955">
        <v>1600</v>
      </c>
      <c r="Z62" s="955">
        <v>4.1532852459016398</v>
      </c>
      <c r="AA62" s="955">
        <v>0</v>
      </c>
      <c r="AB62" s="955">
        <v>0</v>
      </c>
      <c r="AC62" s="955"/>
      <c r="AD62" s="955"/>
      <c r="AE62" s="955">
        <v>1600</v>
      </c>
      <c r="AF62" s="955">
        <v>4.1532852459016389</v>
      </c>
      <c r="AG62" s="955">
        <v>1200</v>
      </c>
      <c r="AH62" s="955">
        <v>3.1148452459016398</v>
      </c>
      <c r="AI62" s="955"/>
      <c r="AJ62" s="955"/>
      <c r="AK62" s="955"/>
      <c r="AL62" s="955"/>
      <c r="AM62" s="955"/>
      <c r="AN62" s="955"/>
      <c r="AO62" s="955"/>
      <c r="AP62" s="955"/>
      <c r="AQ62" s="955"/>
      <c r="AR62" s="955"/>
      <c r="AS62" s="955"/>
      <c r="AT62" s="955"/>
      <c r="AU62" s="841">
        <f>1.03844+1.03844+1.09</f>
        <v>3.1668799999999999</v>
      </c>
      <c r="AV62" s="936"/>
      <c r="AW62" s="524"/>
      <c r="AX62" s="524"/>
      <c r="AZ62" s="148"/>
      <c r="BA62" s="148"/>
      <c r="BB62" s="77"/>
      <c r="BC62" s="455"/>
      <c r="BD62" s="456"/>
      <c r="BE62" s="455"/>
      <c r="BF62" s="456"/>
      <c r="BI62" s="459"/>
      <c r="BJ62" s="459"/>
      <c r="BK62" s="459"/>
      <c r="BL62" s="459"/>
      <c r="BM62" s="461"/>
      <c r="BN62" s="461"/>
    </row>
    <row r="63" spans="1:66" ht="30" x14ac:dyDescent="0.25">
      <c r="A63" s="809" t="s">
        <v>691</v>
      </c>
      <c r="B63" s="810" t="s">
        <v>495</v>
      </c>
      <c r="C63" s="1033">
        <v>2690.2</v>
      </c>
      <c r="D63" s="196"/>
      <c r="E63" s="812">
        <f t="shared" si="3"/>
        <v>0</v>
      </c>
      <c r="F63" s="387">
        <f t="shared" si="13"/>
        <v>720</v>
      </c>
      <c r="G63" s="928">
        <f t="shared" si="4"/>
        <v>1.9369439999999998</v>
      </c>
      <c r="H63" s="196">
        <f t="shared" si="5"/>
        <v>0</v>
      </c>
      <c r="I63" s="928">
        <f t="shared" si="6"/>
        <v>0</v>
      </c>
      <c r="J63" s="196"/>
      <c r="K63" s="196"/>
      <c r="L63" s="813"/>
      <c r="M63" s="812">
        <f t="shared" si="7"/>
        <v>0</v>
      </c>
      <c r="N63" s="196">
        <f t="shared" si="8"/>
        <v>720</v>
      </c>
      <c r="O63" s="196">
        <f t="shared" si="9"/>
        <v>1.936944</v>
      </c>
      <c r="P63" s="813">
        <f t="shared" si="10"/>
        <v>0</v>
      </c>
      <c r="Q63" s="196">
        <f t="shared" si="11"/>
        <v>0</v>
      </c>
      <c r="R63" s="196"/>
      <c r="S63" s="196"/>
      <c r="T63" s="196"/>
      <c r="U63" s="196"/>
      <c r="V63" s="196">
        <f t="shared" si="14"/>
        <v>0</v>
      </c>
      <c r="W63" s="812">
        <f t="shared" si="15"/>
        <v>-2.2204460492503131E-16</v>
      </c>
      <c r="X63" s="194"/>
      <c r="Y63" s="955">
        <v>720</v>
      </c>
      <c r="Z63" s="955">
        <v>1.9369439999999998</v>
      </c>
      <c r="AA63" s="955">
        <v>0</v>
      </c>
      <c r="AB63" s="955">
        <v>0</v>
      </c>
      <c r="AC63" s="955"/>
      <c r="AD63" s="955"/>
      <c r="AE63" s="955">
        <v>720</v>
      </c>
      <c r="AF63" s="955">
        <v>1.936944</v>
      </c>
      <c r="AG63" s="955">
        <v>540</v>
      </c>
      <c r="AH63" s="955">
        <v>1.4527079999999999</v>
      </c>
      <c r="AI63" s="955"/>
      <c r="AJ63" s="955"/>
      <c r="AK63" s="955"/>
      <c r="AL63" s="955"/>
      <c r="AM63" s="955"/>
      <c r="AN63" s="955"/>
      <c r="AO63" s="955"/>
      <c r="AP63" s="955"/>
      <c r="AQ63" s="955"/>
      <c r="AR63" s="955"/>
      <c r="AS63" s="955"/>
      <c r="AT63" s="955"/>
      <c r="AU63" s="841">
        <f>0.484236+0.484236</f>
        <v>0.968472</v>
      </c>
      <c r="AV63" s="936"/>
      <c r="AW63" s="524"/>
      <c r="AX63" s="524"/>
      <c r="AZ63" s="148"/>
      <c r="BA63" s="148"/>
      <c r="BB63" s="77"/>
      <c r="BC63" s="455"/>
      <c r="BD63" s="456"/>
      <c r="BE63" s="455"/>
      <c r="BF63" s="456"/>
      <c r="BI63" s="459"/>
      <c r="BJ63" s="459"/>
      <c r="BK63" s="459"/>
      <c r="BL63" s="459"/>
      <c r="BM63" s="461"/>
      <c r="BN63" s="461"/>
    </row>
    <row r="64" spans="1:66" ht="15" x14ac:dyDescent="0.25">
      <c r="A64" s="809" t="s">
        <v>694</v>
      </c>
      <c r="B64" s="810" t="s">
        <v>480</v>
      </c>
      <c r="C64" s="1033">
        <v>13750</v>
      </c>
      <c r="D64" s="196"/>
      <c r="E64" s="812">
        <f t="shared" si="3"/>
        <v>0</v>
      </c>
      <c r="F64" s="387">
        <f t="shared" si="13"/>
        <v>4</v>
      </c>
      <c r="G64" s="928">
        <f t="shared" si="4"/>
        <v>5.5E-2</v>
      </c>
      <c r="H64" s="196">
        <f t="shared" si="5"/>
        <v>0</v>
      </c>
      <c r="I64" s="928">
        <f t="shared" si="6"/>
        <v>0</v>
      </c>
      <c r="J64" s="196"/>
      <c r="K64" s="196"/>
      <c r="L64" s="813"/>
      <c r="M64" s="812">
        <f t="shared" si="7"/>
        <v>0</v>
      </c>
      <c r="N64" s="196">
        <f t="shared" si="8"/>
        <v>4</v>
      </c>
      <c r="O64" s="196">
        <f t="shared" si="9"/>
        <v>5.5E-2</v>
      </c>
      <c r="P64" s="813">
        <f t="shared" si="10"/>
        <v>0</v>
      </c>
      <c r="Q64" s="196">
        <f t="shared" si="11"/>
        <v>0</v>
      </c>
      <c r="R64" s="196"/>
      <c r="S64" s="196"/>
      <c r="T64" s="196"/>
      <c r="U64" s="196"/>
      <c r="V64" s="196">
        <f t="shared" si="14"/>
        <v>0</v>
      </c>
      <c r="W64" s="812">
        <f t="shared" si="15"/>
        <v>0</v>
      </c>
      <c r="X64" s="194"/>
      <c r="Y64" s="955">
        <v>4</v>
      </c>
      <c r="Z64" s="955">
        <v>5.5E-2</v>
      </c>
      <c r="AA64" s="955">
        <v>0</v>
      </c>
      <c r="AB64" s="955">
        <v>0</v>
      </c>
      <c r="AC64" s="955"/>
      <c r="AD64" s="955"/>
      <c r="AE64" s="955">
        <v>4</v>
      </c>
      <c r="AF64" s="955">
        <v>5.5E-2</v>
      </c>
      <c r="AG64" s="955">
        <v>3</v>
      </c>
      <c r="AH64" s="955">
        <v>4.65E-2</v>
      </c>
      <c r="AI64" s="955"/>
      <c r="AJ64" s="955"/>
      <c r="AK64" s="955"/>
      <c r="AL64" s="955"/>
      <c r="AM64" s="955"/>
      <c r="AN64" s="955"/>
      <c r="AO64" s="955"/>
      <c r="AP64" s="955"/>
      <c r="AQ64" s="955"/>
      <c r="AR64" s="955"/>
      <c r="AS64" s="955"/>
      <c r="AT64" s="955"/>
      <c r="AU64" s="841">
        <f>0.0085+0.0085+0.038</f>
        <v>5.5E-2</v>
      </c>
      <c r="AV64" s="936"/>
      <c r="AW64" s="524"/>
      <c r="AX64" s="524"/>
      <c r="AZ64" s="148"/>
      <c r="BA64" s="148"/>
      <c r="BB64" s="77"/>
      <c r="BC64" s="455"/>
      <c r="BD64" s="456"/>
      <c r="BE64" s="455"/>
      <c r="BF64" s="456"/>
      <c r="BI64" s="459"/>
      <c r="BJ64" s="459"/>
      <c r="BK64" s="459"/>
      <c r="BL64" s="459"/>
      <c r="BM64" s="461"/>
      <c r="BN64" s="461"/>
    </row>
    <row r="65" spans="1:66" ht="15" x14ac:dyDescent="0.25">
      <c r="A65" s="809" t="s">
        <v>695</v>
      </c>
      <c r="B65" s="754" t="s">
        <v>480</v>
      </c>
      <c r="C65" s="1033">
        <v>15750</v>
      </c>
      <c r="D65" s="59"/>
      <c r="E65" s="812">
        <f t="shared" si="3"/>
        <v>0</v>
      </c>
      <c r="F65" s="387">
        <f t="shared" si="13"/>
        <v>4</v>
      </c>
      <c r="G65" s="928">
        <f t="shared" si="4"/>
        <v>6.3E-2</v>
      </c>
      <c r="H65" s="196">
        <f t="shared" si="5"/>
        <v>0</v>
      </c>
      <c r="I65" s="928">
        <f t="shared" si="6"/>
        <v>0</v>
      </c>
      <c r="J65" s="59"/>
      <c r="K65" s="59"/>
      <c r="L65" s="222"/>
      <c r="M65" s="812">
        <f t="shared" si="7"/>
        <v>0</v>
      </c>
      <c r="N65" s="196">
        <f t="shared" si="8"/>
        <v>4</v>
      </c>
      <c r="O65" s="196">
        <f t="shared" si="9"/>
        <v>6.3E-2</v>
      </c>
      <c r="P65" s="813">
        <f t="shared" si="10"/>
        <v>0</v>
      </c>
      <c r="Q65" s="196">
        <f t="shared" si="11"/>
        <v>0</v>
      </c>
      <c r="R65" s="59"/>
      <c r="S65" s="59"/>
      <c r="T65" s="59"/>
      <c r="U65" s="59"/>
      <c r="V65" s="196">
        <f t="shared" si="14"/>
        <v>0</v>
      </c>
      <c r="W65" s="812">
        <f t="shared" si="15"/>
        <v>0</v>
      </c>
      <c r="X65" s="194"/>
      <c r="Y65" s="955">
        <v>4</v>
      </c>
      <c r="Z65" s="955">
        <v>6.3E-2</v>
      </c>
      <c r="AA65" s="955">
        <v>0</v>
      </c>
      <c r="AB65" s="955">
        <v>0</v>
      </c>
      <c r="AC65" s="955"/>
      <c r="AD65" s="955"/>
      <c r="AE65" s="955">
        <v>4</v>
      </c>
      <c r="AF65" s="955">
        <v>6.3E-2</v>
      </c>
      <c r="AG65" s="955">
        <v>3</v>
      </c>
      <c r="AH65" s="955">
        <v>4.725E-2</v>
      </c>
      <c r="AI65" s="955"/>
      <c r="AJ65" s="955"/>
      <c r="AK65" s="955"/>
      <c r="AL65" s="955"/>
      <c r="AM65" s="955"/>
      <c r="AN65" s="955"/>
      <c r="AO65" s="955"/>
      <c r="AP65" s="955"/>
      <c r="AQ65" s="955"/>
      <c r="AR65" s="955"/>
      <c r="AS65" s="955"/>
      <c r="AT65" s="955"/>
      <c r="AU65" s="931">
        <f>0.01575+0.01575</f>
        <v>3.15E-2</v>
      </c>
      <c r="AV65" s="936"/>
      <c r="AW65" s="524"/>
      <c r="AX65" s="524"/>
      <c r="AZ65" s="148"/>
      <c r="BA65" s="148"/>
      <c r="BB65" s="77"/>
      <c r="BC65" s="455"/>
      <c r="BD65" s="456"/>
      <c r="BE65" s="455"/>
      <c r="BF65" s="456"/>
      <c r="BI65" s="459"/>
      <c r="BJ65" s="459"/>
      <c r="BK65" s="459"/>
      <c r="BL65" s="459"/>
      <c r="BM65" s="461"/>
      <c r="BN65" s="461"/>
    </row>
    <row r="66" spans="1:66" ht="15" x14ac:dyDescent="0.25">
      <c r="A66" s="892" t="s">
        <v>699</v>
      </c>
      <c r="B66" s="754" t="s">
        <v>700</v>
      </c>
      <c r="C66" s="1033">
        <v>13100.052084560199</v>
      </c>
      <c r="D66" s="59"/>
      <c r="E66" s="812">
        <f t="shared" si="3"/>
        <v>0</v>
      </c>
      <c r="F66" s="387">
        <f t="shared" si="13"/>
        <v>7641.42</v>
      </c>
      <c r="G66" s="928">
        <f t="shared" si="4"/>
        <v>100.10299999999999</v>
      </c>
      <c r="H66" s="196">
        <f t="shared" si="5"/>
        <v>0</v>
      </c>
      <c r="I66" s="928">
        <f t="shared" si="6"/>
        <v>0</v>
      </c>
      <c r="J66" s="59"/>
      <c r="K66" s="59"/>
      <c r="L66" s="222"/>
      <c r="M66" s="812">
        <f t="shared" si="7"/>
        <v>0</v>
      </c>
      <c r="N66" s="196">
        <f t="shared" si="8"/>
        <v>7641.42</v>
      </c>
      <c r="O66" s="1365">
        <f t="shared" si="9"/>
        <v>100.10299999999999</v>
      </c>
      <c r="P66" s="813">
        <f t="shared" si="10"/>
        <v>0</v>
      </c>
      <c r="Q66" s="196">
        <f t="shared" si="11"/>
        <v>0</v>
      </c>
      <c r="R66" s="59"/>
      <c r="S66" s="59"/>
      <c r="T66" s="59"/>
      <c r="U66" s="59"/>
      <c r="V66" s="196">
        <f t="shared" si="14"/>
        <v>0</v>
      </c>
      <c r="W66" s="812">
        <f t="shared" si="15"/>
        <v>0</v>
      </c>
      <c r="X66" s="194"/>
      <c r="Y66" s="955">
        <v>7641.42</v>
      </c>
      <c r="Z66" s="955">
        <v>100.10299999999999</v>
      </c>
      <c r="AA66" s="955">
        <v>4941.42</v>
      </c>
      <c r="AB66" s="955">
        <v>64.732859371687454</v>
      </c>
      <c r="AC66" s="955"/>
      <c r="AD66" s="955"/>
      <c r="AE66" s="955">
        <v>7641.42</v>
      </c>
      <c r="AF66" s="955">
        <v>100.10299999999999</v>
      </c>
      <c r="AG66" s="955">
        <v>4941.42</v>
      </c>
      <c r="AH66" s="955">
        <v>64.733000000000004</v>
      </c>
      <c r="AI66" s="955"/>
      <c r="AJ66" s="955"/>
      <c r="AK66" s="955"/>
      <c r="AL66" s="955"/>
      <c r="AM66" s="955"/>
      <c r="AN66" s="955"/>
      <c r="AO66" s="955"/>
      <c r="AP66" s="955"/>
      <c r="AQ66" s="955"/>
      <c r="AR66" s="955"/>
      <c r="AS66" s="955"/>
      <c r="AT66" s="955"/>
      <c r="AU66" s="931">
        <f>35.37+60.462+4.271</f>
        <v>100.10299999999999</v>
      </c>
      <c r="AV66" s="936"/>
      <c r="AW66" s="524"/>
      <c r="AX66" s="524"/>
      <c r="AZ66" s="148"/>
      <c r="BA66" s="148"/>
      <c r="BB66" s="77"/>
      <c r="BC66" s="455"/>
      <c r="BD66" s="456"/>
      <c r="BE66" s="455"/>
      <c r="BF66" s="456"/>
      <c r="BI66" s="459"/>
      <c r="BJ66" s="459"/>
      <c r="BK66" s="459"/>
      <c r="BL66" s="459"/>
      <c r="BM66" s="461"/>
      <c r="BN66" s="461"/>
    </row>
    <row r="67" spans="1:66" ht="15" x14ac:dyDescent="0.25">
      <c r="A67" s="1054" t="s">
        <v>720</v>
      </c>
      <c r="B67" s="754" t="s">
        <v>562</v>
      </c>
      <c r="C67" s="1033">
        <v>209.87012987012986</v>
      </c>
      <c r="D67" s="59"/>
      <c r="E67" s="812">
        <f t="shared" si="3"/>
        <v>0</v>
      </c>
      <c r="F67" s="1055">
        <f t="shared" si="13"/>
        <v>58717</v>
      </c>
      <c r="G67" s="928">
        <f t="shared" si="4"/>
        <v>12.322944415584415</v>
      </c>
      <c r="H67" s="196">
        <f t="shared" si="5"/>
        <v>0</v>
      </c>
      <c r="I67" s="928">
        <f t="shared" si="6"/>
        <v>0</v>
      </c>
      <c r="J67" s="59"/>
      <c r="K67" s="59"/>
      <c r="L67" s="222"/>
      <c r="M67" s="812">
        <f t="shared" si="7"/>
        <v>0</v>
      </c>
      <c r="N67" s="196">
        <f t="shared" si="8"/>
        <v>55390.306613837245</v>
      </c>
      <c r="O67" s="196">
        <f t="shared" si="9"/>
        <v>11.624770842592335</v>
      </c>
      <c r="P67" s="813">
        <f t="shared" si="10"/>
        <v>0</v>
      </c>
      <c r="Q67" s="196">
        <f t="shared" si="11"/>
        <v>0</v>
      </c>
      <c r="R67" s="59"/>
      <c r="S67" s="59"/>
      <c r="T67" s="59"/>
      <c r="U67" s="59"/>
      <c r="V67" s="196">
        <f t="shared" si="14"/>
        <v>3326.6933861627549</v>
      </c>
      <c r="W67" s="812">
        <f t="shared" si="15"/>
        <v>0.69817357299207927</v>
      </c>
      <c r="X67" s="194"/>
      <c r="Y67" s="955">
        <v>58717</v>
      </c>
      <c r="Z67" s="955">
        <v>12.322944415584415</v>
      </c>
      <c r="AA67" s="955">
        <v>58717</v>
      </c>
      <c r="AB67" s="955">
        <v>12.322944415584415</v>
      </c>
      <c r="AC67" s="955"/>
      <c r="AD67" s="955"/>
      <c r="AE67" s="955">
        <v>55390.306613837245</v>
      </c>
      <c r="AF67" s="955">
        <v>11.624770842592335</v>
      </c>
      <c r="AG67" s="955">
        <v>55390.306613837245</v>
      </c>
      <c r="AH67" s="955">
        <v>11.624770842592335</v>
      </c>
      <c r="AI67" s="955"/>
      <c r="AJ67" s="955"/>
      <c r="AK67" s="955"/>
      <c r="AL67" s="955"/>
      <c r="AM67" s="955"/>
      <c r="AN67" s="955"/>
      <c r="AO67" s="955"/>
      <c r="AP67" s="955"/>
      <c r="AQ67" s="955"/>
      <c r="AR67" s="955"/>
      <c r="AS67" s="955"/>
      <c r="AT67" s="955"/>
      <c r="AU67" s="931">
        <v>0.80800000000000005</v>
      </c>
      <c r="AV67" s="936"/>
      <c r="AW67" s="524"/>
      <c r="AX67" s="524"/>
      <c r="AZ67" s="148"/>
      <c r="BA67" s="148"/>
      <c r="BB67" s="77"/>
      <c r="BC67" s="455"/>
      <c r="BD67" s="456"/>
      <c r="BE67" s="455"/>
      <c r="BF67" s="456"/>
      <c r="BI67" s="459"/>
      <c r="BJ67" s="459"/>
      <c r="BK67" s="459"/>
      <c r="BL67" s="459"/>
      <c r="BM67" s="461"/>
      <c r="BN67" s="461"/>
    </row>
    <row r="68" spans="1:66" ht="15" x14ac:dyDescent="0.25">
      <c r="A68" s="809" t="s">
        <v>750</v>
      </c>
      <c r="B68" s="880" t="s">
        <v>480</v>
      </c>
      <c r="C68" s="1033">
        <v>12750</v>
      </c>
      <c r="D68" s="59"/>
      <c r="E68" s="812">
        <f t="shared" si="3"/>
        <v>0</v>
      </c>
      <c r="F68" s="387">
        <f t="shared" si="13"/>
        <v>24</v>
      </c>
      <c r="G68" s="928">
        <f t="shared" si="4"/>
        <v>0.30599999999999999</v>
      </c>
      <c r="H68" s="196">
        <f t="shared" si="5"/>
        <v>0</v>
      </c>
      <c r="I68" s="928">
        <f t="shared" si="6"/>
        <v>0</v>
      </c>
      <c r="J68" s="59"/>
      <c r="K68" s="59"/>
      <c r="L68" s="222"/>
      <c r="M68" s="812">
        <f t="shared" si="7"/>
        <v>0</v>
      </c>
      <c r="N68" s="196">
        <f t="shared" si="8"/>
        <v>10</v>
      </c>
      <c r="O68" s="196">
        <f t="shared" si="9"/>
        <v>0.1275</v>
      </c>
      <c r="P68" s="813">
        <f t="shared" si="10"/>
        <v>0</v>
      </c>
      <c r="Q68" s="196">
        <f t="shared" si="11"/>
        <v>0</v>
      </c>
      <c r="R68" s="59"/>
      <c r="S68" s="59"/>
      <c r="T68" s="59"/>
      <c r="U68" s="59"/>
      <c r="V68" s="196">
        <f t="shared" si="14"/>
        <v>14</v>
      </c>
      <c r="W68" s="812">
        <f t="shared" si="15"/>
        <v>0.17849999999999999</v>
      </c>
      <c r="X68" s="194"/>
      <c r="Y68" s="955">
        <v>24</v>
      </c>
      <c r="Z68" s="955">
        <v>0.30599999999999999</v>
      </c>
      <c r="AA68" s="955">
        <v>24</v>
      </c>
      <c r="AB68" s="955">
        <v>0.30599999999999999</v>
      </c>
      <c r="AC68" s="955"/>
      <c r="AD68" s="955"/>
      <c r="AE68" s="955">
        <v>10</v>
      </c>
      <c r="AF68" s="955">
        <v>0.1275</v>
      </c>
      <c r="AG68" s="955">
        <v>10</v>
      </c>
      <c r="AH68" s="955">
        <v>0.1275</v>
      </c>
      <c r="AI68" s="955"/>
      <c r="AJ68" s="955"/>
      <c r="AK68" s="955"/>
      <c r="AL68" s="955"/>
      <c r="AM68" s="955"/>
      <c r="AN68" s="955"/>
      <c r="AO68" s="955"/>
      <c r="AP68" s="955"/>
      <c r="AQ68" s="955"/>
      <c r="AR68" s="955"/>
      <c r="AS68" s="955"/>
      <c r="AT68" s="955"/>
      <c r="AU68" s="931"/>
      <c r="AV68" s="936"/>
      <c r="AW68" s="524"/>
      <c r="AX68" s="524"/>
      <c r="AZ68" s="148"/>
      <c r="BA68" s="148"/>
      <c r="BB68" s="77"/>
      <c r="BC68" s="455"/>
      <c r="BD68" s="456"/>
      <c r="BE68" s="455"/>
      <c r="BF68" s="456"/>
      <c r="BI68" s="459"/>
      <c r="BJ68" s="459"/>
      <c r="BK68" s="459"/>
      <c r="BL68" s="459"/>
      <c r="BM68" s="461"/>
      <c r="BN68" s="461"/>
    </row>
    <row r="69" spans="1:66" ht="15" x14ac:dyDescent="0.25">
      <c r="A69" s="809" t="s">
        <v>751</v>
      </c>
      <c r="B69" s="880" t="s">
        <v>480</v>
      </c>
      <c r="C69" s="1033">
        <v>17000</v>
      </c>
      <c r="D69" s="59"/>
      <c r="E69" s="812">
        <f t="shared" si="3"/>
        <v>0</v>
      </c>
      <c r="F69" s="387">
        <f t="shared" si="13"/>
        <v>26</v>
      </c>
      <c r="G69" s="928">
        <f t="shared" si="4"/>
        <v>0.442</v>
      </c>
      <c r="H69" s="196">
        <f t="shared" si="5"/>
        <v>0</v>
      </c>
      <c r="I69" s="928">
        <f t="shared" si="6"/>
        <v>0</v>
      </c>
      <c r="J69" s="59"/>
      <c r="K69" s="59"/>
      <c r="L69" s="222"/>
      <c r="M69" s="812">
        <f t="shared" si="7"/>
        <v>0</v>
      </c>
      <c r="N69" s="196">
        <f t="shared" si="8"/>
        <v>12</v>
      </c>
      <c r="O69" s="196">
        <f t="shared" si="9"/>
        <v>0.20399999999999999</v>
      </c>
      <c r="P69" s="813">
        <f t="shared" si="10"/>
        <v>0</v>
      </c>
      <c r="Q69" s="196">
        <f t="shared" si="11"/>
        <v>0</v>
      </c>
      <c r="R69" s="59"/>
      <c r="S69" s="59"/>
      <c r="T69" s="59"/>
      <c r="U69" s="59"/>
      <c r="V69" s="196">
        <f t="shared" si="14"/>
        <v>14</v>
      </c>
      <c r="W69" s="812">
        <f t="shared" si="15"/>
        <v>0.23800000000000002</v>
      </c>
      <c r="X69" s="194"/>
      <c r="Y69" s="990">
        <v>26</v>
      </c>
      <c r="Z69" s="990">
        <v>0.442</v>
      </c>
      <c r="AA69" s="990">
        <v>26</v>
      </c>
      <c r="AB69" s="990">
        <v>0.442</v>
      </c>
      <c r="AC69" s="990"/>
      <c r="AD69" s="990"/>
      <c r="AE69" s="990">
        <v>12</v>
      </c>
      <c r="AF69" s="990">
        <v>0.20399999999999999</v>
      </c>
      <c r="AG69" s="990">
        <v>12</v>
      </c>
      <c r="AH69" s="990">
        <v>0.20399999999999999</v>
      </c>
      <c r="AI69" s="990"/>
      <c r="AJ69" s="990"/>
      <c r="AK69" s="990"/>
      <c r="AL69" s="990"/>
      <c r="AM69" s="990"/>
      <c r="AN69" s="990"/>
      <c r="AO69" s="990"/>
      <c r="AP69" s="990"/>
      <c r="AQ69" s="990"/>
      <c r="AR69" s="990"/>
      <c r="AS69" s="990"/>
      <c r="AT69" s="990"/>
      <c r="AU69" s="137"/>
      <c r="AV69" s="936"/>
      <c r="AW69" s="524"/>
      <c r="AX69" s="524"/>
      <c r="AZ69" s="148"/>
      <c r="BA69" s="148"/>
      <c r="BB69" s="77"/>
      <c r="BC69" s="455"/>
      <c r="BD69" s="456"/>
      <c r="BE69" s="455"/>
      <c r="BF69" s="456"/>
      <c r="BI69" s="459"/>
      <c r="BJ69" s="459"/>
      <c r="BK69" s="459"/>
      <c r="BL69" s="459"/>
      <c r="BM69" s="461"/>
      <c r="BN69" s="461"/>
    </row>
    <row r="70" spans="1:66" ht="15" x14ac:dyDescent="0.25">
      <c r="A70" s="809" t="s">
        <v>752</v>
      </c>
      <c r="B70" s="880" t="s">
        <v>480</v>
      </c>
      <c r="C70" s="1033">
        <v>25500</v>
      </c>
      <c r="D70" s="59"/>
      <c r="E70" s="812">
        <f t="shared" si="3"/>
        <v>0</v>
      </c>
      <c r="F70" s="387">
        <f t="shared" si="13"/>
        <v>2</v>
      </c>
      <c r="G70" s="928">
        <f t="shared" si="4"/>
        <v>5.0999999999999997E-2</v>
      </c>
      <c r="H70" s="196">
        <f t="shared" si="5"/>
        <v>0</v>
      </c>
      <c r="I70" s="928">
        <f t="shared" si="6"/>
        <v>0</v>
      </c>
      <c r="J70" s="59"/>
      <c r="K70" s="59"/>
      <c r="L70" s="222"/>
      <c r="M70" s="812">
        <f t="shared" si="7"/>
        <v>0</v>
      </c>
      <c r="N70" s="196">
        <f t="shared" si="8"/>
        <v>2</v>
      </c>
      <c r="O70" s="196">
        <f t="shared" si="9"/>
        <v>5.0999999999999997E-2</v>
      </c>
      <c r="P70" s="813">
        <f t="shared" si="10"/>
        <v>0</v>
      </c>
      <c r="Q70" s="196">
        <f t="shared" si="11"/>
        <v>0</v>
      </c>
      <c r="R70" s="59"/>
      <c r="S70" s="59"/>
      <c r="T70" s="59"/>
      <c r="U70" s="59"/>
      <c r="V70" s="196">
        <f t="shared" si="14"/>
        <v>0</v>
      </c>
      <c r="W70" s="812">
        <f t="shared" si="15"/>
        <v>0</v>
      </c>
      <c r="X70" s="194"/>
      <c r="Y70" s="990">
        <v>2</v>
      </c>
      <c r="Z70" s="990">
        <v>5.0999999999999997E-2</v>
      </c>
      <c r="AA70" s="990">
        <v>2</v>
      </c>
      <c r="AB70" s="990">
        <v>5.0999999999999997E-2</v>
      </c>
      <c r="AC70" s="990"/>
      <c r="AD70" s="990"/>
      <c r="AE70" s="990">
        <v>2</v>
      </c>
      <c r="AF70" s="990">
        <v>5.0999999999999997E-2</v>
      </c>
      <c r="AG70" s="990">
        <v>2</v>
      </c>
      <c r="AH70" s="990">
        <v>5.0999999999999997E-2</v>
      </c>
      <c r="AI70" s="990"/>
      <c r="AJ70" s="990"/>
      <c r="AK70" s="990"/>
      <c r="AL70" s="990"/>
      <c r="AM70" s="990"/>
      <c r="AN70" s="990"/>
      <c r="AO70" s="990"/>
      <c r="AP70" s="990"/>
      <c r="AQ70" s="990"/>
      <c r="AR70" s="990"/>
      <c r="AS70" s="990"/>
      <c r="AT70" s="990"/>
      <c r="AU70" s="137"/>
      <c r="AV70" s="936"/>
      <c r="AW70" s="524"/>
      <c r="AX70" s="524"/>
      <c r="AZ70" s="148"/>
      <c r="BA70" s="148"/>
      <c r="BB70" s="77"/>
      <c r="BC70" s="455"/>
      <c r="BD70" s="456"/>
      <c r="BE70" s="455"/>
      <c r="BF70" s="456"/>
      <c r="BI70" s="459"/>
      <c r="BJ70" s="459"/>
      <c r="BK70" s="459"/>
      <c r="BL70" s="459"/>
      <c r="BM70" s="461"/>
      <c r="BN70" s="461"/>
    </row>
    <row r="71" spans="1:66" ht="15" x14ac:dyDescent="0.25">
      <c r="A71" s="809" t="s">
        <v>753</v>
      </c>
      <c r="B71" s="880" t="s">
        <v>480</v>
      </c>
      <c r="C71" s="1033">
        <v>45000</v>
      </c>
      <c r="D71" s="59"/>
      <c r="E71" s="812">
        <f t="shared" si="3"/>
        <v>0</v>
      </c>
      <c r="F71" s="387">
        <f t="shared" si="13"/>
        <v>5</v>
      </c>
      <c r="G71" s="928">
        <f t="shared" si="4"/>
        <v>0.22500000000000001</v>
      </c>
      <c r="H71" s="196">
        <f t="shared" si="5"/>
        <v>0</v>
      </c>
      <c r="I71" s="928">
        <f t="shared" si="6"/>
        <v>0</v>
      </c>
      <c r="J71" s="59"/>
      <c r="K71" s="59"/>
      <c r="L71" s="222"/>
      <c r="M71" s="812">
        <f t="shared" si="7"/>
        <v>0</v>
      </c>
      <c r="N71" s="196">
        <f t="shared" si="8"/>
        <v>5</v>
      </c>
      <c r="O71" s="196">
        <f t="shared" si="9"/>
        <v>0.22500000000000001</v>
      </c>
      <c r="P71" s="813">
        <f t="shared" si="10"/>
        <v>0</v>
      </c>
      <c r="Q71" s="196">
        <f t="shared" si="11"/>
        <v>0</v>
      </c>
      <c r="R71" s="59"/>
      <c r="S71" s="59"/>
      <c r="T71" s="59"/>
      <c r="U71" s="59"/>
      <c r="V71" s="196">
        <f t="shared" si="14"/>
        <v>0</v>
      </c>
      <c r="W71" s="812">
        <f t="shared" si="15"/>
        <v>0</v>
      </c>
      <c r="X71" s="194"/>
      <c r="Y71" s="990">
        <v>5</v>
      </c>
      <c r="Z71" s="990">
        <v>0.22500000000000001</v>
      </c>
      <c r="AA71" s="990">
        <v>5</v>
      </c>
      <c r="AB71" s="990">
        <v>0.22500000000000001</v>
      </c>
      <c r="AC71" s="990"/>
      <c r="AD71" s="990"/>
      <c r="AE71" s="990">
        <v>5</v>
      </c>
      <c r="AF71" s="990">
        <v>0.22500000000000001</v>
      </c>
      <c r="AG71" s="990">
        <v>5</v>
      </c>
      <c r="AH71" s="990">
        <v>0.22500000000000001</v>
      </c>
      <c r="AI71" s="990"/>
      <c r="AJ71" s="990"/>
      <c r="AK71" s="990"/>
      <c r="AL71" s="990"/>
      <c r="AM71" s="990"/>
      <c r="AN71" s="990"/>
      <c r="AO71" s="990"/>
      <c r="AP71" s="990"/>
      <c r="AQ71" s="990"/>
      <c r="AR71" s="990"/>
      <c r="AS71" s="990"/>
      <c r="AT71" s="990"/>
      <c r="AU71" s="137"/>
      <c r="AV71" s="936"/>
      <c r="AW71" s="524"/>
      <c r="AX71" s="524"/>
      <c r="AZ71" s="148"/>
      <c r="BA71" s="148"/>
      <c r="BB71" s="77"/>
      <c r="BC71" s="455"/>
      <c r="BD71" s="456"/>
      <c r="BE71" s="455"/>
      <c r="BF71" s="456"/>
      <c r="BI71" s="459"/>
      <c r="BJ71" s="459"/>
      <c r="BK71" s="459"/>
      <c r="BL71" s="459"/>
      <c r="BM71" s="461"/>
      <c r="BN71" s="461"/>
    </row>
    <row r="72" spans="1:66" ht="15" x14ac:dyDescent="0.25">
      <c r="A72" s="809" t="s">
        <v>754</v>
      </c>
      <c r="B72" s="880" t="s">
        <v>480</v>
      </c>
      <c r="C72" s="1033">
        <v>70000</v>
      </c>
      <c r="D72" s="59"/>
      <c r="E72" s="812">
        <f t="shared" si="3"/>
        <v>0</v>
      </c>
      <c r="F72" s="387">
        <f t="shared" si="13"/>
        <v>4</v>
      </c>
      <c r="G72" s="928">
        <f t="shared" si="4"/>
        <v>0.28000000000000003</v>
      </c>
      <c r="H72" s="196">
        <f t="shared" si="5"/>
        <v>0</v>
      </c>
      <c r="I72" s="928">
        <f t="shared" si="6"/>
        <v>0</v>
      </c>
      <c r="J72" s="59"/>
      <c r="K72" s="59"/>
      <c r="L72" s="222"/>
      <c r="M72" s="812">
        <f t="shared" si="7"/>
        <v>0</v>
      </c>
      <c r="N72" s="196">
        <f t="shared" si="8"/>
        <v>4</v>
      </c>
      <c r="O72" s="196">
        <f t="shared" si="9"/>
        <v>0.28000000000000003</v>
      </c>
      <c r="P72" s="813">
        <f t="shared" si="10"/>
        <v>0</v>
      </c>
      <c r="Q72" s="196">
        <f t="shared" si="11"/>
        <v>0</v>
      </c>
      <c r="R72" s="59"/>
      <c r="S72" s="59"/>
      <c r="T72" s="59"/>
      <c r="U72" s="59"/>
      <c r="V72" s="196">
        <f t="shared" si="14"/>
        <v>0</v>
      </c>
      <c r="W72" s="812">
        <f t="shared" si="15"/>
        <v>0</v>
      </c>
      <c r="X72" s="194"/>
      <c r="Y72" s="990">
        <v>4</v>
      </c>
      <c r="Z72" s="990">
        <v>0.28000000000000003</v>
      </c>
      <c r="AA72" s="990">
        <v>4</v>
      </c>
      <c r="AB72" s="990">
        <v>0.28000000000000003</v>
      </c>
      <c r="AC72" s="990"/>
      <c r="AD72" s="990"/>
      <c r="AE72" s="990">
        <v>4</v>
      </c>
      <c r="AF72" s="990">
        <v>0.28000000000000003</v>
      </c>
      <c r="AG72" s="990">
        <v>4</v>
      </c>
      <c r="AH72" s="990">
        <v>0.28000000000000003</v>
      </c>
      <c r="AI72" s="990"/>
      <c r="AJ72" s="990"/>
      <c r="AK72" s="990"/>
      <c r="AL72" s="990"/>
      <c r="AM72" s="990"/>
      <c r="AN72" s="990"/>
      <c r="AO72" s="990"/>
      <c r="AP72" s="990"/>
      <c r="AQ72" s="990"/>
      <c r="AR72" s="990"/>
      <c r="AS72" s="990"/>
      <c r="AT72" s="990"/>
      <c r="AU72" s="137"/>
      <c r="AV72" s="936"/>
      <c r="AW72" s="524"/>
      <c r="AX72" s="524"/>
      <c r="AZ72" s="148"/>
      <c r="BA72" s="148"/>
      <c r="BB72" s="77"/>
      <c r="BC72" s="455"/>
      <c r="BD72" s="456"/>
      <c r="BE72" s="455"/>
      <c r="BF72" s="456"/>
      <c r="BI72" s="459"/>
      <c r="BJ72" s="459"/>
      <c r="BK72" s="459"/>
      <c r="BL72" s="459"/>
      <c r="BM72" s="461"/>
      <c r="BN72" s="461"/>
    </row>
    <row r="73" spans="1:66" ht="30" x14ac:dyDescent="0.25">
      <c r="A73" s="1099" t="s">
        <v>785</v>
      </c>
      <c r="B73" s="880" t="s">
        <v>562</v>
      </c>
      <c r="C73" s="1033">
        <v>1286.2547288776798</v>
      </c>
      <c r="D73" s="59"/>
      <c r="E73" s="812">
        <f t="shared" si="3"/>
        <v>0</v>
      </c>
      <c r="F73" s="387">
        <f t="shared" si="13"/>
        <v>396.5</v>
      </c>
      <c r="G73" s="928">
        <f t="shared" si="4"/>
        <v>0.51</v>
      </c>
      <c r="H73" s="196">
        <f t="shared" si="5"/>
        <v>0</v>
      </c>
      <c r="I73" s="928">
        <f t="shared" si="6"/>
        <v>0</v>
      </c>
      <c r="J73" s="59"/>
      <c r="K73" s="59"/>
      <c r="L73" s="222"/>
      <c r="M73" s="812">
        <f t="shared" si="7"/>
        <v>0</v>
      </c>
      <c r="N73" s="196">
        <f t="shared" si="8"/>
        <v>0</v>
      </c>
      <c r="O73" s="196">
        <f t="shared" si="9"/>
        <v>0</v>
      </c>
      <c r="P73" s="813">
        <f t="shared" si="10"/>
        <v>0</v>
      </c>
      <c r="Q73" s="196">
        <f t="shared" si="11"/>
        <v>0</v>
      </c>
      <c r="R73" s="59"/>
      <c r="S73" s="59"/>
      <c r="T73" s="59"/>
      <c r="U73" s="59"/>
      <c r="V73" s="196">
        <f t="shared" si="14"/>
        <v>396.5</v>
      </c>
      <c r="W73" s="812">
        <f t="shared" si="15"/>
        <v>0.51</v>
      </c>
      <c r="X73" s="194"/>
      <c r="Y73" s="990">
        <v>396.5</v>
      </c>
      <c r="Z73" s="990">
        <v>0.51</v>
      </c>
      <c r="AA73" s="990">
        <v>396.5</v>
      </c>
      <c r="AB73" s="990">
        <v>0.51</v>
      </c>
      <c r="AC73" s="990"/>
      <c r="AD73" s="990"/>
      <c r="AE73" s="990">
        <v>0</v>
      </c>
      <c r="AF73" s="990">
        <v>0</v>
      </c>
      <c r="AG73" s="990">
        <v>0</v>
      </c>
      <c r="AH73" s="990">
        <v>0</v>
      </c>
      <c r="AI73" s="990"/>
      <c r="AJ73" s="990"/>
      <c r="AK73" s="990"/>
      <c r="AL73" s="990"/>
      <c r="AM73" s="990"/>
      <c r="AN73" s="990"/>
      <c r="AO73" s="990"/>
      <c r="AP73" s="990"/>
      <c r="AQ73" s="990"/>
      <c r="AR73" s="990"/>
      <c r="AS73" s="990"/>
      <c r="AT73" s="990"/>
      <c r="AU73" s="137"/>
      <c r="AV73" s="936"/>
      <c r="AW73" s="524"/>
      <c r="AX73" s="524"/>
      <c r="AZ73" s="148"/>
      <c r="BA73" s="148"/>
      <c r="BB73" s="77"/>
      <c r="BC73" s="455"/>
      <c r="BD73" s="456"/>
      <c r="BE73" s="455"/>
      <c r="BF73" s="456"/>
      <c r="BI73" s="459"/>
      <c r="BJ73" s="459"/>
      <c r="BK73" s="459"/>
      <c r="BL73" s="459"/>
      <c r="BM73" s="461"/>
      <c r="BN73" s="461"/>
    </row>
    <row r="74" spans="1:66" ht="30" x14ac:dyDescent="0.25">
      <c r="A74" s="1099" t="s">
        <v>787</v>
      </c>
      <c r="B74" s="880" t="s">
        <v>562</v>
      </c>
      <c r="C74" s="1033">
        <v>743.83988735794026</v>
      </c>
      <c r="D74" s="59"/>
      <c r="E74" s="812">
        <f t="shared" si="3"/>
        <v>0</v>
      </c>
      <c r="F74" s="387">
        <f t="shared" ref="F74:F86" si="16">D74+Y74</f>
        <v>4971.5</v>
      </c>
      <c r="G74" s="928">
        <f t="shared" si="4"/>
        <v>3.698</v>
      </c>
      <c r="H74" s="196">
        <f t="shared" si="5"/>
        <v>0</v>
      </c>
      <c r="I74" s="928">
        <f t="shared" si="6"/>
        <v>0</v>
      </c>
      <c r="J74" s="59"/>
      <c r="K74" s="59"/>
      <c r="L74" s="222"/>
      <c r="M74" s="812">
        <f t="shared" si="7"/>
        <v>0</v>
      </c>
      <c r="N74" s="196">
        <f t="shared" si="8"/>
        <v>4971.5</v>
      </c>
      <c r="O74" s="196">
        <f t="shared" si="9"/>
        <v>3.698</v>
      </c>
      <c r="P74" s="813">
        <f t="shared" si="10"/>
        <v>0</v>
      </c>
      <c r="Q74" s="196">
        <f t="shared" si="11"/>
        <v>0</v>
      </c>
      <c r="R74" s="59"/>
      <c r="S74" s="59"/>
      <c r="T74" s="59"/>
      <c r="U74" s="59"/>
      <c r="V74" s="196">
        <f t="shared" ref="V74:V83" si="17">F74+J74-N74-R74-T74</f>
        <v>0</v>
      </c>
      <c r="W74" s="812">
        <f t="shared" ref="W74:W83" si="18">G74+K74-O74-S74-U74</f>
        <v>0</v>
      </c>
      <c r="X74" s="194"/>
      <c r="Y74" s="990">
        <v>4971.5</v>
      </c>
      <c r="Z74" s="990">
        <v>3.698</v>
      </c>
      <c r="AA74" s="990">
        <v>4971.5</v>
      </c>
      <c r="AB74" s="990">
        <v>3.698</v>
      </c>
      <c r="AC74" s="990"/>
      <c r="AD74" s="990"/>
      <c r="AE74" s="990">
        <v>4971.5</v>
      </c>
      <c r="AF74" s="990">
        <v>3.698</v>
      </c>
      <c r="AG74" s="990">
        <v>4971.5</v>
      </c>
      <c r="AH74" s="990">
        <v>3.698</v>
      </c>
      <c r="AI74" s="990"/>
      <c r="AJ74" s="990"/>
      <c r="AK74" s="990"/>
      <c r="AL74" s="990"/>
      <c r="AM74" s="990"/>
      <c r="AN74" s="990"/>
      <c r="AO74" s="990"/>
      <c r="AP74" s="990"/>
      <c r="AQ74" s="990"/>
      <c r="AR74" s="990"/>
      <c r="AS74" s="990"/>
      <c r="AT74" s="990"/>
      <c r="AU74" s="137"/>
      <c r="AV74" s="936"/>
      <c r="AW74" s="524"/>
      <c r="AX74" s="524"/>
      <c r="AZ74" s="148"/>
      <c r="BA74" s="148"/>
      <c r="BB74" s="77"/>
      <c r="BC74" s="455"/>
      <c r="BD74" s="456"/>
      <c r="BE74" s="455"/>
      <c r="BF74" s="456"/>
      <c r="BI74" s="459"/>
      <c r="BJ74" s="459"/>
      <c r="BK74" s="459"/>
      <c r="BL74" s="459"/>
      <c r="BM74" s="461"/>
      <c r="BN74" s="461"/>
    </row>
    <row r="75" spans="1:66" ht="15" x14ac:dyDescent="0.25">
      <c r="A75" s="1099" t="s">
        <v>786</v>
      </c>
      <c r="B75" s="880" t="s">
        <v>755</v>
      </c>
      <c r="C75" s="1033">
        <v>691.23222748815169</v>
      </c>
      <c r="D75" s="59"/>
      <c r="E75" s="812">
        <f>(D75*C75)/1000000</f>
        <v>0</v>
      </c>
      <c r="F75" s="387">
        <f t="shared" si="16"/>
        <v>20540</v>
      </c>
      <c r="G75" s="928">
        <f>(F75*C75)/1000000</f>
        <v>14.197909952606635</v>
      </c>
      <c r="H75" s="196">
        <f t="shared" ref="H75:H86" si="19">D75</f>
        <v>0</v>
      </c>
      <c r="I75" s="928">
        <f t="shared" ref="I75:I86" si="20">(H75*C75)/1000000</f>
        <v>0</v>
      </c>
      <c r="J75" s="59"/>
      <c r="K75" s="59"/>
      <c r="L75" s="222"/>
      <c r="M75" s="812">
        <f t="shared" ref="M75:M83" si="21">(L75*C75)/1000000</f>
        <v>0</v>
      </c>
      <c r="N75" s="196">
        <f t="shared" ref="N75:N86" si="22">L75+AE75</f>
        <v>20540</v>
      </c>
      <c r="O75" s="196">
        <f t="shared" ref="O75:O86" si="23">M75+AF75</f>
        <v>14.197909952606635</v>
      </c>
      <c r="P75" s="813">
        <f t="shared" ref="P75:P89" si="24">L75</f>
        <v>0</v>
      </c>
      <c r="Q75" s="196">
        <f t="shared" ref="Q75:Q88" si="25">M75</f>
        <v>0</v>
      </c>
      <c r="R75" s="59"/>
      <c r="S75" s="59"/>
      <c r="T75" s="59"/>
      <c r="U75" s="59"/>
      <c r="V75" s="196">
        <f t="shared" si="17"/>
        <v>0</v>
      </c>
      <c r="W75" s="812">
        <f t="shared" si="18"/>
        <v>0</v>
      </c>
      <c r="X75" s="194"/>
      <c r="Y75" s="990">
        <v>20540</v>
      </c>
      <c r="Z75" s="990">
        <v>14.197909952606635</v>
      </c>
      <c r="AA75" s="990">
        <v>20540</v>
      </c>
      <c r="AB75" s="990">
        <v>14.197909952606635</v>
      </c>
      <c r="AC75" s="990"/>
      <c r="AD75" s="990"/>
      <c r="AE75" s="990">
        <v>20540</v>
      </c>
      <c r="AF75" s="990">
        <v>14.197909952606635</v>
      </c>
      <c r="AG75" s="990">
        <v>20540</v>
      </c>
      <c r="AH75" s="990">
        <v>14.197909952606635</v>
      </c>
      <c r="AI75" s="990"/>
      <c r="AJ75" s="990"/>
      <c r="AK75" s="990"/>
      <c r="AL75" s="990"/>
      <c r="AM75" s="990"/>
      <c r="AN75" s="990"/>
      <c r="AO75" s="990"/>
      <c r="AP75" s="990"/>
      <c r="AQ75" s="990"/>
      <c r="AR75" s="990"/>
      <c r="AS75" s="990"/>
      <c r="AT75" s="990"/>
      <c r="AU75" s="137"/>
      <c r="AV75" s="936"/>
      <c r="AW75" s="524"/>
      <c r="AX75" s="524"/>
      <c r="AZ75" s="148"/>
      <c r="BA75" s="148"/>
      <c r="BB75" s="77"/>
      <c r="BC75" s="455"/>
      <c r="BD75" s="456"/>
      <c r="BE75" s="455"/>
      <c r="BF75" s="456"/>
      <c r="BI75" s="459"/>
      <c r="BJ75" s="459"/>
      <c r="BK75" s="459"/>
      <c r="BL75" s="459"/>
      <c r="BM75" s="461"/>
      <c r="BN75" s="461"/>
    </row>
    <row r="76" spans="1:66" ht="15" x14ac:dyDescent="0.25">
      <c r="A76" s="1087" t="s">
        <v>784</v>
      </c>
      <c r="B76" s="893" t="s">
        <v>480</v>
      </c>
      <c r="C76" s="1033">
        <v>482</v>
      </c>
      <c r="D76" s="59"/>
      <c r="E76" s="812">
        <f>(D76*C76)/1000000</f>
        <v>0</v>
      </c>
      <c r="F76" s="387">
        <f t="shared" si="16"/>
        <v>34347</v>
      </c>
      <c r="G76" s="928">
        <f>(F76*C76)/1000000</f>
        <v>16.555254000000001</v>
      </c>
      <c r="H76" s="196">
        <f t="shared" si="19"/>
        <v>0</v>
      </c>
      <c r="I76" s="928">
        <f t="shared" si="20"/>
        <v>0</v>
      </c>
      <c r="J76" s="59"/>
      <c r="K76" s="59"/>
      <c r="L76" s="222"/>
      <c r="M76" s="812">
        <f t="shared" si="21"/>
        <v>0</v>
      </c>
      <c r="N76" s="196">
        <f t="shared" si="22"/>
        <v>34347</v>
      </c>
      <c r="O76" s="196">
        <f t="shared" si="23"/>
        <v>16.555254000000001</v>
      </c>
      <c r="P76" s="813">
        <f t="shared" si="24"/>
        <v>0</v>
      </c>
      <c r="Q76" s="196">
        <f t="shared" si="25"/>
        <v>0</v>
      </c>
      <c r="R76" s="59"/>
      <c r="S76" s="59"/>
      <c r="T76" s="59"/>
      <c r="U76" s="59"/>
      <c r="V76" s="196">
        <f t="shared" si="17"/>
        <v>0</v>
      </c>
      <c r="W76" s="812">
        <f t="shared" si="18"/>
        <v>0</v>
      </c>
      <c r="X76" s="194"/>
      <c r="Y76" s="990">
        <v>34347</v>
      </c>
      <c r="Z76" s="990">
        <v>16.555254000000001</v>
      </c>
      <c r="AA76" s="990">
        <v>34347</v>
      </c>
      <c r="AB76" s="990">
        <v>16.555254000000001</v>
      </c>
      <c r="AC76" s="990"/>
      <c r="AD76" s="990"/>
      <c r="AE76" s="990">
        <v>34347</v>
      </c>
      <c r="AF76" s="990">
        <v>16.555254000000001</v>
      </c>
      <c r="AG76" s="990">
        <v>34347</v>
      </c>
      <c r="AH76" s="990">
        <v>16.555254000000001</v>
      </c>
      <c r="AI76" s="990"/>
      <c r="AJ76" s="990"/>
      <c r="AK76" s="990"/>
      <c r="AL76" s="990"/>
      <c r="AM76" s="990"/>
      <c r="AN76" s="990"/>
      <c r="AO76" s="990"/>
      <c r="AP76" s="990"/>
      <c r="AQ76" s="990"/>
      <c r="AR76" s="990"/>
      <c r="AS76" s="990"/>
      <c r="AT76" s="990"/>
      <c r="AU76" s="137"/>
      <c r="AV76" s="936"/>
      <c r="AW76" s="524"/>
      <c r="AX76" s="524"/>
      <c r="AZ76" s="148"/>
      <c r="BA76" s="148"/>
      <c r="BB76" s="77"/>
      <c r="BC76" s="455"/>
      <c r="BD76" s="456"/>
      <c r="BE76" s="455"/>
      <c r="BF76" s="456"/>
      <c r="BI76" s="459"/>
      <c r="BJ76" s="459"/>
      <c r="BK76" s="459"/>
      <c r="BL76" s="459"/>
      <c r="BM76" s="461"/>
      <c r="BN76" s="461"/>
    </row>
    <row r="77" spans="1:66" ht="15" x14ac:dyDescent="0.25">
      <c r="A77" s="809" t="s">
        <v>788</v>
      </c>
      <c r="B77" s="880" t="s">
        <v>476</v>
      </c>
      <c r="C77" s="1033">
        <v>14500.090464990049</v>
      </c>
      <c r="D77" s="59"/>
      <c r="E77" s="812">
        <f>(D77*C77)/1000000</f>
        <v>0</v>
      </c>
      <c r="F77" s="387">
        <f t="shared" si="16"/>
        <v>5527</v>
      </c>
      <c r="G77" s="928">
        <f>(F77*C77)/1000000</f>
        <v>80.141999999999996</v>
      </c>
      <c r="H77" s="196">
        <f t="shared" si="19"/>
        <v>0</v>
      </c>
      <c r="I77" s="928">
        <f t="shared" si="20"/>
        <v>0</v>
      </c>
      <c r="J77" s="59"/>
      <c r="K77" s="59"/>
      <c r="L77" s="222"/>
      <c r="M77" s="812">
        <f t="shared" si="21"/>
        <v>0</v>
      </c>
      <c r="N77" s="196">
        <f t="shared" si="22"/>
        <v>5527</v>
      </c>
      <c r="O77" s="1365">
        <f t="shared" si="23"/>
        <v>80.141999999999996</v>
      </c>
      <c r="P77" s="813">
        <f t="shared" si="24"/>
        <v>0</v>
      </c>
      <c r="Q77" s="196">
        <f t="shared" si="25"/>
        <v>0</v>
      </c>
      <c r="R77" s="59"/>
      <c r="S77" s="59"/>
      <c r="T77" s="59"/>
      <c r="U77" s="59"/>
      <c r="V77" s="196">
        <f t="shared" si="17"/>
        <v>0</v>
      </c>
      <c r="W77" s="812">
        <f t="shared" si="18"/>
        <v>0</v>
      </c>
      <c r="X77" s="194"/>
      <c r="Y77" s="990">
        <v>5527</v>
      </c>
      <c r="Z77" s="990">
        <v>80.141999999999996</v>
      </c>
      <c r="AA77" s="990">
        <v>5527</v>
      </c>
      <c r="AB77" s="990">
        <v>80.141999999999996</v>
      </c>
      <c r="AC77" s="990"/>
      <c r="AD77" s="990"/>
      <c r="AE77" s="990">
        <v>5527</v>
      </c>
      <c r="AF77" s="990">
        <v>80.141999999999996</v>
      </c>
      <c r="AG77" s="990">
        <v>5527</v>
      </c>
      <c r="AH77" s="990">
        <v>80.141999999999996</v>
      </c>
      <c r="AI77" s="990"/>
      <c r="AJ77" s="990"/>
      <c r="AK77" s="990"/>
      <c r="AL77" s="990"/>
      <c r="AM77" s="990"/>
      <c r="AN77" s="990"/>
      <c r="AO77" s="990"/>
      <c r="AP77" s="990"/>
      <c r="AQ77" s="990"/>
      <c r="AR77" s="990"/>
      <c r="AS77" s="990"/>
      <c r="AT77" s="990"/>
      <c r="AU77" s="137"/>
      <c r="AV77" s="936"/>
      <c r="AW77" s="524"/>
      <c r="AX77" s="524"/>
      <c r="AZ77" s="148"/>
      <c r="BA77" s="148"/>
      <c r="BB77" s="77"/>
      <c r="BC77" s="455"/>
      <c r="BD77" s="456"/>
      <c r="BE77" s="455"/>
      <c r="BF77" s="456"/>
      <c r="BI77" s="459"/>
      <c r="BJ77" s="459"/>
      <c r="BK77" s="459"/>
      <c r="BL77" s="459"/>
      <c r="BM77" s="461"/>
      <c r="BN77" s="461"/>
    </row>
    <row r="78" spans="1:66" ht="30" x14ac:dyDescent="0.25">
      <c r="A78" s="809" t="s">
        <v>869</v>
      </c>
      <c r="B78" s="880" t="s">
        <v>562</v>
      </c>
      <c r="C78" s="1033">
        <v>105.6198347107438</v>
      </c>
      <c r="D78" s="59"/>
      <c r="E78" s="812">
        <f>(D78*C78)/1000000</f>
        <v>0</v>
      </c>
      <c r="F78" s="387">
        <f t="shared" si="16"/>
        <v>6050</v>
      </c>
      <c r="G78" s="928">
        <f>(F78*C78)/1000000</f>
        <v>0.63900000000000001</v>
      </c>
      <c r="H78" s="196">
        <f t="shared" si="19"/>
        <v>0</v>
      </c>
      <c r="I78" s="928">
        <f t="shared" si="20"/>
        <v>0</v>
      </c>
      <c r="J78" s="59"/>
      <c r="K78" s="59"/>
      <c r="L78" s="222"/>
      <c r="M78" s="812">
        <f t="shared" si="21"/>
        <v>0</v>
      </c>
      <c r="N78" s="196">
        <f t="shared" si="22"/>
        <v>6050</v>
      </c>
      <c r="O78" s="196">
        <f t="shared" si="23"/>
        <v>0.63900000000000001</v>
      </c>
      <c r="P78" s="813">
        <f t="shared" si="24"/>
        <v>0</v>
      </c>
      <c r="Q78" s="196">
        <f t="shared" si="25"/>
        <v>0</v>
      </c>
      <c r="R78" s="59"/>
      <c r="S78" s="59"/>
      <c r="T78" s="59"/>
      <c r="U78" s="59"/>
      <c r="V78" s="196">
        <f t="shared" si="17"/>
        <v>0</v>
      </c>
      <c r="W78" s="812">
        <f t="shared" si="18"/>
        <v>0</v>
      </c>
      <c r="X78" s="194"/>
      <c r="Y78" s="990">
        <v>6050</v>
      </c>
      <c r="Z78" s="990">
        <v>0.63900000000000001</v>
      </c>
      <c r="AA78" s="990">
        <v>6050</v>
      </c>
      <c r="AB78" s="990">
        <v>0.63900000000000001</v>
      </c>
      <c r="AC78" s="990"/>
      <c r="AD78" s="990"/>
      <c r="AE78" s="990">
        <v>6050</v>
      </c>
      <c r="AF78" s="990">
        <v>0.63900000000000001</v>
      </c>
      <c r="AG78" s="990">
        <v>6050</v>
      </c>
      <c r="AH78" s="990">
        <v>0.63900000000000001</v>
      </c>
      <c r="AI78" s="990"/>
      <c r="AJ78" s="990"/>
      <c r="AK78" s="990"/>
      <c r="AL78" s="990"/>
      <c r="AM78" s="990"/>
      <c r="AN78" s="990"/>
      <c r="AO78" s="990"/>
      <c r="AP78" s="990"/>
      <c r="AQ78" s="990"/>
      <c r="AR78" s="990"/>
      <c r="AS78" s="990"/>
      <c r="AT78" s="990"/>
      <c r="AU78" s="137"/>
      <c r="AV78" s="936"/>
      <c r="AW78" s="524"/>
      <c r="AX78" s="524"/>
      <c r="AZ78" s="148"/>
      <c r="BA78" s="148"/>
      <c r="BB78" s="77"/>
      <c r="BC78" s="455"/>
      <c r="BD78" s="456"/>
      <c r="BE78" s="455"/>
      <c r="BF78" s="456"/>
      <c r="BI78" s="459"/>
      <c r="BJ78" s="459"/>
      <c r="BK78" s="459"/>
      <c r="BL78" s="459"/>
      <c r="BM78" s="461"/>
      <c r="BN78" s="461"/>
    </row>
    <row r="79" spans="1:66" ht="30" x14ac:dyDescent="0.25">
      <c r="A79" s="269" t="s">
        <v>901</v>
      </c>
      <c r="B79" s="1047" t="s">
        <v>562</v>
      </c>
      <c r="C79" s="222"/>
      <c r="D79" s="222"/>
      <c r="E79" s="812">
        <f>(D79*C79)/1000000</f>
        <v>0</v>
      </c>
      <c r="F79" s="387">
        <f t="shared" si="16"/>
        <v>4573</v>
      </c>
      <c r="G79" s="928">
        <f t="shared" ref="G79:G86" si="26">(F79*C79)/1000000</f>
        <v>0</v>
      </c>
      <c r="H79" s="196">
        <f t="shared" si="19"/>
        <v>0</v>
      </c>
      <c r="I79" s="928">
        <f t="shared" si="20"/>
        <v>0</v>
      </c>
      <c r="J79" s="59"/>
      <c r="K79" s="59"/>
      <c r="L79" s="222"/>
      <c r="M79" s="812">
        <f t="shared" si="21"/>
        <v>0</v>
      </c>
      <c r="N79" s="196">
        <f t="shared" si="22"/>
        <v>2020</v>
      </c>
      <c r="O79" s="196">
        <f t="shared" si="23"/>
        <v>0</v>
      </c>
      <c r="P79" s="813">
        <f t="shared" si="24"/>
        <v>0</v>
      </c>
      <c r="Q79" s="196">
        <f t="shared" si="25"/>
        <v>0</v>
      </c>
      <c r="R79" s="59"/>
      <c r="S79" s="59"/>
      <c r="T79" s="59"/>
      <c r="U79" s="59"/>
      <c r="V79" s="196">
        <f t="shared" si="17"/>
        <v>2553</v>
      </c>
      <c r="W79" s="812">
        <f t="shared" si="18"/>
        <v>0</v>
      </c>
      <c r="X79" s="194"/>
      <c r="Y79" s="990">
        <v>4573</v>
      </c>
      <c r="Z79" s="990">
        <v>0</v>
      </c>
      <c r="AA79" s="990">
        <v>4573</v>
      </c>
      <c r="AB79" s="990">
        <v>0</v>
      </c>
      <c r="AC79" s="990"/>
      <c r="AD79" s="990"/>
      <c r="AE79" s="990">
        <v>2020</v>
      </c>
      <c r="AF79" s="990">
        <v>0</v>
      </c>
      <c r="AG79" s="990">
        <v>2020</v>
      </c>
      <c r="AH79" s="990">
        <v>0</v>
      </c>
      <c r="AI79" s="990"/>
      <c r="AJ79" s="990"/>
      <c r="AK79" s="990"/>
      <c r="AL79" s="990"/>
      <c r="AM79" s="990"/>
      <c r="AN79" s="990"/>
      <c r="AO79" s="990"/>
      <c r="AP79" s="990"/>
      <c r="AQ79" s="990"/>
      <c r="AR79" s="990"/>
      <c r="AS79" s="990"/>
      <c r="AT79" s="990"/>
      <c r="AU79" s="137"/>
      <c r="AV79" s="936"/>
      <c r="AW79" s="524">
        <f>+O79-M79</f>
        <v>0</v>
      </c>
      <c r="AX79" s="524">
        <f>+AW79-BJ79</f>
        <v>0</v>
      </c>
      <c r="AZ79" s="148"/>
      <c r="BA79" s="148"/>
      <c r="BB79" s="77"/>
      <c r="BC79" s="455"/>
      <c r="BD79" s="456"/>
      <c r="BE79" s="455"/>
      <c r="BF79" s="456"/>
      <c r="BI79" s="459"/>
      <c r="BJ79" s="459"/>
      <c r="BK79" s="459"/>
      <c r="BL79" s="459"/>
      <c r="BM79" s="461"/>
      <c r="BN79" s="461"/>
    </row>
    <row r="80" spans="1:66" ht="30" x14ac:dyDescent="0.25">
      <c r="A80" s="269" t="s">
        <v>902</v>
      </c>
      <c r="B80" s="1047" t="s">
        <v>903</v>
      </c>
      <c r="C80" s="222"/>
      <c r="D80" s="222"/>
      <c r="E80" s="221">
        <v>0</v>
      </c>
      <c r="F80" s="387">
        <f t="shared" si="16"/>
        <v>60</v>
      </c>
      <c r="G80" s="928">
        <f t="shared" si="26"/>
        <v>0</v>
      </c>
      <c r="H80" s="196">
        <f t="shared" si="19"/>
        <v>0</v>
      </c>
      <c r="I80" s="928">
        <f t="shared" si="20"/>
        <v>0</v>
      </c>
      <c r="J80" s="59"/>
      <c r="K80" s="59"/>
      <c r="L80" s="222"/>
      <c r="M80" s="812">
        <f t="shared" si="21"/>
        <v>0</v>
      </c>
      <c r="N80" s="196">
        <f t="shared" si="22"/>
        <v>15</v>
      </c>
      <c r="O80" s="196">
        <f t="shared" si="23"/>
        <v>0</v>
      </c>
      <c r="P80" s="813">
        <f t="shared" si="24"/>
        <v>0</v>
      </c>
      <c r="Q80" s="196">
        <f t="shared" si="25"/>
        <v>0</v>
      </c>
      <c r="R80" s="59"/>
      <c r="S80" s="59"/>
      <c r="T80" s="59"/>
      <c r="U80" s="59"/>
      <c r="V80" s="196">
        <f t="shared" si="17"/>
        <v>45</v>
      </c>
      <c r="W80" s="812">
        <f t="shared" si="18"/>
        <v>0</v>
      </c>
      <c r="X80" s="194"/>
      <c r="Y80" s="990">
        <v>60</v>
      </c>
      <c r="Z80" s="990">
        <v>0</v>
      </c>
      <c r="AA80" s="990">
        <v>60</v>
      </c>
      <c r="AB80" s="990">
        <v>0</v>
      </c>
      <c r="AC80" s="990"/>
      <c r="AD80" s="990"/>
      <c r="AE80" s="990">
        <v>15</v>
      </c>
      <c r="AF80" s="990">
        <v>0</v>
      </c>
      <c r="AG80" s="990">
        <v>15</v>
      </c>
      <c r="AH80" s="990">
        <v>0</v>
      </c>
      <c r="AI80" s="990"/>
      <c r="AJ80" s="990"/>
      <c r="AK80" s="990"/>
      <c r="AL80" s="990"/>
      <c r="AM80" s="990"/>
      <c r="AN80" s="990"/>
      <c r="AO80" s="990"/>
      <c r="AP80" s="990"/>
      <c r="AQ80" s="990"/>
      <c r="AR80" s="990"/>
      <c r="AS80" s="990"/>
      <c r="AT80" s="990"/>
      <c r="AU80" s="137"/>
      <c r="AV80" s="936"/>
      <c r="AW80" s="524"/>
      <c r="AX80" s="524"/>
      <c r="AZ80" s="148"/>
      <c r="BA80" s="148"/>
      <c r="BB80" s="77"/>
      <c r="BC80" s="455"/>
      <c r="BD80" s="456"/>
      <c r="BE80" s="455"/>
      <c r="BF80" s="456"/>
      <c r="BI80" s="459"/>
      <c r="BJ80" s="459"/>
      <c r="BK80" s="459"/>
      <c r="BL80" s="459"/>
      <c r="BM80" s="461"/>
      <c r="BN80" s="461"/>
    </row>
    <row r="81" spans="1:70" ht="21" customHeight="1" x14ac:dyDescent="0.25">
      <c r="A81" s="269" t="s">
        <v>904</v>
      </c>
      <c r="B81" s="891" t="s">
        <v>495</v>
      </c>
      <c r="C81" s="222">
        <f>(G81*1000000)/F81</f>
        <v>3398</v>
      </c>
      <c r="D81" s="222"/>
      <c r="E81" s="221">
        <v>0</v>
      </c>
      <c r="F81" s="387">
        <f t="shared" si="16"/>
        <v>850</v>
      </c>
      <c r="G81" s="928">
        <f>2888300/1000000</f>
        <v>2.8883000000000001</v>
      </c>
      <c r="H81" s="196">
        <f t="shared" si="19"/>
        <v>0</v>
      </c>
      <c r="I81" s="928">
        <f t="shared" si="20"/>
        <v>0</v>
      </c>
      <c r="J81" s="59"/>
      <c r="K81" s="59"/>
      <c r="L81" s="222"/>
      <c r="M81" s="812">
        <f t="shared" si="21"/>
        <v>0</v>
      </c>
      <c r="N81" s="196">
        <f t="shared" si="22"/>
        <v>850</v>
      </c>
      <c r="O81" s="196">
        <f t="shared" si="23"/>
        <v>2.8883000000000001</v>
      </c>
      <c r="P81" s="813">
        <f t="shared" si="24"/>
        <v>0</v>
      </c>
      <c r="Q81" s="196">
        <f t="shared" si="25"/>
        <v>0</v>
      </c>
      <c r="R81" s="59"/>
      <c r="S81" s="59"/>
      <c r="T81" s="59"/>
      <c r="U81" s="59"/>
      <c r="V81" s="196">
        <f t="shared" si="17"/>
        <v>0</v>
      </c>
      <c r="W81" s="812">
        <f t="shared" si="18"/>
        <v>0</v>
      </c>
      <c r="X81" s="194"/>
      <c r="Y81" s="990">
        <v>850</v>
      </c>
      <c r="Z81" s="990">
        <v>2.8883000000000001</v>
      </c>
      <c r="AA81" s="990">
        <v>850</v>
      </c>
      <c r="AB81" s="990">
        <v>2.8883000000000001</v>
      </c>
      <c r="AC81" s="990"/>
      <c r="AD81" s="990"/>
      <c r="AE81" s="990">
        <v>850</v>
      </c>
      <c r="AF81" s="990">
        <v>2.8883000000000001</v>
      </c>
      <c r="AG81" s="990">
        <v>850</v>
      </c>
      <c r="AH81" s="990">
        <v>2.8883000000000001</v>
      </c>
      <c r="AI81" s="990"/>
      <c r="AJ81" s="990"/>
      <c r="AK81" s="990"/>
      <c r="AL81" s="990"/>
      <c r="AM81" s="990"/>
      <c r="AN81" s="990"/>
      <c r="AO81" s="990"/>
      <c r="AP81" s="990"/>
      <c r="AQ81" s="990"/>
      <c r="AR81" s="990"/>
      <c r="AS81" s="990"/>
      <c r="AT81" s="990"/>
      <c r="AU81" s="137"/>
      <c r="AV81" s="936"/>
      <c r="AW81" s="524"/>
      <c r="AX81" s="524"/>
      <c r="AZ81" s="148"/>
      <c r="BA81" s="148"/>
      <c r="BB81" s="77"/>
      <c r="BC81" s="455"/>
      <c r="BD81" s="456"/>
      <c r="BE81" s="455"/>
      <c r="BF81" s="456"/>
      <c r="BI81" s="459"/>
      <c r="BJ81" s="459"/>
      <c r="BK81" s="459"/>
      <c r="BL81" s="459"/>
      <c r="BM81" s="461"/>
      <c r="BN81" s="461"/>
    </row>
    <row r="82" spans="1:70" ht="21" customHeight="1" x14ac:dyDescent="0.25">
      <c r="A82" s="269" t="s">
        <v>905</v>
      </c>
      <c r="B82" s="1047" t="s">
        <v>495</v>
      </c>
      <c r="C82" s="222">
        <f>(G82*1000000)/F82</f>
        <v>4193.5496183206105</v>
      </c>
      <c r="D82" s="222"/>
      <c r="E82" s="221">
        <v>0</v>
      </c>
      <c r="F82" s="387">
        <f t="shared" si="16"/>
        <v>1310</v>
      </c>
      <c r="G82" s="928">
        <f>(2770660+2722890)/1000000</f>
        <v>5.4935499999999999</v>
      </c>
      <c r="H82" s="196">
        <f t="shared" si="19"/>
        <v>0</v>
      </c>
      <c r="I82" s="928">
        <f t="shared" si="20"/>
        <v>0</v>
      </c>
      <c r="J82" s="59"/>
      <c r="K82" s="59"/>
      <c r="L82" s="222"/>
      <c r="M82" s="812">
        <f t="shared" si="21"/>
        <v>0</v>
      </c>
      <c r="N82" s="196">
        <f t="shared" si="22"/>
        <v>1310</v>
      </c>
      <c r="O82" s="196">
        <f t="shared" si="23"/>
        <v>5.4935499999999999</v>
      </c>
      <c r="P82" s="813">
        <f t="shared" si="24"/>
        <v>0</v>
      </c>
      <c r="Q82" s="196">
        <f t="shared" si="25"/>
        <v>0</v>
      </c>
      <c r="R82" s="59"/>
      <c r="S82" s="59"/>
      <c r="T82" s="59"/>
      <c r="U82" s="59"/>
      <c r="V82" s="196">
        <f t="shared" si="17"/>
        <v>0</v>
      </c>
      <c r="W82" s="812">
        <f t="shared" si="18"/>
        <v>0</v>
      </c>
      <c r="X82" s="194"/>
      <c r="Y82" s="990">
        <v>1310</v>
      </c>
      <c r="Z82" s="990">
        <v>5.4935499999999999</v>
      </c>
      <c r="AA82" s="990">
        <v>1310</v>
      </c>
      <c r="AB82" s="990">
        <v>5.4935499999999999</v>
      </c>
      <c r="AC82" s="990"/>
      <c r="AD82" s="990"/>
      <c r="AE82" s="990">
        <v>1310</v>
      </c>
      <c r="AF82" s="990">
        <v>5.4935499999999999</v>
      </c>
      <c r="AG82" s="990">
        <v>1310</v>
      </c>
      <c r="AH82" s="990">
        <v>5.4935499999999999</v>
      </c>
      <c r="AI82" s="990"/>
      <c r="AJ82" s="990"/>
      <c r="AK82" s="990"/>
      <c r="AL82" s="990"/>
      <c r="AM82" s="990"/>
      <c r="AN82" s="990"/>
      <c r="AO82" s="990"/>
      <c r="AP82" s="990"/>
      <c r="AQ82" s="990"/>
      <c r="AR82" s="990"/>
      <c r="AS82" s="990"/>
      <c r="AT82" s="990"/>
      <c r="AU82" s="137"/>
      <c r="AV82" s="936"/>
      <c r="AW82" s="524"/>
      <c r="AX82" s="524"/>
      <c r="AZ82" s="148"/>
      <c r="BA82" s="148"/>
      <c r="BB82" s="77"/>
      <c r="BC82" s="455"/>
      <c r="BD82" s="456"/>
      <c r="BE82" s="455"/>
      <c r="BF82" s="456"/>
      <c r="BI82" s="459"/>
      <c r="BJ82" s="459"/>
      <c r="BK82" s="459"/>
      <c r="BL82" s="459"/>
      <c r="BM82" s="461"/>
      <c r="BN82" s="461"/>
    </row>
    <row r="83" spans="1:70" ht="21" customHeight="1" x14ac:dyDescent="0.25">
      <c r="A83" s="269" t="s">
        <v>906</v>
      </c>
      <c r="B83" s="1047" t="s">
        <v>495</v>
      </c>
      <c r="C83" s="222">
        <f>(G83*1000000)/F83</f>
        <v>6076.0526315789475</v>
      </c>
      <c r="D83" s="222"/>
      <c r="E83" s="221">
        <v>0</v>
      </c>
      <c r="F83" s="387">
        <f t="shared" si="16"/>
        <v>1140</v>
      </c>
      <c r="G83" s="928">
        <f>(4038400+2888300)/1000000</f>
        <v>6.9267000000000003</v>
      </c>
      <c r="H83" s="196">
        <f t="shared" si="19"/>
        <v>0</v>
      </c>
      <c r="I83" s="928">
        <f t="shared" si="20"/>
        <v>0</v>
      </c>
      <c r="J83" s="59"/>
      <c r="K83" s="59"/>
      <c r="L83" s="222"/>
      <c r="M83" s="812">
        <f t="shared" si="21"/>
        <v>0</v>
      </c>
      <c r="N83" s="196">
        <f t="shared" si="22"/>
        <v>688</v>
      </c>
      <c r="O83" s="196">
        <f t="shared" si="23"/>
        <v>4.1803242105263161</v>
      </c>
      <c r="P83" s="813">
        <f t="shared" si="24"/>
        <v>0</v>
      </c>
      <c r="Q83" s="196">
        <f t="shared" si="25"/>
        <v>0</v>
      </c>
      <c r="R83" s="59"/>
      <c r="S83" s="59"/>
      <c r="T83" s="59"/>
      <c r="U83" s="59"/>
      <c r="V83" s="196">
        <f t="shared" si="17"/>
        <v>452</v>
      </c>
      <c r="W83" s="812">
        <f t="shared" si="18"/>
        <v>2.7463757894736842</v>
      </c>
      <c r="X83" s="194"/>
      <c r="Y83" s="990">
        <v>1140</v>
      </c>
      <c r="Z83" s="990">
        <v>6.9267000000000003</v>
      </c>
      <c r="AA83" s="990">
        <v>1140</v>
      </c>
      <c r="AB83" s="990">
        <v>6.9267000000000003</v>
      </c>
      <c r="AC83" s="990"/>
      <c r="AD83" s="990"/>
      <c r="AE83" s="990">
        <v>688</v>
      </c>
      <c r="AF83" s="990">
        <v>4.1803242105263161</v>
      </c>
      <c r="AG83" s="990">
        <v>688</v>
      </c>
      <c r="AH83" s="990">
        <v>4.1803242105263161</v>
      </c>
      <c r="AI83" s="990"/>
      <c r="AJ83" s="990"/>
      <c r="AK83" s="990"/>
      <c r="AL83" s="990"/>
      <c r="AM83" s="990"/>
      <c r="AN83" s="990"/>
      <c r="AO83" s="990"/>
      <c r="AP83" s="990"/>
      <c r="AQ83" s="990"/>
      <c r="AR83" s="990"/>
      <c r="AS83" s="990"/>
      <c r="AT83" s="990"/>
      <c r="AU83" s="137"/>
      <c r="AV83" s="936"/>
      <c r="AW83" s="524"/>
      <c r="AX83" s="524"/>
      <c r="AZ83" s="148"/>
      <c r="BA83" s="148"/>
      <c r="BB83" s="77"/>
      <c r="BC83" s="455"/>
      <c r="BD83" s="456"/>
      <c r="BE83" s="455"/>
      <c r="BF83" s="456"/>
      <c r="BI83" s="459"/>
      <c r="BJ83" s="459"/>
      <c r="BK83" s="459"/>
      <c r="BL83" s="459"/>
      <c r="BM83" s="461"/>
      <c r="BN83" s="461"/>
    </row>
    <row r="84" spans="1:70" ht="21" customHeight="1" x14ac:dyDescent="0.25">
      <c r="A84" s="269" t="s">
        <v>910</v>
      </c>
      <c r="B84" s="891" t="s">
        <v>480</v>
      </c>
      <c r="C84" s="222"/>
      <c r="D84" s="222"/>
      <c r="E84" s="221">
        <v>0</v>
      </c>
      <c r="F84" s="387">
        <f t="shared" si="16"/>
        <v>2</v>
      </c>
      <c r="G84" s="928"/>
      <c r="H84" s="196">
        <f t="shared" si="19"/>
        <v>0</v>
      </c>
      <c r="I84" s="928">
        <f t="shared" si="20"/>
        <v>0</v>
      </c>
      <c r="J84" s="59"/>
      <c r="K84" s="59"/>
      <c r="L84" s="222"/>
      <c r="M84" s="812">
        <f>(L84*C84)/1000000</f>
        <v>0</v>
      </c>
      <c r="N84" s="196">
        <f t="shared" si="22"/>
        <v>0</v>
      </c>
      <c r="O84" s="196">
        <f t="shared" si="23"/>
        <v>0</v>
      </c>
      <c r="P84" s="813">
        <f t="shared" si="24"/>
        <v>0</v>
      </c>
      <c r="Q84" s="196">
        <f t="shared" si="25"/>
        <v>0</v>
      </c>
      <c r="R84" s="59"/>
      <c r="S84" s="59"/>
      <c r="T84" s="59"/>
      <c r="U84" s="59"/>
      <c r="V84" s="196">
        <f t="shared" ref="V84:W86" si="27">F84+J84-N84-R84-T84</f>
        <v>2</v>
      </c>
      <c r="W84" s="812">
        <f t="shared" si="27"/>
        <v>0</v>
      </c>
      <c r="X84" s="194"/>
      <c r="Y84" s="990">
        <v>2</v>
      </c>
      <c r="Z84" s="990"/>
      <c r="AA84" s="990">
        <v>2</v>
      </c>
      <c r="AB84" s="990">
        <v>0</v>
      </c>
      <c r="AC84" s="990"/>
      <c r="AD84" s="990"/>
      <c r="AE84" s="990">
        <v>0</v>
      </c>
      <c r="AF84" s="990">
        <v>0</v>
      </c>
      <c r="AG84" s="990">
        <v>0</v>
      </c>
      <c r="AH84" s="990">
        <v>0</v>
      </c>
      <c r="AI84" s="990"/>
      <c r="AJ84" s="990"/>
      <c r="AK84" s="990"/>
      <c r="AL84" s="990"/>
      <c r="AM84" s="990"/>
      <c r="AN84" s="990"/>
      <c r="AO84" s="990"/>
      <c r="AP84" s="990"/>
      <c r="AQ84" s="990"/>
      <c r="AR84" s="990"/>
      <c r="AS84" s="990"/>
      <c r="AT84" s="990"/>
      <c r="AU84" s="137"/>
      <c r="AV84" s="936"/>
      <c r="AW84" s="524"/>
      <c r="AX84" s="524"/>
      <c r="AZ84" s="148"/>
      <c r="BA84" s="148"/>
      <c r="BB84" s="77"/>
      <c r="BC84" s="455"/>
      <c r="BD84" s="456"/>
      <c r="BE84" s="455"/>
      <c r="BF84" s="456"/>
      <c r="BI84" s="459"/>
      <c r="BJ84" s="459"/>
      <c r="BK84" s="459"/>
      <c r="BL84" s="459"/>
      <c r="BM84" s="461"/>
      <c r="BN84" s="461"/>
    </row>
    <row r="85" spans="1:70" ht="21" customHeight="1" x14ac:dyDescent="0.25">
      <c r="A85" s="269" t="s">
        <v>924</v>
      </c>
      <c r="B85" s="1081" t="s">
        <v>431</v>
      </c>
      <c r="C85" s="1088">
        <v>250</v>
      </c>
      <c r="D85" s="222"/>
      <c r="E85" s="221">
        <f>(D85*C85)/1000000</f>
        <v>0</v>
      </c>
      <c r="F85" s="387">
        <f t="shared" si="16"/>
        <v>9993</v>
      </c>
      <c r="G85" s="928">
        <f t="shared" si="26"/>
        <v>2.4982500000000001</v>
      </c>
      <c r="H85" s="196">
        <f t="shared" si="19"/>
        <v>0</v>
      </c>
      <c r="I85" s="928">
        <f t="shared" si="20"/>
        <v>0</v>
      </c>
      <c r="J85" s="59"/>
      <c r="K85" s="59"/>
      <c r="L85" s="222"/>
      <c r="M85" s="812">
        <f>(L85*C85)/1000000</f>
        <v>0</v>
      </c>
      <c r="N85" s="196">
        <f t="shared" si="22"/>
        <v>9993</v>
      </c>
      <c r="O85" s="196">
        <f t="shared" si="23"/>
        <v>2.4982500000000001</v>
      </c>
      <c r="P85" s="813">
        <f t="shared" si="24"/>
        <v>0</v>
      </c>
      <c r="Q85" s="196">
        <f t="shared" si="25"/>
        <v>0</v>
      </c>
      <c r="R85" s="59"/>
      <c r="S85" s="59"/>
      <c r="T85" s="59"/>
      <c r="U85" s="59"/>
      <c r="V85" s="196">
        <f t="shared" si="27"/>
        <v>0</v>
      </c>
      <c r="W85" s="812">
        <f t="shared" si="27"/>
        <v>0</v>
      </c>
      <c r="X85" s="194"/>
      <c r="Y85" s="990">
        <v>9993</v>
      </c>
      <c r="Z85" s="990">
        <v>2.4982500000000001</v>
      </c>
      <c r="AA85" s="990">
        <v>9993</v>
      </c>
      <c r="AB85" s="990">
        <v>2.4982500000000001</v>
      </c>
      <c r="AC85" s="990"/>
      <c r="AD85" s="990"/>
      <c r="AE85" s="990">
        <v>9993</v>
      </c>
      <c r="AF85" s="990">
        <v>2.4982500000000001</v>
      </c>
      <c r="AG85" s="990">
        <v>9993</v>
      </c>
      <c r="AH85" s="990">
        <v>2.4982500000000001</v>
      </c>
      <c r="AI85" s="990"/>
      <c r="AJ85" s="990"/>
      <c r="AK85" s="990"/>
      <c r="AL85" s="990"/>
      <c r="AM85" s="990"/>
      <c r="AN85" s="990"/>
      <c r="AO85" s="990"/>
      <c r="AP85" s="990"/>
      <c r="AQ85" s="990"/>
      <c r="AR85" s="990"/>
      <c r="AS85" s="990"/>
      <c r="AT85" s="990"/>
      <c r="AU85" s="137"/>
      <c r="AV85" s="936"/>
      <c r="AW85" s="524"/>
      <c r="AX85" s="524"/>
      <c r="AZ85" s="148"/>
      <c r="BA85" s="148"/>
      <c r="BB85" s="77"/>
      <c r="BC85" s="455"/>
      <c r="BD85" s="456"/>
      <c r="BE85" s="455"/>
      <c r="BF85" s="456"/>
      <c r="BI85" s="459"/>
      <c r="BJ85" s="459"/>
      <c r="BK85" s="459"/>
      <c r="BL85" s="459"/>
      <c r="BM85" s="461"/>
      <c r="BN85" s="461"/>
    </row>
    <row r="86" spans="1:70" ht="21" customHeight="1" x14ac:dyDescent="0.25">
      <c r="A86" s="269"/>
      <c r="B86" s="1081"/>
      <c r="C86" s="1088"/>
      <c r="D86" s="222"/>
      <c r="E86" s="221"/>
      <c r="F86" s="387">
        <f t="shared" si="16"/>
        <v>0</v>
      </c>
      <c r="G86" s="928">
        <f t="shared" si="26"/>
        <v>0</v>
      </c>
      <c r="H86" s="196">
        <f t="shared" si="19"/>
        <v>0</v>
      </c>
      <c r="I86" s="928">
        <f t="shared" si="20"/>
        <v>0</v>
      </c>
      <c r="J86" s="59"/>
      <c r="K86" s="59"/>
      <c r="L86" s="222"/>
      <c r="M86" s="812">
        <f>(L86*C86)/1000000</f>
        <v>0</v>
      </c>
      <c r="N86" s="196">
        <f t="shared" si="22"/>
        <v>0</v>
      </c>
      <c r="O86" s="196">
        <f t="shared" si="23"/>
        <v>0</v>
      </c>
      <c r="P86" s="813">
        <f t="shared" si="24"/>
        <v>0</v>
      </c>
      <c r="Q86" s="196">
        <f t="shared" si="25"/>
        <v>0</v>
      </c>
      <c r="R86" s="59"/>
      <c r="S86" s="59"/>
      <c r="T86" s="59"/>
      <c r="U86" s="59"/>
      <c r="V86" s="196">
        <f t="shared" si="27"/>
        <v>0</v>
      </c>
      <c r="W86" s="812">
        <f t="shared" si="27"/>
        <v>0</v>
      </c>
      <c r="X86" s="194"/>
      <c r="Y86" s="990">
        <v>0</v>
      </c>
      <c r="Z86" s="990">
        <v>0</v>
      </c>
      <c r="AA86" s="990">
        <v>0</v>
      </c>
      <c r="AB86" s="990">
        <v>0</v>
      </c>
      <c r="AC86" s="990"/>
      <c r="AD86" s="990"/>
      <c r="AE86" s="990">
        <v>0</v>
      </c>
      <c r="AF86" s="990">
        <v>0</v>
      </c>
      <c r="AG86" s="990">
        <v>0</v>
      </c>
      <c r="AH86" s="990">
        <v>0</v>
      </c>
      <c r="AI86" s="990"/>
      <c r="AJ86" s="990"/>
      <c r="AK86" s="990"/>
      <c r="AL86" s="990"/>
      <c r="AM86" s="990"/>
      <c r="AN86" s="990"/>
      <c r="AO86" s="990"/>
      <c r="AP86" s="990"/>
      <c r="AQ86" s="990"/>
      <c r="AR86" s="990"/>
      <c r="AS86" s="990"/>
      <c r="AT86" s="990"/>
      <c r="AU86" s="137"/>
      <c r="AV86" s="936"/>
      <c r="AW86" s="524"/>
      <c r="AX86" s="524"/>
      <c r="AZ86" s="148"/>
      <c r="BA86" s="148"/>
      <c r="BB86" s="77"/>
      <c r="BC86" s="455"/>
      <c r="BD86" s="456"/>
      <c r="BE86" s="455"/>
      <c r="BF86" s="456"/>
      <c r="BI86" s="459"/>
      <c r="BJ86" s="459"/>
      <c r="BK86" s="459"/>
      <c r="BL86" s="459"/>
      <c r="BM86" s="461"/>
      <c r="BN86" s="461"/>
    </row>
    <row r="87" spans="1:70" ht="21" customHeight="1" x14ac:dyDescent="0.25">
      <c r="A87" s="269"/>
      <c r="B87" s="1081"/>
      <c r="C87" s="1088"/>
      <c r="D87" s="222"/>
      <c r="E87" s="221"/>
      <c r="F87" s="387"/>
      <c r="G87" s="928"/>
      <c r="H87" s="196"/>
      <c r="I87" s="928"/>
      <c r="J87" s="59"/>
      <c r="K87" s="59"/>
      <c r="L87" s="222"/>
      <c r="M87" s="59"/>
      <c r="N87" s="196"/>
      <c r="O87" s="196"/>
      <c r="P87" s="813">
        <f t="shared" si="24"/>
        <v>0</v>
      </c>
      <c r="Q87" s="196">
        <f t="shared" si="25"/>
        <v>0</v>
      </c>
      <c r="R87" s="59"/>
      <c r="S87" s="59"/>
      <c r="T87" s="59"/>
      <c r="U87" s="59"/>
      <c r="V87" s="196"/>
      <c r="W87" s="812"/>
      <c r="X87" s="194"/>
      <c r="Y87" s="990"/>
      <c r="Z87" s="990"/>
      <c r="AA87" s="990"/>
      <c r="AB87" s="990"/>
      <c r="AC87" s="990"/>
      <c r="AD87" s="990"/>
      <c r="AE87" s="990"/>
      <c r="AF87" s="990"/>
      <c r="AG87" s="990"/>
      <c r="AH87" s="990"/>
      <c r="AI87" s="990"/>
      <c r="AJ87" s="990"/>
      <c r="AK87" s="990"/>
      <c r="AL87" s="990"/>
      <c r="AM87" s="990"/>
      <c r="AN87" s="990"/>
      <c r="AO87" s="990"/>
      <c r="AP87" s="990"/>
      <c r="AQ87" s="990"/>
      <c r="AR87" s="990"/>
      <c r="AS87" s="990"/>
      <c r="AT87" s="990"/>
      <c r="AU87" s="137"/>
      <c r="AV87" s="936"/>
      <c r="AW87" s="524"/>
      <c r="AX87" s="524"/>
      <c r="AZ87" s="148"/>
      <c r="BA87" s="148"/>
      <c r="BB87" s="77"/>
      <c r="BC87" s="455"/>
      <c r="BD87" s="456"/>
      <c r="BE87" s="455"/>
      <c r="BF87" s="456"/>
      <c r="BI87" s="459"/>
      <c r="BJ87" s="459"/>
      <c r="BK87" s="459"/>
      <c r="BL87" s="459"/>
      <c r="BM87" s="461"/>
      <c r="BN87" s="461"/>
    </row>
    <row r="88" spans="1:70" ht="21" customHeight="1" x14ac:dyDescent="0.25">
      <c r="A88" s="269"/>
      <c r="B88" s="1081"/>
      <c r="C88" s="1088"/>
      <c r="D88" s="222"/>
      <c r="E88" s="221"/>
      <c r="F88" s="387"/>
      <c r="G88" s="928"/>
      <c r="H88" s="196"/>
      <c r="I88" s="928"/>
      <c r="J88" s="59"/>
      <c r="K88" s="59"/>
      <c r="L88" s="222"/>
      <c r="M88" s="59"/>
      <c r="N88" s="196"/>
      <c r="O88" s="196"/>
      <c r="P88" s="813">
        <f t="shared" si="24"/>
        <v>0</v>
      </c>
      <c r="Q88" s="196">
        <f t="shared" si="25"/>
        <v>0</v>
      </c>
      <c r="R88" s="59"/>
      <c r="S88" s="59"/>
      <c r="T88" s="59"/>
      <c r="U88" s="59"/>
      <c r="V88" s="196"/>
      <c r="W88" s="812"/>
      <c r="X88" s="194"/>
      <c r="Y88" s="990"/>
      <c r="Z88" s="990"/>
      <c r="AA88" s="990"/>
      <c r="AB88" s="990"/>
      <c r="AC88" s="990"/>
      <c r="AD88" s="990"/>
      <c r="AE88" s="990"/>
      <c r="AF88" s="990"/>
      <c r="AG88" s="990"/>
      <c r="AH88" s="990"/>
      <c r="AI88" s="990"/>
      <c r="AJ88" s="990"/>
      <c r="AK88" s="990"/>
      <c r="AL88" s="990"/>
      <c r="AM88" s="990"/>
      <c r="AN88" s="990"/>
      <c r="AO88" s="990"/>
      <c r="AP88" s="990"/>
      <c r="AQ88" s="990"/>
      <c r="AR88" s="990"/>
      <c r="AS88" s="990"/>
      <c r="AT88" s="990"/>
      <c r="AU88" s="137"/>
      <c r="AV88" s="936"/>
      <c r="AW88" s="524"/>
      <c r="AX88" s="524"/>
      <c r="AZ88" s="148"/>
      <c r="BA88" s="148"/>
      <c r="BB88" s="77"/>
      <c r="BC88" s="455"/>
      <c r="BD88" s="456"/>
      <c r="BE88" s="455"/>
      <c r="BF88" s="456"/>
      <c r="BI88" s="459"/>
      <c r="BJ88" s="459"/>
      <c r="BK88" s="459"/>
      <c r="BL88" s="459"/>
      <c r="BM88" s="461"/>
      <c r="BN88" s="461"/>
    </row>
    <row r="89" spans="1:70" ht="21" customHeight="1" x14ac:dyDescent="0.25">
      <c r="A89" s="269"/>
      <c r="B89" s="1081"/>
      <c r="C89" s="1088"/>
      <c r="D89" s="222"/>
      <c r="E89" s="221"/>
      <c r="F89" s="387"/>
      <c r="G89" s="928"/>
      <c r="H89" s="196"/>
      <c r="I89" s="928"/>
      <c r="J89" s="59"/>
      <c r="K89" s="59"/>
      <c r="L89" s="222"/>
      <c r="M89" s="59"/>
      <c r="N89" s="196"/>
      <c r="O89" s="196"/>
      <c r="P89" s="813">
        <f t="shared" si="24"/>
        <v>0</v>
      </c>
      <c r="Q89" s="196"/>
      <c r="R89" s="59"/>
      <c r="S89" s="59"/>
      <c r="T89" s="59"/>
      <c r="U89" s="59"/>
      <c r="V89" s="196"/>
      <c r="W89" s="812"/>
      <c r="X89" s="194"/>
      <c r="Y89" s="990"/>
      <c r="Z89" s="990"/>
      <c r="AA89" s="990"/>
      <c r="AB89" s="990"/>
      <c r="AC89" s="990"/>
      <c r="AD89" s="990"/>
      <c r="AE89" s="990"/>
      <c r="AF89" s="990"/>
      <c r="AG89" s="990"/>
      <c r="AH89" s="990"/>
      <c r="AI89" s="990"/>
      <c r="AJ89" s="990"/>
      <c r="AK89" s="990"/>
      <c r="AL89" s="990"/>
      <c r="AM89" s="990"/>
      <c r="AN89" s="990"/>
      <c r="AO89" s="990"/>
      <c r="AP89" s="990"/>
      <c r="AQ89" s="990"/>
      <c r="AR89" s="990"/>
      <c r="AS89" s="990"/>
      <c r="AT89" s="990"/>
      <c r="AU89" s="137"/>
      <c r="AV89" s="936"/>
      <c r="AW89" s="524"/>
      <c r="AX89" s="524"/>
      <c r="AZ89" s="148"/>
      <c r="BA89" s="148"/>
      <c r="BB89" s="77"/>
      <c r="BC89" s="455"/>
      <c r="BD89" s="456"/>
      <c r="BE89" s="455"/>
      <c r="BF89" s="456"/>
      <c r="BI89" s="459"/>
      <c r="BJ89" s="459"/>
      <c r="BK89" s="459"/>
      <c r="BL89" s="459"/>
      <c r="BM89" s="461"/>
      <c r="BN89" s="461"/>
    </row>
    <row r="90" spans="1:70" ht="21" customHeight="1" x14ac:dyDescent="0.25">
      <c r="A90" s="269"/>
      <c r="B90" s="1081"/>
      <c r="C90" s="1088"/>
      <c r="D90" s="222"/>
      <c r="E90" s="221"/>
      <c r="F90" s="387"/>
      <c r="G90" s="928"/>
      <c r="H90" s="196"/>
      <c r="I90" s="928"/>
      <c r="J90" s="59"/>
      <c r="K90" s="59"/>
      <c r="L90" s="222"/>
      <c r="M90" s="59"/>
      <c r="N90" s="196"/>
      <c r="O90" s="196"/>
      <c r="P90" s="813"/>
      <c r="Q90" s="196"/>
      <c r="R90" s="59"/>
      <c r="S90" s="59"/>
      <c r="T90" s="59"/>
      <c r="U90" s="59"/>
      <c r="V90" s="196"/>
      <c r="W90" s="812"/>
      <c r="X90" s="194"/>
      <c r="Y90" s="990"/>
      <c r="Z90" s="990"/>
      <c r="AA90" s="990"/>
      <c r="AB90" s="990"/>
      <c r="AC90" s="990"/>
      <c r="AD90" s="990"/>
      <c r="AE90" s="990"/>
      <c r="AF90" s="990"/>
      <c r="AG90" s="990"/>
      <c r="AH90" s="990"/>
      <c r="AI90" s="990"/>
      <c r="AJ90" s="990"/>
      <c r="AK90" s="990"/>
      <c r="AL90" s="990"/>
      <c r="AM90" s="990"/>
      <c r="AN90" s="990"/>
      <c r="AO90" s="990"/>
      <c r="AP90" s="990"/>
      <c r="AQ90" s="990"/>
      <c r="AR90" s="990"/>
      <c r="AS90" s="990"/>
      <c r="AT90" s="990"/>
      <c r="AU90" s="137"/>
      <c r="AV90" s="936"/>
      <c r="AW90" s="524"/>
      <c r="AX90" s="524"/>
      <c r="AZ90" s="148"/>
      <c r="BA90" s="148"/>
      <c r="BB90" s="77"/>
      <c r="BC90" s="455"/>
      <c r="BD90" s="456"/>
      <c r="BE90" s="455"/>
      <c r="BF90" s="456"/>
      <c r="BI90" s="459"/>
      <c r="BJ90" s="459"/>
      <c r="BK90" s="459"/>
      <c r="BL90" s="459"/>
      <c r="BM90" s="461"/>
      <c r="BN90" s="461"/>
    </row>
    <row r="91" spans="1:70" ht="21" customHeight="1" x14ac:dyDescent="0.25">
      <c r="A91" s="269"/>
      <c r="B91" s="1081"/>
      <c r="C91" s="1088"/>
      <c r="D91" s="222"/>
      <c r="E91" s="221"/>
      <c r="F91" s="387"/>
      <c r="G91" s="928"/>
      <c r="H91" s="196"/>
      <c r="I91" s="928"/>
      <c r="J91" s="59"/>
      <c r="K91" s="59"/>
      <c r="L91" s="222"/>
      <c r="M91" s="59"/>
      <c r="N91" s="196"/>
      <c r="O91" s="196"/>
      <c r="P91" s="813"/>
      <c r="Q91" s="196"/>
      <c r="R91" s="59"/>
      <c r="S91" s="59"/>
      <c r="T91" s="59"/>
      <c r="U91" s="59"/>
      <c r="V91" s="196"/>
      <c r="W91" s="812"/>
      <c r="X91" s="194"/>
      <c r="Y91" s="990"/>
      <c r="Z91" s="990"/>
      <c r="AA91" s="990"/>
      <c r="AB91" s="990"/>
      <c r="AC91" s="990"/>
      <c r="AD91" s="990"/>
      <c r="AE91" s="990"/>
      <c r="AF91" s="990"/>
      <c r="AG91" s="990"/>
      <c r="AH91" s="990"/>
      <c r="AI91" s="990"/>
      <c r="AJ91" s="990"/>
      <c r="AK91" s="990"/>
      <c r="AL91" s="990"/>
      <c r="AM91" s="990"/>
      <c r="AN91" s="990"/>
      <c r="AO91" s="990"/>
      <c r="AP91" s="990"/>
      <c r="AQ91" s="990"/>
      <c r="AR91" s="990"/>
      <c r="AS91" s="990"/>
      <c r="AT91" s="990"/>
      <c r="AU91" s="137"/>
      <c r="AV91" s="936"/>
      <c r="AW91" s="524"/>
      <c r="AX91" s="524"/>
      <c r="AZ91" s="148"/>
      <c r="BA91" s="148"/>
      <c r="BB91" s="77"/>
      <c r="BC91" s="455"/>
      <c r="BD91" s="456"/>
      <c r="BE91" s="455"/>
      <c r="BF91" s="456"/>
      <c r="BI91" s="459"/>
      <c r="BJ91" s="459"/>
      <c r="BK91" s="459"/>
      <c r="BL91" s="459"/>
      <c r="BM91" s="461"/>
      <c r="BN91" s="461"/>
    </row>
    <row r="92" spans="1:70" ht="21" customHeight="1" x14ac:dyDescent="0.25">
      <c r="A92" s="269"/>
      <c r="B92" s="1081"/>
      <c r="C92" s="1088"/>
      <c r="D92" s="222"/>
      <c r="E92" s="221"/>
      <c r="F92" s="387"/>
      <c r="G92" s="928"/>
      <c r="H92" s="196"/>
      <c r="I92" s="928"/>
      <c r="J92" s="59"/>
      <c r="K92" s="59"/>
      <c r="L92" s="222"/>
      <c r="M92" s="59"/>
      <c r="N92" s="196"/>
      <c r="O92" s="196"/>
      <c r="P92" s="813"/>
      <c r="Q92" s="196"/>
      <c r="R92" s="59"/>
      <c r="S92" s="59"/>
      <c r="T92" s="59"/>
      <c r="U92" s="59"/>
      <c r="V92" s="196"/>
      <c r="W92" s="812"/>
      <c r="X92" s="194"/>
      <c r="Y92" s="990"/>
      <c r="Z92" s="990"/>
      <c r="AA92" s="990"/>
      <c r="AB92" s="990"/>
      <c r="AC92" s="990"/>
      <c r="AD92" s="990"/>
      <c r="AE92" s="990"/>
      <c r="AF92" s="990"/>
      <c r="AG92" s="990"/>
      <c r="AH92" s="990"/>
      <c r="AI92" s="990"/>
      <c r="AJ92" s="990"/>
      <c r="AK92" s="990"/>
      <c r="AL92" s="990"/>
      <c r="AM92" s="990"/>
      <c r="AN92" s="990"/>
      <c r="AO92" s="990"/>
      <c r="AP92" s="990"/>
      <c r="AQ92" s="990"/>
      <c r="AR92" s="990"/>
      <c r="AS92" s="990"/>
      <c r="AT92" s="990"/>
      <c r="AU92" s="137"/>
      <c r="AV92" s="936"/>
      <c r="AW92" s="524"/>
      <c r="AX92" s="524"/>
      <c r="AZ92" s="148"/>
      <c r="BA92" s="148"/>
      <c r="BB92" s="77"/>
      <c r="BC92" s="455"/>
      <c r="BD92" s="456"/>
      <c r="BE92" s="455"/>
      <c r="BF92" s="456"/>
      <c r="BI92" s="459"/>
      <c r="BJ92" s="459"/>
      <c r="BK92" s="459"/>
      <c r="BL92" s="459"/>
      <c r="BM92" s="461"/>
      <c r="BN92" s="461"/>
    </row>
    <row r="93" spans="1:70" ht="21" customHeight="1" x14ac:dyDescent="0.25">
      <c r="A93" s="269"/>
      <c r="B93" s="891"/>
      <c r="C93" s="222"/>
      <c r="D93" s="222"/>
      <c r="E93" s="221"/>
      <c r="F93" s="451"/>
      <c r="G93" s="374"/>
      <c r="H93" s="222"/>
      <c r="I93" s="59"/>
      <c r="J93" s="59"/>
      <c r="K93" s="59"/>
      <c r="L93" s="222"/>
      <c r="M93" s="59"/>
      <c r="N93" s="451"/>
      <c r="O93" s="246"/>
      <c r="P93" s="246"/>
      <c r="Q93" s="59"/>
      <c r="R93" s="59"/>
      <c r="S93" s="59"/>
      <c r="T93" s="59"/>
      <c r="U93" s="59"/>
      <c r="V93" s="426"/>
      <c r="W93" s="425"/>
      <c r="X93" s="194"/>
      <c r="Y93" s="990"/>
      <c r="Z93" s="990"/>
      <c r="AA93" s="990"/>
      <c r="AB93" s="990"/>
      <c r="AC93" s="990"/>
      <c r="AD93" s="990"/>
      <c r="AE93" s="990"/>
      <c r="AF93" s="990"/>
      <c r="AG93" s="990"/>
      <c r="AH93" s="990"/>
      <c r="AI93" s="990"/>
      <c r="AJ93" s="990"/>
      <c r="AK93" s="990"/>
      <c r="AL93" s="990"/>
      <c r="AM93" s="990"/>
      <c r="AN93" s="990"/>
      <c r="AO93" s="990"/>
      <c r="AP93" s="990"/>
      <c r="AQ93" s="990"/>
      <c r="AR93" s="990"/>
      <c r="AS93" s="990"/>
      <c r="AT93" s="990"/>
      <c r="AU93" s="137"/>
      <c r="AV93" s="936"/>
      <c r="AW93" s="524"/>
      <c r="AX93" s="524"/>
      <c r="AZ93" s="148"/>
      <c r="BA93" s="148"/>
      <c r="BB93" s="77"/>
      <c r="BC93" s="455"/>
      <c r="BD93" s="456"/>
      <c r="BE93" s="455"/>
      <c r="BF93" s="456"/>
      <c r="BI93" s="459"/>
      <c r="BJ93" s="459"/>
      <c r="BK93" s="459"/>
      <c r="BL93" s="459"/>
      <c r="BM93" s="461"/>
      <c r="BN93" s="461"/>
    </row>
    <row r="94" spans="1:70" ht="26.25" customHeight="1" x14ac:dyDescent="0.25">
      <c r="A94" s="359"/>
      <c r="B94" s="314"/>
      <c r="C94" s="404"/>
      <c r="D94" s="404">
        <f t="shared" ref="D94:N94" si="28">SUM(D10:D93)</f>
        <v>0</v>
      </c>
      <c r="E94" s="286">
        <f t="shared" si="28"/>
        <v>0</v>
      </c>
      <c r="F94" s="404">
        <f t="shared" si="28"/>
        <v>18061571.842</v>
      </c>
      <c r="G94" s="286">
        <f t="shared" si="28"/>
        <v>1744.0533257169145</v>
      </c>
      <c r="H94" s="404">
        <f t="shared" si="28"/>
        <v>0</v>
      </c>
      <c r="I94" s="286">
        <f t="shared" si="28"/>
        <v>0</v>
      </c>
      <c r="J94" s="404">
        <f t="shared" si="28"/>
        <v>794.62099999999998</v>
      </c>
      <c r="K94" s="286">
        <f t="shared" si="28"/>
        <v>45.525597704551203</v>
      </c>
      <c r="L94" s="404">
        <f t="shared" si="28"/>
        <v>15.611000000000011</v>
      </c>
      <c r="M94" s="286">
        <f t="shared" si="28"/>
        <v>1.1866323982500009</v>
      </c>
      <c r="N94" s="404">
        <f t="shared" si="28"/>
        <v>18010865.667613838</v>
      </c>
      <c r="O94" s="286">
        <f>SUM(O10:O93)+0.096</f>
        <v>1722.6836245773763</v>
      </c>
      <c r="P94" s="286"/>
      <c r="Q94" s="286">
        <f>SUM(Q10:Q93)+0.096</f>
        <v>1.282632398250001</v>
      </c>
      <c r="R94" s="404">
        <f>SUM(R10:R93)</f>
        <v>2849.2459999999996</v>
      </c>
      <c r="S94" s="286">
        <f>SUM(S10:S93)</f>
        <v>42.585706942111138</v>
      </c>
      <c r="T94" s="286"/>
      <c r="U94" s="286"/>
      <c r="V94" s="404">
        <f>SUM(V10:V93)</f>
        <v>48646.941386162754</v>
      </c>
      <c r="W94" s="286">
        <f>SUM(W10:W93)</f>
        <v>23.232283133019759</v>
      </c>
      <c r="X94" s="405"/>
      <c r="Y94" s="286"/>
      <c r="Z94" s="286">
        <f>SUM(Z10:Z93)+0.096</f>
        <v>1744.1493257169145</v>
      </c>
      <c r="AA94" s="286"/>
      <c r="AB94" s="286">
        <f>SUM(AB10:AB93)+0.096</f>
        <v>503.69648359193849</v>
      </c>
      <c r="AC94" s="286"/>
      <c r="AD94" s="286"/>
      <c r="AE94" s="286"/>
      <c r="AF94" s="286">
        <f>SUM(AF10:AF93)+0.096</f>
        <v>1721.4969921791269</v>
      </c>
      <c r="AG94" s="286"/>
      <c r="AH94" s="286">
        <f>SUM(AH10:AH93)+0.096</f>
        <v>676.7201088869258</v>
      </c>
      <c r="AI94" s="1009"/>
      <c r="AJ94" s="286">
        <f>SUM(AJ10:AJ93)+0.096</f>
        <v>46.458499999999994</v>
      </c>
      <c r="AK94" s="1009"/>
      <c r="AL94" s="1009"/>
      <c r="AM94" s="1009"/>
      <c r="AN94" s="1009"/>
      <c r="AO94" s="1009"/>
      <c r="AP94" s="1009"/>
      <c r="AQ94" s="1009"/>
      <c r="AR94" s="1009"/>
      <c r="AS94" s="1009"/>
      <c r="AT94" s="1009"/>
      <c r="AU94" s="448"/>
      <c r="AV94" s="939"/>
      <c r="AW94" s="524">
        <f t="shared" ref="AW94:AW101" si="29">+O94-M94</f>
        <v>1721.4969921791264</v>
      </c>
      <c r="AX94" s="524">
        <f t="shared" ref="AX94:AX101" si="30">+AW94-BJ94</f>
        <v>1718.4550348791265</v>
      </c>
      <c r="AY94" s="457"/>
      <c r="AZ94" s="507"/>
      <c r="BA94" s="507"/>
      <c r="BB94" s="508"/>
      <c r="BC94" s="457">
        <v>38455</v>
      </c>
      <c r="BD94" s="509">
        <v>3.1149999999999998</v>
      </c>
      <c r="BE94" s="457">
        <v>34255</v>
      </c>
      <c r="BF94" s="509">
        <v>2.8540799999999997</v>
      </c>
      <c r="BG94" s="457">
        <v>7500</v>
      </c>
      <c r="BH94" s="457"/>
      <c r="BI94" s="403">
        <v>37424.39</v>
      </c>
      <c r="BJ94" s="286">
        <v>3.0419573</v>
      </c>
      <c r="BK94" s="403">
        <v>33887.49</v>
      </c>
      <c r="BL94" s="286">
        <v>2.8143577850000003</v>
      </c>
      <c r="BM94" s="403">
        <f>SUM(BM37:BM79)</f>
        <v>2713.1000000000004</v>
      </c>
      <c r="BN94" s="286">
        <f>SUM(BN37:BN79)</f>
        <v>0.16523798499999998</v>
      </c>
    </row>
    <row r="95" spans="1:70" ht="15.75" customHeight="1" x14ac:dyDescent="0.25">
      <c r="A95" s="506"/>
      <c r="B95" s="55"/>
      <c r="C95" s="222"/>
      <c r="D95" s="222"/>
      <c r="E95" s="221"/>
      <c r="F95" s="451"/>
      <c r="G95" s="374"/>
      <c r="H95" s="222"/>
      <c r="I95" s="59"/>
      <c r="J95" s="59"/>
      <c r="K95" s="59"/>
      <c r="L95" s="222"/>
      <c r="M95" s="59"/>
      <c r="N95" s="505"/>
      <c r="O95" s="453"/>
      <c r="P95" s="453"/>
      <c r="Q95" s="59"/>
      <c r="R95" s="59"/>
      <c r="S95" s="59"/>
      <c r="T95" s="59"/>
      <c r="U95" s="59"/>
      <c r="V95" s="426"/>
      <c r="W95" s="425"/>
      <c r="X95" s="194"/>
      <c r="Y95" s="990"/>
      <c r="Z95" s="990"/>
      <c r="AA95" s="990"/>
      <c r="AB95" s="990"/>
      <c r="AC95" s="990"/>
      <c r="AD95" s="990"/>
      <c r="AE95" s="990"/>
      <c r="AF95" s="990"/>
      <c r="AG95" s="990"/>
      <c r="AH95" s="990"/>
      <c r="AI95" s="990"/>
      <c r="AJ95" s="990"/>
      <c r="AK95" s="990"/>
      <c r="AL95" s="990"/>
      <c r="AM95" s="990"/>
      <c r="AN95" s="990"/>
      <c r="AO95" s="990"/>
      <c r="AP95" s="990"/>
      <c r="AQ95" s="990"/>
      <c r="AR95" s="990"/>
      <c r="AS95" s="990"/>
      <c r="AT95" s="990"/>
      <c r="AU95" s="137"/>
      <c r="AV95" s="936"/>
      <c r="AW95" s="524">
        <f t="shared" si="29"/>
        <v>0</v>
      </c>
      <c r="AX95" s="524">
        <f t="shared" si="30"/>
        <v>0</v>
      </c>
      <c r="AZ95" s="148"/>
      <c r="BA95" s="148"/>
      <c r="BB95" s="77"/>
      <c r="BC95" s="455"/>
      <c r="BD95" s="456"/>
      <c r="BE95" s="455"/>
      <c r="BF95" s="456"/>
      <c r="BI95" s="459"/>
      <c r="BJ95" s="459"/>
      <c r="BK95" s="459"/>
      <c r="BL95" s="459"/>
      <c r="BM95" s="461"/>
      <c r="BN95" s="461"/>
    </row>
    <row r="96" spans="1:70" ht="24.6" customHeight="1" x14ac:dyDescent="0.25">
      <c r="A96" s="69"/>
      <c r="B96" s="55"/>
      <c r="C96" s="229"/>
      <c r="D96" s="222"/>
      <c r="E96" s="221"/>
      <c r="F96" s="451"/>
      <c r="G96" s="374"/>
      <c r="H96" s="222"/>
      <c r="I96" s="59"/>
      <c r="J96" s="59"/>
      <c r="K96" s="59"/>
      <c r="L96" s="222"/>
      <c r="M96" s="221"/>
      <c r="N96" s="451"/>
      <c r="O96" s="246"/>
      <c r="P96" s="246"/>
      <c r="Q96" s="59"/>
      <c r="R96" s="59"/>
      <c r="S96" s="59"/>
      <c r="T96" s="59"/>
      <c r="U96" s="59"/>
      <c r="V96" s="222"/>
      <c r="W96" s="59"/>
      <c r="X96" s="194"/>
      <c r="Y96" s="990">
        <v>17922986.492000002</v>
      </c>
      <c r="Z96" s="990">
        <v>1682.3477732330005</v>
      </c>
      <c r="AA96" s="990">
        <v>2143488.0219999999</v>
      </c>
      <c r="AB96" s="990">
        <v>441.77393999999981</v>
      </c>
      <c r="AC96" s="990"/>
      <c r="AD96" s="990"/>
      <c r="AE96" s="990">
        <v>17676785.965999998</v>
      </c>
      <c r="AF96" s="990">
        <v>1621.2098039762011</v>
      </c>
      <c r="AG96" s="990"/>
      <c r="AH96" s="990">
        <v>576.43292068400012</v>
      </c>
      <c r="AI96" s="990"/>
      <c r="AJ96" s="990"/>
      <c r="AK96" s="990"/>
      <c r="AL96" s="990"/>
      <c r="AM96" s="990"/>
      <c r="AN96" s="990"/>
      <c r="AO96" s="990"/>
      <c r="AP96" s="990"/>
      <c r="AQ96" s="990"/>
      <c r="AR96" s="990"/>
      <c r="AS96" s="990"/>
      <c r="AT96" s="990"/>
      <c r="AU96" s="137"/>
      <c r="AV96" s="936"/>
      <c r="AW96" s="524">
        <f t="shared" si="29"/>
        <v>0</v>
      </c>
      <c r="AX96" s="524">
        <f t="shared" si="30"/>
        <v>-1.72976</v>
      </c>
      <c r="AZ96" s="148"/>
      <c r="BA96" s="148">
        <v>0</v>
      </c>
      <c r="BB96" s="77">
        <v>0</v>
      </c>
      <c r="BC96" s="67">
        <v>8000</v>
      </c>
      <c r="BD96" s="71">
        <v>2.7671600000000001</v>
      </c>
      <c r="BE96" s="71">
        <v>8000</v>
      </c>
      <c r="BF96" s="67">
        <v>2.7671600000000001</v>
      </c>
      <c r="BG96" s="67">
        <v>1000</v>
      </c>
      <c r="BH96" s="67">
        <v>0</v>
      </c>
      <c r="BI96" s="424">
        <v>5000</v>
      </c>
      <c r="BJ96" s="424">
        <v>1.72976</v>
      </c>
      <c r="BK96" s="67">
        <v>5000</v>
      </c>
      <c r="BL96" s="67">
        <v>1.72976</v>
      </c>
      <c r="BM96" s="67">
        <v>0</v>
      </c>
      <c r="BN96" s="67">
        <v>0</v>
      </c>
      <c r="BP96" s="67">
        <f>+BJ96*1000000</f>
        <v>1729760</v>
      </c>
      <c r="BQ96" s="67">
        <f>+BP96/BK96</f>
        <v>345.952</v>
      </c>
      <c r="BR96" s="67">
        <v>346.18</v>
      </c>
    </row>
    <row r="97" spans="1:67" ht="25.5" customHeight="1" x14ac:dyDescent="0.25">
      <c r="A97" s="69"/>
      <c r="B97" s="55"/>
      <c r="C97" s="411"/>
      <c r="D97" s="402"/>
      <c r="E97" s="402"/>
      <c r="F97" s="402"/>
      <c r="G97" s="402"/>
      <c r="H97" s="402"/>
      <c r="I97" s="402"/>
      <c r="J97" s="402"/>
      <c r="K97" s="402"/>
      <c r="L97" s="402"/>
      <c r="M97" s="402"/>
      <c r="N97" s="402"/>
      <c r="O97" s="402"/>
      <c r="P97" s="402"/>
      <c r="Q97" s="402"/>
      <c r="R97" s="402"/>
      <c r="S97" s="402"/>
      <c r="T97" s="402"/>
      <c r="U97" s="402"/>
      <c r="V97" s="402"/>
      <c r="W97" s="402"/>
      <c r="X97" s="194"/>
      <c r="Y97" s="990"/>
      <c r="Z97" s="990"/>
      <c r="AA97" s="990"/>
      <c r="AB97" s="990"/>
      <c r="AC97" s="990"/>
      <c r="AD97" s="990"/>
      <c r="AE97" s="990"/>
      <c r="AF97" s="990"/>
      <c r="AG97" s="990"/>
      <c r="AH97" s="990"/>
      <c r="AI97" s="990"/>
      <c r="AJ97" s="990"/>
      <c r="AK97" s="990"/>
      <c r="AL97" s="990"/>
      <c r="AM97" s="990"/>
      <c r="AN97" s="990"/>
      <c r="AO97" s="990"/>
      <c r="AP97" s="990"/>
      <c r="AQ97" s="990"/>
      <c r="AR97" s="990"/>
      <c r="AS97" s="990"/>
      <c r="AT97" s="990"/>
      <c r="AU97" s="137"/>
      <c r="AV97" s="940"/>
      <c r="AW97" s="524">
        <f t="shared" si="29"/>
        <v>0</v>
      </c>
      <c r="AX97" s="524">
        <f t="shared" si="30"/>
        <v>0</v>
      </c>
      <c r="AZ97" s="76"/>
      <c r="BA97" s="76"/>
      <c r="BB97" s="77"/>
      <c r="BD97" s="71"/>
      <c r="BE97" s="71"/>
      <c r="BI97" s="424"/>
      <c r="BJ97" s="424"/>
    </row>
    <row r="98" spans="1:67" ht="24.6" customHeight="1" x14ac:dyDescent="0.25">
      <c r="A98" s="359"/>
      <c r="B98" s="314"/>
      <c r="C98" s="409"/>
      <c r="D98" s="404"/>
      <c r="E98" s="286"/>
      <c r="F98" s="404"/>
      <c r="G98" s="286"/>
      <c r="H98" s="404"/>
      <c r="I98" s="286"/>
      <c r="J98" s="286"/>
      <c r="K98" s="286"/>
      <c r="L98" s="404"/>
      <c r="M98" s="286"/>
      <c r="N98" s="404"/>
      <c r="O98" s="286"/>
      <c r="P98" s="286"/>
      <c r="Q98" s="286"/>
      <c r="R98" s="286"/>
      <c r="S98" s="286"/>
      <c r="T98" s="286"/>
      <c r="U98" s="286"/>
      <c r="V98" s="404"/>
      <c r="W98" s="286"/>
      <c r="X98" s="405"/>
      <c r="Y98" s="1009"/>
      <c r="Z98" s="1009"/>
      <c r="AA98" s="1009"/>
      <c r="AB98" s="1009"/>
      <c r="AC98" s="1009"/>
      <c r="AD98" s="1009"/>
      <c r="AE98" s="1009"/>
      <c r="AF98" s="1009"/>
      <c r="AG98" s="1009"/>
      <c r="AH98" s="1009"/>
      <c r="AI98" s="1009"/>
      <c r="AJ98" s="1009"/>
      <c r="AK98" s="1009"/>
      <c r="AL98" s="1009"/>
      <c r="AM98" s="1009"/>
      <c r="AN98" s="1009"/>
      <c r="AO98" s="1009"/>
      <c r="AP98" s="1009"/>
      <c r="AQ98" s="1009"/>
      <c r="AR98" s="1009"/>
      <c r="AS98" s="1009"/>
      <c r="AT98" s="1009"/>
      <c r="AU98" s="448"/>
      <c r="AV98" s="939"/>
      <c r="AW98" s="524">
        <f t="shared" si="29"/>
        <v>0</v>
      </c>
      <c r="AX98" s="524">
        <f t="shared" si="30"/>
        <v>-1.72976</v>
      </c>
      <c r="AY98" s="457"/>
      <c r="AZ98" s="403">
        <f>SUM(AZ96:AZ97)</f>
        <v>0</v>
      </c>
      <c r="BA98" s="404">
        <f>SUM(BA96:BA97)</f>
        <v>0</v>
      </c>
      <c r="BB98" s="404">
        <f>SUM(BB96:BB97)</f>
        <v>0</v>
      </c>
      <c r="BC98" s="404">
        <v>8000</v>
      </c>
      <c r="BD98" s="404">
        <v>2.7671600000000001</v>
      </c>
      <c r="BE98" s="404">
        <v>8000</v>
      </c>
      <c r="BF98" s="404">
        <v>2.7671600000000001</v>
      </c>
      <c r="BG98" s="404">
        <v>1000</v>
      </c>
      <c r="BH98" s="404">
        <f>SUM(BH96:BH97)</f>
        <v>0</v>
      </c>
      <c r="BI98" s="404">
        <v>5000</v>
      </c>
      <c r="BJ98" s="286">
        <v>1.72976</v>
      </c>
      <c r="BK98" s="404">
        <v>5000</v>
      </c>
      <c r="BL98" s="286">
        <v>1.72976</v>
      </c>
      <c r="BM98" s="404">
        <f>SUM(BM96:BM97)</f>
        <v>0</v>
      </c>
      <c r="BN98" s="286">
        <f>SUM(BN96:BN97)</f>
        <v>0</v>
      </c>
      <c r="BO98" s="405"/>
    </row>
    <row r="99" spans="1:67" ht="26.25" customHeight="1" x14ac:dyDescent="0.25">
      <c r="A99" s="69"/>
      <c r="B99" s="55"/>
      <c r="C99" s="222"/>
      <c r="D99" s="222"/>
      <c r="E99" s="221"/>
      <c r="F99" s="451"/>
      <c r="G99" s="374"/>
      <c r="H99" s="222"/>
      <c r="I99" s="59"/>
      <c r="J99" s="59"/>
      <c r="K99" s="59"/>
      <c r="L99" s="222"/>
      <c r="M99" s="59"/>
      <c r="N99" s="505"/>
      <c r="O99" s="453"/>
      <c r="P99" s="453"/>
      <c r="Q99" s="59"/>
      <c r="R99" s="59"/>
      <c r="S99" s="59"/>
      <c r="T99" s="59"/>
      <c r="U99" s="59"/>
      <c r="V99" s="426"/>
      <c r="W99" s="425"/>
      <c r="X99" s="194"/>
      <c r="Y99" s="990"/>
      <c r="Z99" s="990"/>
      <c r="AA99" s="990"/>
      <c r="AB99" s="990"/>
      <c r="AC99" s="990"/>
      <c r="AD99" s="990"/>
      <c r="AE99" s="990"/>
      <c r="AF99" s="990"/>
      <c r="AG99" s="990"/>
      <c r="AH99" s="990"/>
      <c r="AI99" s="990"/>
      <c r="AJ99" s="990"/>
      <c r="AK99" s="990"/>
      <c r="AL99" s="990"/>
      <c r="AM99" s="990"/>
      <c r="AN99" s="990"/>
      <c r="AO99" s="990"/>
      <c r="AP99" s="990"/>
      <c r="AQ99" s="990"/>
      <c r="AR99" s="990"/>
      <c r="AS99" s="990"/>
      <c r="AT99" s="990"/>
      <c r="AU99" s="137"/>
      <c r="AV99" s="936"/>
      <c r="AW99" s="524">
        <f t="shared" si="29"/>
        <v>0</v>
      </c>
      <c r="AX99" s="524">
        <f t="shared" si="30"/>
        <v>0</v>
      </c>
      <c r="AZ99" s="148"/>
      <c r="BA99" s="148"/>
      <c r="BB99" s="77"/>
      <c r="BC99" s="455"/>
      <c r="BD99" s="456"/>
      <c r="BE99" s="455"/>
      <c r="BF99" s="456"/>
      <c r="BI99" s="459"/>
      <c r="BJ99" s="459"/>
      <c r="BK99" s="459"/>
      <c r="BL99" s="459"/>
      <c r="BM99" s="461"/>
      <c r="BN99" s="461"/>
    </row>
    <row r="100" spans="1:67" ht="12" customHeight="1" x14ac:dyDescent="0.25">
      <c r="A100" s="69"/>
      <c r="B100" s="55"/>
      <c r="C100" s="222"/>
      <c r="D100" s="222"/>
      <c r="E100" s="221"/>
      <c r="F100" s="222"/>
      <c r="G100" s="221"/>
      <c r="H100" s="222"/>
      <c r="I100" s="221"/>
      <c r="J100" s="221"/>
      <c r="K100" s="221"/>
      <c r="L100" s="59"/>
      <c r="M100" s="59"/>
      <c r="N100" s="59"/>
      <c r="O100" s="59"/>
      <c r="P100" s="59"/>
      <c r="Q100" s="59"/>
      <c r="R100" s="59"/>
      <c r="S100" s="59"/>
      <c r="T100" s="59"/>
      <c r="U100" s="59"/>
      <c r="V100" s="222"/>
      <c r="W100" s="59"/>
      <c r="X100" s="194"/>
      <c r="Y100" s="990"/>
      <c r="Z100" s="990"/>
      <c r="AA100" s="990"/>
      <c r="AB100" s="990"/>
      <c r="AC100" s="990"/>
      <c r="AD100" s="990"/>
      <c r="AE100" s="990"/>
      <c r="AF100" s="990"/>
      <c r="AG100" s="990"/>
      <c r="AH100" s="990"/>
      <c r="AI100" s="990"/>
      <c r="AJ100" s="990"/>
      <c r="AK100" s="990"/>
      <c r="AL100" s="990"/>
      <c r="AM100" s="990"/>
      <c r="AN100" s="990"/>
      <c r="AO100" s="990"/>
      <c r="AP100" s="990"/>
      <c r="AQ100" s="990"/>
      <c r="AR100" s="990"/>
      <c r="AS100" s="990"/>
      <c r="AT100" s="990"/>
      <c r="AU100" s="137"/>
      <c r="AV100" s="936"/>
      <c r="AW100" s="524">
        <f t="shared" si="29"/>
        <v>0</v>
      </c>
      <c r="AX100" s="524">
        <f t="shared" si="30"/>
        <v>0</v>
      </c>
      <c r="AZ100" s="148"/>
      <c r="BA100" s="148"/>
      <c r="BB100" s="77"/>
      <c r="BD100" s="71"/>
      <c r="BE100" s="71"/>
      <c r="BI100" s="424"/>
      <c r="BJ100" s="424"/>
    </row>
    <row r="101" spans="1:67" ht="24.6" customHeight="1" x14ac:dyDescent="0.25">
      <c r="A101" s="360" t="s">
        <v>146</v>
      </c>
      <c r="B101" s="291"/>
      <c r="C101" s="403"/>
      <c r="D101" s="403">
        <f t="shared" ref="D101:I101" si="31">+SUMIF($A$10:$A$100,$A$98,D10:D100)</f>
        <v>0</v>
      </c>
      <c r="E101" s="286">
        <f t="shared" si="31"/>
        <v>0</v>
      </c>
      <c r="F101" s="403">
        <f t="shared" si="31"/>
        <v>0</v>
      </c>
      <c r="G101" s="286">
        <f t="shared" si="31"/>
        <v>0</v>
      </c>
      <c r="H101" s="403">
        <f t="shared" si="31"/>
        <v>0</v>
      </c>
      <c r="I101" s="286">
        <f t="shared" si="31"/>
        <v>0</v>
      </c>
      <c r="J101" s="286"/>
      <c r="K101" s="286"/>
      <c r="L101" s="403">
        <f>+SUMIF($A$10:$A$100,$A$98,L10:L100)</f>
        <v>0</v>
      </c>
      <c r="M101" s="286">
        <f>+SUMIF($A$10:$A$100,$A$98,M10:M100)</f>
        <v>0</v>
      </c>
      <c r="N101" s="403">
        <f>+SUMIF($A$10:$A$100,$A$98,N10:N100)</f>
        <v>0</v>
      </c>
      <c r="O101" s="286">
        <f>+SUMIF($A$10:$A$100,$A$98,O10:O100)</f>
        <v>0</v>
      </c>
      <c r="P101" s="286"/>
      <c r="Q101" s="286">
        <f>+SUMIF($A$10:$A$100,$A$98,Q10:Q100)</f>
        <v>0</v>
      </c>
      <c r="R101" s="286"/>
      <c r="S101" s="286"/>
      <c r="T101" s="286"/>
      <c r="U101" s="286"/>
      <c r="V101" s="403">
        <f>+SUMIF($A$10:$A$100,$A$98,V10:V100)</f>
        <v>0</v>
      </c>
      <c r="W101" s="286">
        <f>+SUMIF($A$10:$A$100,$A$98,W10:W100)</f>
        <v>0</v>
      </c>
      <c r="X101" s="410"/>
      <c r="Y101" s="957"/>
      <c r="Z101" s="957"/>
      <c r="AA101" s="957"/>
      <c r="AB101" s="957"/>
      <c r="AC101" s="957"/>
      <c r="AD101" s="957"/>
      <c r="AE101" s="957"/>
      <c r="AF101" s="957"/>
      <c r="AG101" s="957"/>
      <c r="AH101" s="957"/>
      <c r="AI101" s="957"/>
      <c r="AJ101" s="957"/>
      <c r="AK101" s="957"/>
      <c r="AL101" s="957"/>
      <c r="AM101" s="957"/>
      <c r="AN101" s="957"/>
      <c r="AO101" s="957"/>
      <c r="AP101" s="957"/>
      <c r="AQ101" s="957"/>
      <c r="AR101" s="957"/>
      <c r="AS101" s="957"/>
      <c r="AT101" s="957"/>
      <c r="AU101" s="410"/>
      <c r="AV101" s="941"/>
      <c r="AW101" s="524">
        <f t="shared" si="29"/>
        <v>0</v>
      </c>
      <c r="AX101" s="524">
        <f t="shared" si="30"/>
        <v>-313.33116126323881</v>
      </c>
      <c r="AY101" s="360" t="s">
        <v>146</v>
      </c>
      <c r="AZ101" s="409"/>
      <c r="BA101" s="403">
        <f>+SUMIF($A$10:$A$100,$A$98,BA10:BA100)</f>
        <v>0</v>
      </c>
      <c r="BB101" s="286">
        <f>+SUMIF($A$10:$A$100,$A$98,BB10:BB100)</f>
        <v>0</v>
      </c>
      <c r="BC101" s="403">
        <v>583908.05000000005</v>
      </c>
      <c r="BD101" s="286">
        <v>589.01572919000012</v>
      </c>
      <c r="BE101" s="403">
        <v>455320.77</v>
      </c>
      <c r="BF101" s="286">
        <v>513.02208336000001</v>
      </c>
      <c r="BG101" s="403">
        <v>90605.176000000007</v>
      </c>
      <c r="BH101" s="286">
        <f>+SUMIF($A$10:$A$100,$A$98,BH10:BH100)</f>
        <v>0</v>
      </c>
      <c r="BI101" s="403">
        <v>469738.82499999995</v>
      </c>
      <c r="BJ101" s="286">
        <v>313.33116126323881</v>
      </c>
      <c r="BK101" s="403">
        <v>361897.69799999992</v>
      </c>
      <c r="BL101" s="286">
        <v>264.69623596852182</v>
      </c>
      <c r="BM101" s="403">
        <f>+SUMIF($A$10:$A$100,$A$98,BM10:BM100)</f>
        <v>0</v>
      </c>
      <c r="BN101" s="286">
        <f>+SUMIF($A$10:$A$100,$A$98,BN10:BN100)</f>
        <v>0</v>
      </c>
      <c r="BO101" s="410"/>
    </row>
    <row r="102" spans="1:67" ht="24.6" customHeight="1" x14ac:dyDescent="0.25">
      <c r="A102" s="408"/>
      <c r="B102" s="259"/>
      <c r="C102" s="260"/>
      <c r="D102" s="407"/>
      <c r="E102" s="407"/>
      <c r="F102" s="407"/>
      <c r="G102" s="407"/>
      <c r="H102" s="407"/>
      <c r="I102" s="407">
        <f>I101+-Q101</f>
        <v>0</v>
      </c>
      <c r="J102" s="407"/>
      <c r="K102" s="407"/>
      <c r="L102" s="407"/>
      <c r="M102" s="407"/>
      <c r="N102" s="407"/>
      <c r="O102" s="407"/>
      <c r="P102" s="407"/>
      <c r="Q102" s="407"/>
      <c r="R102" s="407"/>
      <c r="S102" s="407"/>
      <c r="T102" s="407"/>
      <c r="U102" s="407"/>
      <c r="V102" s="407"/>
      <c r="W102" s="407"/>
      <c r="X102" s="261"/>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449"/>
      <c r="AV102" s="942"/>
      <c r="AW102" s="449"/>
      <c r="AX102" s="449"/>
      <c r="AZ102" s="148"/>
      <c r="BA102" s="148"/>
      <c r="BB102" s="77"/>
      <c r="BD102" s="71"/>
      <c r="BE102" s="71"/>
      <c r="BF102" s="67">
        <v>248.32584739147819</v>
      </c>
    </row>
    <row r="103" spans="1:67" ht="14.25" customHeight="1" x14ac:dyDescent="0.25">
      <c r="A103" s="139"/>
      <c r="B103" s="139"/>
      <c r="C103" s="75"/>
      <c r="D103" s="75"/>
      <c r="E103" s="140"/>
      <c r="F103" s="141"/>
      <c r="G103" s="140"/>
      <c r="H103" s="142"/>
      <c r="I103" s="140"/>
      <c r="J103" s="140"/>
      <c r="K103" s="140"/>
      <c r="L103" s="143"/>
      <c r="M103" s="140"/>
      <c r="N103" s="141"/>
      <c r="O103" s="140"/>
      <c r="P103" s="140"/>
      <c r="Q103" s="140"/>
      <c r="R103" s="140"/>
      <c r="S103" s="140"/>
      <c r="T103" s="140"/>
      <c r="U103" s="140"/>
      <c r="V103" s="142"/>
      <c r="W103" s="153"/>
      <c r="X103" s="137"/>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137"/>
      <c r="AV103" s="936"/>
      <c r="AW103" s="137"/>
      <c r="AX103" s="137"/>
      <c r="BJ103" s="67">
        <v>49.917743205297043</v>
      </c>
    </row>
    <row r="104" spans="1:67" ht="12.75" customHeight="1" thickBot="1" x14ac:dyDescent="0.3">
      <c r="A104" s="1276" t="s">
        <v>276</v>
      </c>
      <c r="B104" s="1276"/>
      <c r="C104" s="1276"/>
      <c r="D104" s="1276"/>
      <c r="E104" s="1276"/>
      <c r="F104" s="1276"/>
      <c r="G104" s="1276"/>
      <c r="H104" s="1276"/>
      <c r="I104" s="1276"/>
      <c r="J104" s="1276"/>
      <c r="K104" s="1276"/>
      <c r="L104" s="1276"/>
      <c r="M104" s="133"/>
      <c r="N104" s="134"/>
      <c r="O104" s="133"/>
      <c r="P104" s="133"/>
      <c r="Q104" s="133"/>
      <c r="R104" s="133"/>
      <c r="S104" s="133"/>
      <c r="T104" s="133"/>
      <c r="U104" s="133"/>
      <c r="V104" s="135"/>
      <c r="W104" s="133"/>
      <c r="X104" s="136"/>
      <c r="Y104" s="1004"/>
      <c r="Z104" s="1004"/>
      <c r="AA104" s="1004"/>
      <c r="AB104" s="1004"/>
      <c r="AC104" s="1004"/>
      <c r="AD104" s="1004"/>
      <c r="AE104" s="1004"/>
      <c r="AF104" s="1004"/>
      <c r="AG104" s="1004"/>
      <c r="AH104" s="1004"/>
      <c r="AI104" s="1004"/>
      <c r="AJ104" s="1004"/>
      <c r="AK104" s="1004"/>
      <c r="AL104" s="1004"/>
      <c r="AM104" s="1004"/>
      <c r="AN104" s="1004"/>
      <c r="AO104" s="1004"/>
      <c r="AP104" s="1004"/>
      <c r="AQ104" s="1004"/>
      <c r="AR104" s="1004"/>
      <c r="AS104" s="1004"/>
      <c r="AT104" s="1004"/>
      <c r="AU104" s="450"/>
      <c r="AV104" s="943"/>
      <c r="AW104" s="450"/>
      <c r="AX104" s="450"/>
      <c r="BJ104" s="467">
        <f>BJ103-BJ101</f>
        <v>-263.41341805794178</v>
      </c>
    </row>
    <row r="105" spans="1:67" ht="13.5" thickTop="1" x14ac:dyDescent="0.25">
      <c r="M105" s="286">
        <v>6.4584274199999996</v>
      </c>
      <c r="S105" s="1034">
        <f>G94-O94</f>
        <v>21.369701139538165</v>
      </c>
      <c r="T105" s="1034"/>
      <c r="U105" s="1034"/>
      <c r="V105" s="1034">
        <f>S105-W94</f>
        <v>-1.8625819934815944</v>
      </c>
      <c r="BG105" s="67">
        <v>8</v>
      </c>
      <c r="BH105" s="67">
        <v>1800</v>
      </c>
      <c r="BI105" s="67">
        <f>BG105*BH105</f>
        <v>14400</v>
      </c>
      <c r="BK105" s="148">
        <f>234000/3000</f>
        <v>78</v>
      </c>
    </row>
    <row r="106" spans="1:67" x14ac:dyDescent="0.25">
      <c r="E106" s="77"/>
      <c r="M106" s="77">
        <f>M105-M101</f>
        <v>6.4584274199999996</v>
      </c>
      <c r="BG106" s="67">
        <v>8</v>
      </c>
      <c r="BH106" s="67">
        <v>1200</v>
      </c>
      <c r="BI106" s="67">
        <f>BG106*BH106</f>
        <v>9600</v>
      </c>
    </row>
    <row r="107" spans="1:67" x14ac:dyDescent="0.25">
      <c r="O107" s="71" t="e">
        <f>+#REF!+#REF!+#REF!+#REF!+#REF!+O94+O98</f>
        <v>#REF!</v>
      </c>
      <c r="P107" s="71"/>
    </row>
    <row r="108" spans="1:67" x14ac:dyDescent="0.25">
      <c r="C108" s="520"/>
    </row>
    <row r="109" spans="1:67" x14ac:dyDescent="0.25">
      <c r="I109" s="67" t="s">
        <v>259</v>
      </c>
      <c r="M109" s="223">
        <v>229660</v>
      </c>
    </row>
    <row r="110" spans="1:67" x14ac:dyDescent="0.25">
      <c r="I110" s="67" t="s">
        <v>259</v>
      </c>
      <c r="M110" s="223">
        <v>232000</v>
      </c>
    </row>
    <row r="111" spans="1:67" x14ac:dyDescent="0.25">
      <c r="I111" s="67" t="s">
        <v>259</v>
      </c>
      <c r="M111" s="223">
        <v>215000</v>
      </c>
    </row>
    <row r="112" spans="1:67" x14ac:dyDescent="0.25">
      <c r="M112" s="500">
        <f>SUM(M109:M111)</f>
        <v>676660</v>
      </c>
    </row>
    <row r="113" spans="2:14" x14ac:dyDescent="0.25">
      <c r="I113" s="383" t="s">
        <v>384</v>
      </c>
      <c r="J113" s="383"/>
      <c r="K113" s="383"/>
      <c r="L113" s="383"/>
      <c r="M113" s="1275">
        <f>M112/3</f>
        <v>225553.33333333334</v>
      </c>
      <c r="N113" s="1275"/>
    </row>
    <row r="114" spans="2:14" x14ac:dyDescent="0.25">
      <c r="F114" s="67">
        <v>131714</v>
      </c>
      <c r="M114" s="500"/>
    </row>
    <row r="115" spans="2:14" ht="25.5" x14ac:dyDescent="0.25">
      <c r="B115" s="67">
        <f>7733000/5638</f>
        <v>1371.5856686768357</v>
      </c>
      <c r="D115" s="67">
        <f>445807.53+3693.35</f>
        <v>449500.88</v>
      </c>
      <c r="F115" s="67">
        <v>47340</v>
      </c>
      <c r="I115" s="67" t="s">
        <v>383</v>
      </c>
      <c r="M115" s="67">
        <f>143</f>
        <v>143</v>
      </c>
    </row>
    <row r="116" spans="2:14" ht="25.5" x14ac:dyDescent="0.25">
      <c r="I116" s="67" t="s">
        <v>383</v>
      </c>
      <c r="M116" s="67">
        <v>146.13</v>
      </c>
    </row>
    <row r="117" spans="2:14" x14ac:dyDescent="0.25">
      <c r="D117" s="67">
        <f>339899+98646</f>
        <v>438545</v>
      </c>
      <c r="I117" s="67" t="s">
        <v>385</v>
      </c>
      <c r="M117" s="67">
        <v>125.49</v>
      </c>
    </row>
    <row r="118" spans="2:14" x14ac:dyDescent="0.25">
      <c r="M118" s="144">
        <f>SUM(M115:M117)</f>
        <v>414.62</v>
      </c>
    </row>
    <row r="119" spans="2:14" x14ac:dyDescent="0.25">
      <c r="I119" s="383" t="s">
        <v>384</v>
      </c>
      <c r="J119" s="383"/>
      <c r="K119" s="383"/>
      <c r="L119" s="383"/>
      <c r="M119" s="383">
        <f>M118/3</f>
        <v>138.20666666666668</v>
      </c>
    </row>
    <row r="121" spans="2:14" ht="25.5" x14ac:dyDescent="0.25">
      <c r="F121" s="67">
        <f>1120053+1204000</f>
        <v>2324053</v>
      </c>
      <c r="I121" s="67" t="s">
        <v>386</v>
      </c>
      <c r="M121" s="67">
        <v>66</v>
      </c>
    </row>
    <row r="122" spans="2:14" ht="25.5" x14ac:dyDescent="0.25">
      <c r="F122" s="67">
        <f>F121/1000000</f>
        <v>2.3240530000000001</v>
      </c>
      <c r="I122" s="67" t="s">
        <v>386</v>
      </c>
      <c r="M122" s="67">
        <v>67.92</v>
      </c>
    </row>
    <row r="123" spans="2:14" x14ac:dyDescent="0.25">
      <c r="D123" s="67">
        <f>234844+203864</f>
        <v>438708</v>
      </c>
    </row>
    <row r="124" spans="2:14" x14ac:dyDescent="0.25">
      <c r="M124" s="144">
        <f>SUM(M121:M123)</f>
        <v>133.92000000000002</v>
      </c>
    </row>
    <row r="125" spans="2:14" x14ac:dyDescent="0.25">
      <c r="I125" s="383" t="s">
        <v>384</v>
      </c>
      <c r="J125" s="383"/>
      <c r="K125" s="383"/>
      <c r="L125" s="383"/>
      <c r="M125" s="383">
        <f>M124/2</f>
        <v>66.960000000000008</v>
      </c>
    </row>
    <row r="127" spans="2:14" x14ac:dyDescent="0.25">
      <c r="I127" s="67" t="s">
        <v>260</v>
      </c>
      <c r="M127" s="67">
        <v>142</v>
      </c>
    </row>
    <row r="128" spans="2:14" ht="25.5" x14ac:dyDescent="0.25">
      <c r="I128" s="67" t="s">
        <v>386</v>
      </c>
      <c r="M128" s="67">
        <v>152.84</v>
      </c>
      <c r="N128" s="67">
        <f>42.53+105.15</f>
        <v>147.68</v>
      </c>
    </row>
    <row r="129" spans="1:66" ht="25.5" x14ac:dyDescent="0.25">
      <c r="I129" s="67" t="s">
        <v>386</v>
      </c>
      <c r="M129" s="67">
        <v>147.68</v>
      </c>
    </row>
    <row r="130" spans="1:66" x14ac:dyDescent="0.25">
      <c r="M130" s="144">
        <f>SUM(M127:M129)</f>
        <v>442.52000000000004</v>
      </c>
    </row>
    <row r="131" spans="1:66" x14ac:dyDescent="0.25">
      <c r="I131" s="383" t="s">
        <v>384</v>
      </c>
      <c r="J131" s="383"/>
      <c r="K131" s="383"/>
      <c r="L131" s="383"/>
      <c r="M131" s="499">
        <f>M130/3</f>
        <v>147.50666666666669</v>
      </c>
    </row>
    <row r="133" spans="1:66" x14ac:dyDescent="0.25">
      <c r="M133" s="67">
        <v>64.349999999999994</v>
      </c>
    </row>
    <row r="135" spans="1:66" ht="25.5" x14ac:dyDescent="0.25">
      <c r="I135" s="67" t="s">
        <v>387</v>
      </c>
      <c r="M135" s="67">
        <v>64.349999999999994</v>
      </c>
    </row>
    <row r="136" spans="1:66" ht="25.5" x14ac:dyDescent="0.25">
      <c r="I136" s="67" t="s">
        <v>386</v>
      </c>
      <c r="M136" s="67">
        <v>81.900000000000006</v>
      </c>
    </row>
    <row r="138" spans="1:66" x14ac:dyDescent="0.25">
      <c r="M138" s="144">
        <f>SUM(M135:M137)</f>
        <v>146.25</v>
      </c>
    </row>
    <row r="139" spans="1:66" x14ac:dyDescent="0.25">
      <c r="I139" s="383" t="s">
        <v>384</v>
      </c>
      <c r="J139" s="383"/>
      <c r="K139" s="383"/>
      <c r="L139" s="383"/>
      <c r="M139" s="383">
        <f>M138/2</f>
        <v>73.125</v>
      </c>
    </row>
    <row r="142" spans="1:66" ht="26.25" customHeight="1" x14ac:dyDescent="0.25">
      <c r="A142" s="511" t="s">
        <v>365</v>
      </c>
      <c r="B142" s="55" t="s">
        <v>366</v>
      </c>
      <c r="C142" s="222"/>
      <c r="D142" s="222">
        <v>0</v>
      </c>
      <c r="E142" s="221">
        <f>+D142*70/1000000</f>
        <v>0</v>
      </c>
      <c r="F142" s="451">
        <f>D142+BC142</f>
        <v>60000</v>
      </c>
      <c r="G142" s="374">
        <f>E142+BD142</f>
        <v>4.2</v>
      </c>
      <c r="H142" s="222">
        <f>D142+BE142</f>
        <v>0</v>
      </c>
      <c r="I142" s="59">
        <f>E142+BF142</f>
        <v>0</v>
      </c>
      <c r="J142" s="59"/>
      <c r="K142" s="59"/>
      <c r="L142" s="222">
        <v>55629</v>
      </c>
      <c r="M142" s="59">
        <f>+L142*70/1000000</f>
        <v>3.8940299999999999</v>
      </c>
      <c r="N142" s="505">
        <f>L142+BI142</f>
        <v>55629</v>
      </c>
      <c r="O142" s="453">
        <f>M142+BJ142</f>
        <v>3.8940299999999999</v>
      </c>
      <c r="P142" s="453"/>
      <c r="Q142" s="59">
        <f>M142+BL142</f>
        <v>3.8940299999999999</v>
      </c>
      <c r="R142" s="59"/>
      <c r="S142" s="59"/>
      <c r="T142" s="59"/>
      <c r="U142" s="59"/>
      <c r="V142" s="426">
        <f>+F142-N142</f>
        <v>4371</v>
      </c>
      <c r="W142" s="425">
        <f>+G142-O142</f>
        <v>0.3059700000000003</v>
      </c>
      <c r="X142" s="194"/>
      <c r="Y142" s="990"/>
      <c r="Z142" s="990"/>
      <c r="AA142" s="990"/>
      <c r="AB142" s="990"/>
      <c r="AC142" s="990"/>
      <c r="AD142" s="990"/>
      <c r="AE142" s="990"/>
      <c r="AF142" s="990"/>
      <c r="AG142" s="990"/>
      <c r="AH142" s="990"/>
      <c r="AI142" s="990"/>
      <c r="AJ142" s="990"/>
      <c r="AK142" s="990"/>
      <c r="AL142" s="990"/>
      <c r="AM142" s="990"/>
      <c r="AN142" s="990"/>
      <c r="AO142" s="990"/>
      <c r="AP142" s="990"/>
      <c r="AQ142" s="990"/>
      <c r="AR142" s="990"/>
      <c r="AS142" s="990"/>
      <c r="AT142" s="990"/>
      <c r="AU142" s="137"/>
      <c r="AV142" s="936"/>
      <c r="AW142" s="137"/>
      <c r="AX142" s="137"/>
      <c r="AZ142" s="148">
        <v>7000</v>
      </c>
      <c r="BA142" s="148">
        <v>0</v>
      </c>
      <c r="BB142" s="77">
        <v>0</v>
      </c>
      <c r="BC142" s="455">
        <v>60000</v>
      </c>
      <c r="BD142" s="456">
        <v>4.2</v>
      </c>
      <c r="BE142" s="455">
        <v>0</v>
      </c>
      <c r="BF142" s="456">
        <v>0</v>
      </c>
      <c r="BG142" s="67">
        <v>0</v>
      </c>
      <c r="BH142" s="67">
        <v>0</v>
      </c>
      <c r="BI142" s="459">
        <v>0</v>
      </c>
      <c r="BJ142" s="459">
        <v>0</v>
      </c>
      <c r="BK142" s="459">
        <v>0</v>
      </c>
      <c r="BL142" s="459">
        <v>0</v>
      </c>
      <c r="BM142" s="461">
        <v>60000</v>
      </c>
      <c r="BN142" s="461">
        <v>4.2</v>
      </c>
    </row>
    <row r="145" spans="9:12" x14ac:dyDescent="0.25">
      <c r="I145" s="67">
        <v>3</v>
      </c>
      <c r="L145" s="67">
        <v>11.269</v>
      </c>
    </row>
    <row r="146" spans="9:12" x14ac:dyDescent="0.25">
      <c r="I146" s="67">
        <v>4</v>
      </c>
      <c r="L146" s="67">
        <v>33.936</v>
      </c>
    </row>
    <row r="147" spans="9:12" x14ac:dyDescent="0.25">
      <c r="I147" s="67">
        <v>5</v>
      </c>
    </row>
    <row r="148" spans="9:12" x14ac:dyDescent="0.25">
      <c r="I148" s="67">
        <v>6</v>
      </c>
    </row>
    <row r="149" spans="9:12" x14ac:dyDescent="0.25">
      <c r="I149" s="67">
        <v>8</v>
      </c>
    </row>
    <row r="150" spans="9:12" x14ac:dyDescent="0.25">
      <c r="I150" s="67">
        <v>11</v>
      </c>
    </row>
  </sheetData>
  <mergeCells count="44">
    <mergeCell ref="T6:U6"/>
    <mergeCell ref="T7:U7"/>
    <mergeCell ref="D6:I6"/>
    <mergeCell ref="C6:C8"/>
    <mergeCell ref="J6:K7"/>
    <mergeCell ref="A1:X1"/>
    <mergeCell ref="A3:X3"/>
    <mergeCell ref="A4:X4"/>
    <mergeCell ref="V6:W6"/>
    <mergeCell ref="N7:O7"/>
    <mergeCell ref="X6:X8"/>
    <mergeCell ref="B6:B8"/>
    <mergeCell ref="H7:I7"/>
    <mergeCell ref="V7:W7"/>
    <mergeCell ref="L7:M7"/>
    <mergeCell ref="A6:A8"/>
    <mergeCell ref="R6:S7"/>
    <mergeCell ref="D7:E7"/>
    <mergeCell ref="L6:Q6"/>
    <mergeCell ref="P7:Q7"/>
    <mergeCell ref="F7:G7"/>
    <mergeCell ref="M113:N113"/>
    <mergeCell ref="A104:L104"/>
    <mergeCell ref="AC6:AD7"/>
    <mergeCell ref="AI6:AJ7"/>
    <mergeCell ref="BO6:BO8"/>
    <mergeCell ref="AZ7:AZ8"/>
    <mergeCell ref="BA7:BB7"/>
    <mergeCell ref="BC7:BD7"/>
    <mergeCell ref="BE7:BF7"/>
    <mergeCell ref="BG7:BH7"/>
    <mergeCell ref="BI7:BJ7"/>
    <mergeCell ref="BK7:BL7"/>
    <mergeCell ref="BM7:BN7"/>
    <mergeCell ref="AZ6:BF6"/>
    <mergeCell ref="BG6:BL6"/>
    <mergeCell ref="BM6:BN6"/>
    <mergeCell ref="Y5:AJ5"/>
    <mergeCell ref="Y7:Z7"/>
    <mergeCell ref="AA7:AB7"/>
    <mergeCell ref="AE7:AF7"/>
    <mergeCell ref="AG7:AH7"/>
    <mergeCell ref="Y6:AB6"/>
    <mergeCell ref="AE6:AH6"/>
  </mergeCells>
  <printOptions horizontalCentered="1"/>
  <pageMargins left="0.32" right="0.3" top="0.11" bottom="0.24" header="0.11" footer="0.16"/>
  <pageSetup paperSize="9" scale="36" orientation="landscape" r:id="rId1"/>
  <rowBreaks count="1" manualBreakCount="1">
    <brk id="95" max="21" man="1"/>
  </rowBreaks>
  <drawing r:id="rId2"/>
  <legacyDrawing r:id="rId3"/>
  <oleObjects>
    <mc:AlternateContent xmlns:mc="http://schemas.openxmlformats.org/markup-compatibility/2006">
      <mc:Choice Requires="x14">
        <oleObject progId="Word.Picture.8" shapeId="8193" r:id="rId4">
          <objectPr defaultSize="0" autoPict="0" r:id="rId5">
            <anchor moveWithCells="1" sizeWithCells="1">
              <from>
                <xdr:col>0</xdr:col>
                <xdr:colOff>0</xdr:colOff>
                <xdr:row>0</xdr:row>
                <xdr:rowOff>0</xdr:rowOff>
              </from>
              <to>
                <xdr:col>0</xdr:col>
                <xdr:colOff>1276350</xdr:colOff>
                <xdr:row>4</xdr:row>
                <xdr:rowOff>114300</xdr:rowOff>
              </to>
            </anchor>
          </objectPr>
        </oleObject>
      </mc:Choice>
      <mc:Fallback>
        <oleObject progId="Word.Picture.8" shapeId="8193" r:id="rId4"/>
      </mc:Fallback>
    </mc:AlternateContent>
    <mc:AlternateContent xmlns:mc="http://schemas.openxmlformats.org/markup-compatibility/2006">
      <mc:Choice Requires="x14">
        <oleObject progId="Word.Picture.8" shapeId="8194" r:id="rId6">
          <objectPr defaultSize="0" autoPict="0" r:id="rId5">
            <anchor moveWithCells="1" sizeWithCells="1">
              <from>
                <xdr:col>0</xdr:col>
                <xdr:colOff>0</xdr:colOff>
                <xdr:row>42</xdr:row>
                <xdr:rowOff>76200</xdr:rowOff>
              </from>
              <to>
                <xdr:col>0</xdr:col>
                <xdr:colOff>142875</xdr:colOff>
                <xdr:row>42</xdr:row>
                <xdr:rowOff>76200</xdr:rowOff>
              </to>
            </anchor>
          </objectPr>
        </oleObject>
      </mc:Choice>
      <mc:Fallback>
        <oleObject progId="Word.Picture.8" shapeId="8194" r:id="rId6"/>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N68"/>
  <sheetViews>
    <sheetView zoomScale="54" zoomScaleSheetLayoutView="50" workbookViewId="0">
      <selection activeCell="A6" sqref="A6:A7"/>
    </sheetView>
  </sheetViews>
  <sheetFormatPr defaultColWidth="7.140625" defaultRowHeight="14.25" x14ac:dyDescent="0.25"/>
  <cols>
    <col min="1" max="1" width="4" style="40" customWidth="1"/>
    <col min="2" max="2" width="49.28515625" style="40" bestFit="1" customWidth="1"/>
    <col min="3" max="3" width="4" style="40" customWidth="1"/>
    <col min="4" max="4" width="15.42578125" style="40" bestFit="1" customWidth="1"/>
    <col min="5" max="5" width="9.28515625" style="40" customWidth="1"/>
    <col min="6" max="6" width="12.140625" style="40" customWidth="1"/>
    <col min="7" max="7" width="9.140625" style="40" customWidth="1"/>
    <col min="8" max="8" width="10.85546875" style="40" customWidth="1"/>
    <col min="9" max="9" width="5.28515625" style="40" customWidth="1"/>
    <col min="10" max="10" width="10.140625" style="40" customWidth="1"/>
    <col min="11" max="11" width="12.28515625" style="40" customWidth="1"/>
    <col min="12" max="12" width="13.140625" style="40" customWidth="1"/>
    <col min="13" max="13" width="10.140625" style="40" customWidth="1"/>
    <col min="14" max="14" width="12.5703125" style="40" customWidth="1"/>
    <col min="15" max="15" width="5" style="40" customWidth="1"/>
    <col min="16" max="16" width="9.140625" style="40" customWidth="1"/>
    <col min="17" max="17" width="12.28515625" style="40" customWidth="1"/>
    <col min="18" max="18" width="12.140625" style="40" bestFit="1" customWidth="1"/>
    <col min="19" max="19" width="12.28515625" style="40" customWidth="1"/>
    <col min="20" max="20" width="10.5703125" style="40" customWidth="1"/>
    <col min="21" max="23" width="7.28515625" style="40" customWidth="1"/>
    <col min="24" max="24" width="7.140625" style="40"/>
    <col min="25" max="25" width="10.5703125" style="40" customWidth="1"/>
    <col min="26" max="26" width="11.28515625" style="40" bestFit="1" customWidth="1"/>
    <col min="27" max="27" width="12.85546875" style="40" customWidth="1"/>
    <col min="28" max="28" width="7.140625" style="40"/>
    <col min="29" max="29" width="11" style="40" customWidth="1"/>
    <col min="30" max="31" width="7.140625" style="40"/>
    <col min="32" max="33" width="11.28515625" style="40" bestFit="1" customWidth="1"/>
    <col min="34" max="34" width="7.140625" style="40"/>
    <col min="35" max="35" width="10.140625" style="40" customWidth="1"/>
    <col min="36" max="36" width="11.42578125" style="40" customWidth="1"/>
    <col min="37" max="37" width="13.7109375" style="40" customWidth="1"/>
    <col min="38" max="39" width="7.140625" style="40"/>
    <col min="40" max="40" width="7.85546875" style="40" bestFit="1" customWidth="1"/>
    <col min="41" max="16384" width="7.140625" style="40"/>
  </cols>
  <sheetData>
    <row r="1" spans="1:37" ht="16.5" customHeight="1" x14ac:dyDescent="0.25">
      <c r="A1" s="1211" t="s">
        <v>34</v>
      </c>
      <c r="B1" s="1211"/>
      <c r="C1" s="1211"/>
      <c r="D1" s="1211"/>
      <c r="E1" s="1211"/>
      <c r="F1" s="1211"/>
      <c r="G1" s="1211"/>
      <c r="H1" s="1211"/>
      <c r="I1" s="1211"/>
      <c r="J1" s="1211"/>
      <c r="K1" s="1211"/>
      <c r="L1" s="1211"/>
      <c r="M1" s="1211"/>
      <c r="N1" s="1211"/>
      <c r="O1" s="1211"/>
      <c r="P1" s="1211"/>
      <c r="Q1" s="1211"/>
      <c r="R1" s="1211"/>
      <c r="S1" s="1211"/>
      <c r="T1" s="1211"/>
    </row>
    <row r="2" spans="1:37" ht="18" customHeight="1" x14ac:dyDescent="0.25">
      <c r="A2" s="98"/>
      <c r="B2" s="98"/>
      <c r="C2" s="98"/>
      <c r="D2" s="98"/>
      <c r="E2" s="98"/>
      <c r="F2" s="98"/>
      <c r="G2" s="98"/>
      <c r="H2" s="98"/>
      <c r="I2" s="98"/>
      <c r="J2" s="98"/>
      <c r="K2" s="98"/>
      <c r="L2" s="98"/>
      <c r="M2" s="98"/>
      <c r="N2" s="98"/>
      <c r="O2" s="98"/>
      <c r="P2" s="98"/>
      <c r="Q2" s="98"/>
      <c r="R2" s="98"/>
      <c r="S2" s="98"/>
      <c r="T2" s="103" t="str">
        <f>"MONTH - "&amp;Summary!$G$6</f>
        <v>MONTH - July 2025</v>
      </c>
    </row>
    <row r="3" spans="1:37" ht="16.5" customHeight="1" x14ac:dyDescent="0.25">
      <c r="A3" s="1177" t="s">
        <v>133</v>
      </c>
      <c r="B3" s="1177"/>
      <c r="C3" s="1177"/>
      <c r="D3" s="1177"/>
      <c r="E3" s="1177"/>
      <c r="F3" s="1177"/>
      <c r="G3" s="1177"/>
      <c r="H3" s="1177"/>
      <c r="I3" s="1177"/>
      <c r="J3" s="1177"/>
      <c r="K3" s="1177"/>
      <c r="L3" s="1177"/>
      <c r="M3" s="1177"/>
      <c r="N3" s="1177"/>
      <c r="O3" s="1177"/>
      <c r="P3" s="1177"/>
      <c r="Q3" s="1177"/>
      <c r="R3" s="1177"/>
      <c r="S3" s="1177"/>
      <c r="T3" s="1177"/>
    </row>
    <row r="4" spans="1:37" ht="15.75" x14ac:dyDescent="0.25">
      <c r="A4" s="1179" t="str">
        <f>'Anx G'!A4:X4</f>
        <v xml:space="preserve">PMU NLC INFRA DEV WORKS at Chahar Bagh (RUDA ) </v>
      </c>
      <c r="B4" s="1179"/>
      <c r="C4" s="1179"/>
      <c r="D4" s="1179"/>
      <c r="E4" s="1179"/>
      <c r="F4" s="1179"/>
      <c r="G4" s="1179"/>
      <c r="H4" s="1179"/>
      <c r="I4" s="1179"/>
      <c r="J4" s="1179"/>
      <c r="K4" s="1179"/>
      <c r="L4" s="1179"/>
      <c r="M4" s="1179"/>
      <c r="N4" s="1179"/>
      <c r="O4" s="1179"/>
      <c r="P4" s="1179"/>
      <c r="Q4" s="1179"/>
      <c r="R4" s="1179"/>
      <c r="S4" s="1179"/>
      <c r="T4" s="1179"/>
    </row>
    <row r="5" spans="1:37" ht="16.5" thickBot="1" x14ac:dyDescent="0.3">
      <c r="A5" s="41"/>
      <c r="B5" s="41"/>
      <c r="C5" s="41"/>
      <c r="D5" s="41"/>
      <c r="E5" s="41"/>
      <c r="F5" s="41"/>
      <c r="G5" s="41"/>
      <c r="H5" s="41"/>
      <c r="I5" s="41"/>
      <c r="J5" s="41"/>
      <c r="K5" s="41"/>
      <c r="L5" s="41"/>
      <c r="M5" s="41"/>
      <c r="N5" s="41"/>
      <c r="O5" s="41"/>
      <c r="P5" s="41"/>
      <c r="Q5" s="41"/>
      <c r="R5" s="41"/>
      <c r="S5" s="41"/>
      <c r="T5" s="41"/>
    </row>
    <row r="6" spans="1:37" s="42" customFormat="1" ht="20.25" customHeight="1" thickTop="1" x14ac:dyDescent="0.25">
      <c r="A6" s="1219" t="s">
        <v>7</v>
      </c>
      <c r="B6" s="1222" t="s">
        <v>31</v>
      </c>
      <c r="C6" s="1219" t="s">
        <v>17</v>
      </c>
      <c r="D6" s="1220"/>
      <c r="E6" s="1220"/>
      <c r="F6" s="1220"/>
      <c r="G6" s="1220"/>
      <c r="H6" s="1222"/>
      <c r="I6" s="1219" t="s">
        <v>55</v>
      </c>
      <c r="J6" s="1220"/>
      <c r="K6" s="1220"/>
      <c r="L6" s="1220"/>
      <c r="M6" s="1220"/>
      <c r="N6" s="1222"/>
      <c r="O6" s="1219" t="s">
        <v>59</v>
      </c>
      <c r="P6" s="1220"/>
      <c r="Q6" s="1220"/>
      <c r="R6" s="1220"/>
      <c r="S6" s="1220"/>
      <c r="T6" s="1222"/>
      <c r="X6" s="1294" t="s">
        <v>55</v>
      </c>
      <c r="Y6" s="1294"/>
      <c r="Z6" s="1294"/>
      <c r="AA6" s="1294"/>
      <c r="AB6" s="1294"/>
      <c r="AC6" s="1294"/>
      <c r="AD6" s="1294" t="s">
        <v>59</v>
      </c>
      <c r="AE6" s="1294"/>
      <c r="AF6" s="1294"/>
      <c r="AG6" s="1294"/>
      <c r="AH6" s="1294"/>
      <c r="AI6" s="1294"/>
    </row>
    <row r="7" spans="1:37" s="42" customFormat="1" ht="79.5" customHeight="1" thickBot="1" x14ac:dyDescent="0.3">
      <c r="A7" s="1295"/>
      <c r="B7" s="1296"/>
      <c r="C7" s="528" t="s">
        <v>32</v>
      </c>
      <c r="D7" s="529" t="s">
        <v>44</v>
      </c>
      <c r="E7" s="529" t="s">
        <v>269</v>
      </c>
      <c r="F7" s="529" t="s">
        <v>45</v>
      </c>
      <c r="G7" s="529" t="s">
        <v>46</v>
      </c>
      <c r="H7" s="530" t="s">
        <v>156</v>
      </c>
      <c r="I7" s="528" t="s">
        <v>32</v>
      </c>
      <c r="J7" s="529" t="s">
        <v>44</v>
      </c>
      <c r="K7" s="529" t="s">
        <v>269</v>
      </c>
      <c r="L7" s="529" t="s">
        <v>45</v>
      </c>
      <c r="M7" s="529" t="s">
        <v>46</v>
      </c>
      <c r="N7" s="530" t="s">
        <v>155</v>
      </c>
      <c r="O7" s="528" t="s">
        <v>32</v>
      </c>
      <c r="P7" s="529" t="s">
        <v>44</v>
      </c>
      <c r="Q7" s="529" t="s">
        <v>269</v>
      </c>
      <c r="R7" s="529" t="s">
        <v>45</v>
      </c>
      <c r="S7" s="529" t="s">
        <v>46</v>
      </c>
      <c r="T7" s="530" t="s">
        <v>155</v>
      </c>
      <c r="U7" s="357"/>
      <c r="V7" s="357" t="s">
        <v>367</v>
      </c>
      <c r="W7" s="357"/>
      <c r="X7" s="327" t="s">
        <v>32</v>
      </c>
      <c r="Y7" s="327" t="s">
        <v>44</v>
      </c>
      <c r="Z7" s="327" t="s">
        <v>269</v>
      </c>
      <c r="AA7" s="327" t="s">
        <v>45</v>
      </c>
      <c r="AB7" s="327" t="s">
        <v>46</v>
      </c>
      <c r="AC7" s="195" t="s">
        <v>155</v>
      </c>
      <c r="AD7" s="327" t="s">
        <v>32</v>
      </c>
      <c r="AE7" s="327" t="s">
        <v>44</v>
      </c>
      <c r="AF7" s="327" t="s">
        <v>269</v>
      </c>
      <c r="AG7" s="327" t="s">
        <v>45</v>
      </c>
      <c r="AH7" s="327" t="s">
        <v>46</v>
      </c>
      <c r="AI7" s="195" t="s">
        <v>155</v>
      </c>
    </row>
    <row r="8" spans="1:37" s="42" customFormat="1" ht="6.75" customHeight="1" thickTop="1" x14ac:dyDescent="0.25">
      <c r="A8" s="540"/>
      <c r="B8" s="51"/>
      <c r="C8" s="422"/>
      <c r="D8" s="422"/>
      <c r="E8" s="422"/>
      <c r="F8" s="422"/>
      <c r="G8" s="422"/>
      <c r="H8" s="422"/>
      <c r="I8" s="422"/>
      <c r="J8" s="422"/>
      <c r="K8" s="422"/>
      <c r="L8" s="422"/>
      <c r="M8" s="422"/>
      <c r="N8" s="422"/>
      <c r="O8" s="422"/>
      <c r="P8" s="422"/>
      <c r="Q8" s="422"/>
      <c r="R8" s="422"/>
      <c r="S8" s="422"/>
      <c r="T8" s="422"/>
    </row>
    <row r="9" spans="1:37" ht="20.25" customHeight="1" x14ac:dyDescent="0.25">
      <c r="A9" s="55"/>
      <c r="B9" s="351"/>
      <c r="C9" s="54"/>
      <c r="D9" s="346"/>
      <c r="E9" s="347"/>
      <c r="F9" s="346"/>
      <c r="G9" s="347"/>
      <c r="H9" s="348">
        <f>D9+F9+G9</f>
        <v>0</v>
      </c>
      <c r="I9" s="55" t="str">
        <f>X9</f>
        <v>-</v>
      </c>
      <c r="J9" s="329"/>
      <c r="K9" s="97"/>
      <c r="L9" s="60"/>
      <c r="M9" s="60">
        <f>AB9+G9</f>
        <v>0</v>
      </c>
      <c r="N9" s="68">
        <f>+L9+M9+J9</f>
        <v>0</v>
      </c>
      <c r="O9" s="55" t="str">
        <f>AD9</f>
        <v>-</v>
      </c>
      <c r="P9" s="329"/>
      <c r="Q9" s="329"/>
      <c r="R9" s="60"/>
      <c r="S9" s="60">
        <f>AH9+G9</f>
        <v>0</v>
      </c>
      <c r="T9" s="68">
        <f>SUM(P9:S9)</f>
        <v>0</v>
      </c>
      <c r="X9" s="55" t="s">
        <v>140</v>
      </c>
      <c r="Y9" s="68"/>
      <c r="Z9" s="70"/>
      <c r="AA9" s="68"/>
      <c r="AB9" s="70">
        <v>0</v>
      </c>
      <c r="AC9" s="206">
        <f>+AA9+AB9+Y9</f>
        <v>0</v>
      </c>
      <c r="AD9" s="55" t="s">
        <v>140</v>
      </c>
      <c r="AE9" s="68"/>
      <c r="AF9" s="70"/>
      <c r="AG9" s="68"/>
      <c r="AH9" s="68">
        <v>0</v>
      </c>
      <c r="AI9" s="206">
        <f>+AG9+AH9+AE9</f>
        <v>0</v>
      </c>
      <c r="AJ9" s="42"/>
    </row>
    <row r="10" spans="1:37" ht="24.95" customHeight="1" x14ac:dyDescent="0.25">
      <c r="A10" s="55">
        <v>1</v>
      </c>
      <c r="B10" s="351" t="s">
        <v>334</v>
      </c>
      <c r="C10" s="54"/>
      <c r="D10" s="361">
        <v>0</v>
      </c>
      <c r="E10" s="377"/>
      <c r="F10" s="70"/>
      <c r="G10" s="70"/>
      <c r="H10" s="348">
        <f>D10+F10+G10</f>
        <v>0</v>
      </c>
      <c r="I10" s="55"/>
      <c r="J10" s="70"/>
      <c r="K10" s="70"/>
      <c r="L10" s="70"/>
      <c r="M10" s="70"/>
      <c r="N10" s="68">
        <f>(L10+M10+J10)/1000000</f>
        <v>0</v>
      </c>
      <c r="O10" s="55"/>
      <c r="P10" s="70"/>
      <c r="Q10" s="70"/>
      <c r="R10" s="70"/>
      <c r="S10" s="70"/>
      <c r="T10" s="70"/>
      <c r="X10" s="55"/>
      <c r="Y10" s="70"/>
      <c r="Z10" s="70"/>
      <c r="AA10" s="70"/>
      <c r="AB10" s="70"/>
      <c r="AC10" s="353"/>
      <c r="AD10" s="55"/>
      <c r="AE10" s="70"/>
      <c r="AF10" s="70"/>
      <c r="AG10" s="70"/>
      <c r="AH10" s="70"/>
      <c r="AI10" s="206">
        <f>+AG10+AH10+AE10</f>
        <v>0</v>
      </c>
      <c r="AJ10" s="42"/>
    </row>
    <row r="11" spans="1:37" s="430" customFormat="1" ht="21" customHeight="1" x14ac:dyDescent="0.25">
      <c r="A11" s="428"/>
      <c r="B11" s="429"/>
      <c r="C11" s="396"/>
      <c r="D11" s="378"/>
      <c r="E11" s="373"/>
      <c r="F11" s="374"/>
      <c r="G11" s="373"/>
      <c r="H11" s="246">
        <f t="shared" ref="H11:H47" si="0">(D11+F11+G11)</f>
        <v>0</v>
      </c>
      <c r="I11" s="428"/>
      <c r="J11" s="374"/>
      <c r="K11" s="373"/>
      <c r="L11" s="374"/>
      <c r="M11" s="374">
        <f>G11+AB11</f>
        <v>0</v>
      </c>
      <c r="N11" s="374">
        <f t="shared" ref="N11:N37" si="1">(L11+M11+J11)</f>
        <v>0</v>
      </c>
      <c r="O11" s="428"/>
      <c r="P11" s="374"/>
      <c r="Q11" s="373"/>
      <c r="R11" s="374"/>
      <c r="S11" s="374"/>
      <c r="T11" s="374"/>
      <c r="U11" s="356"/>
      <c r="V11" s="438">
        <f>U11-Q11</f>
        <v>0</v>
      </c>
      <c r="W11" s="438"/>
      <c r="X11" s="428"/>
      <c r="Y11" s="463">
        <v>1.1232610000000001</v>
      </c>
      <c r="Z11" s="462">
        <v>13637</v>
      </c>
      <c r="AA11" s="454">
        <v>1.5780815669999999</v>
      </c>
      <c r="AB11" s="462">
        <v>0</v>
      </c>
      <c r="AC11" s="464">
        <v>2.7013425670000002</v>
      </c>
      <c r="AD11" s="428"/>
      <c r="AE11" s="374">
        <v>0.215</v>
      </c>
      <c r="AF11" s="373">
        <v>850</v>
      </c>
      <c r="AG11" s="374">
        <v>0.19788449999999996</v>
      </c>
      <c r="AH11" s="374">
        <v>0</v>
      </c>
      <c r="AI11" s="431">
        <v>0.41288449999999999</v>
      </c>
      <c r="AK11" s="432" t="s">
        <v>352</v>
      </c>
    </row>
    <row r="12" spans="1:37" ht="21" customHeight="1" x14ac:dyDescent="0.25">
      <c r="A12" s="428"/>
      <c r="B12" s="429"/>
      <c r="C12" s="262">
        <v>0</v>
      </c>
      <c r="D12" s="379"/>
      <c r="E12" s="469"/>
      <c r="F12" s="374"/>
      <c r="G12" s="333"/>
      <c r="H12" s="246">
        <f t="shared" si="0"/>
        <v>0</v>
      </c>
      <c r="I12" s="55" t="s">
        <v>140</v>
      </c>
      <c r="J12" s="374"/>
      <c r="K12" s="373"/>
      <c r="L12" s="374"/>
      <c r="M12" s="374">
        <f t="shared" ref="M12:M36" si="2">G12+AB12</f>
        <v>0</v>
      </c>
      <c r="N12" s="68">
        <f t="shared" si="1"/>
        <v>0</v>
      </c>
      <c r="O12" s="55" t="s">
        <v>140</v>
      </c>
      <c r="P12" s="374"/>
      <c r="Q12" s="373"/>
      <c r="R12" s="374"/>
      <c r="S12" s="374"/>
      <c r="T12" s="68"/>
      <c r="U12" s="356"/>
      <c r="V12" s="146">
        <f>U12-Q12</f>
        <v>0</v>
      </c>
      <c r="W12" s="146"/>
      <c r="X12" s="55" t="s">
        <v>140</v>
      </c>
      <c r="Y12" s="463">
        <v>0.40897499999999998</v>
      </c>
      <c r="Z12" s="462">
        <v>7995</v>
      </c>
      <c r="AA12" s="454">
        <v>0.94005936020000014</v>
      </c>
      <c r="AB12" s="462">
        <v>0</v>
      </c>
      <c r="AC12" s="464">
        <v>1.3490343602000001</v>
      </c>
      <c r="AD12" s="55" t="s">
        <v>140</v>
      </c>
      <c r="AE12" s="374">
        <v>0</v>
      </c>
      <c r="AF12" s="373">
        <v>0</v>
      </c>
      <c r="AG12" s="374">
        <v>0</v>
      </c>
      <c r="AH12" s="374">
        <v>0</v>
      </c>
      <c r="AI12" s="206">
        <v>0</v>
      </c>
      <c r="AK12" s="432" t="s">
        <v>352</v>
      </c>
    </row>
    <row r="13" spans="1:37" s="430" customFormat="1" ht="21" customHeight="1" x14ac:dyDescent="0.25">
      <c r="A13" s="428"/>
      <c r="B13" s="429"/>
      <c r="C13" s="396">
        <v>0</v>
      </c>
      <c r="D13" s="378"/>
      <c r="E13" s="373"/>
      <c r="F13" s="374"/>
      <c r="G13" s="373"/>
      <c r="H13" s="246">
        <f t="shared" si="0"/>
        <v>0</v>
      </c>
      <c r="I13" s="428" t="s">
        <v>140</v>
      </c>
      <c r="J13" s="374"/>
      <c r="K13" s="373"/>
      <c r="L13" s="374"/>
      <c r="M13" s="374">
        <f t="shared" si="2"/>
        <v>0</v>
      </c>
      <c r="N13" s="374">
        <f t="shared" si="1"/>
        <v>0</v>
      </c>
      <c r="O13" s="428" t="s">
        <v>140</v>
      </c>
      <c r="P13" s="374"/>
      <c r="Q13" s="373"/>
      <c r="R13" s="374"/>
      <c r="S13" s="374"/>
      <c r="T13" s="374"/>
      <c r="X13" s="428" t="s">
        <v>140</v>
      </c>
      <c r="Y13" s="463">
        <v>7.2702000000000003E-2</v>
      </c>
      <c r="Z13" s="462">
        <v>150</v>
      </c>
      <c r="AA13" s="454">
        <v>3.6860999999999998E-2</v>
      </c>
      <c r="AB13" s="462">
        <v>0</v>
      </c>
      <c r="AC13" s="464">
        <v>0.10956299999999999</v>
      </c>
      <c r="AD13" s="428" t="s">
        <v>140</v>
      </c>
      <c r="AE13" s="374">
        <v>3.6351000000000001E-2</v>
      </c>
      <c r="AF13" s="373">
        <v>150</v>
      </c>
      <c r="AG13" s="374">
        <v>3.6860999999999998E-2</v>
      </c>
      <c r="AH13" s="374">
        <v>0</v>
      </c>
      <c r="AI13" s="431">
        <v>7.3211999999999999E-2</v>
      </c>
      <c r="AK13" s="432" t="s">
        <v>352</v>
      </c>
    </row>
    <row r="14" spans="1:37" s="430" customFormat="1" ht="21" customHeight="1" x14ac:dyDescent="0.25">
      <c r="A14" s="428"/>
      <c r="B14" s="429"/>
      <c r="C14" s="396">
        <v>0</v>
      </c>
      <c r="D14" s="378"/>
      <c r="E14" s="373"/>
      <c r="F14" s="374"/>
      <c r="G14" s="373"/>
      <c r="H14" s="246">
        <f t="shared" si="0"/>
        <v>0</v>
      </c>
      <c r="I14" s="428" t="s">
        <v>140</v>
      </c>
      <c r="J14" s="374"/>
      <c r="K14" s="373"/>
      <c r="L14" s="374"/>
      <c r="M14" s="374">
        <f t="shared" si="2"/>
        <v>0</v>
      </c>
      <c r="N14" s="374">
        <f t="shared" si="1"/>
        <v>0</v>
      </c>
      <c r="O14" s="428" t="s">
        <v>140</v>
      </c>
      <c r="P14" s="374"/>
      <c r="Q14" s="373"/>
      <c r="R14" s="374"/>
      <c r="S14" s="374"/>
      <c r="T14" s="374"/>
      <c r="U14" s="356"/>
      <c r="V14" s="438">
        <f>U14-Q14</f>
        <v>0</v>
      </c>
      <c r="W14" s="438"/>
      <c r="X14" s="428" t="s">
        <v>140</v>
      </c>
      <c r="Y14" s="463">
        <v>0.40754000000000001</v>
      </c>
      <c r="Z14" s="462">
        <v>1315</v>
      </c>
      <c r="AA14" s="454">
        <v>0.26292149999999997</v>
      </c>
      <c r="AB14" s="462">
        <v>0</v>
      </c>
      <c r="AC14" s="464">
        <v>0.67046150000000004</v>
      </c>
      <c r="AD14" s="428" t="s">
        <v>140</v>
      </c>
      <c r="AE14" s="374">
        <v>0.33252999999999999</v>
      </c>
      <c r="AF14" s="373">
        <v>710</v>
      </c>
      <c r="AG14" s="374">
        <v>0.1485165</v>
      </c>
      <c r="AH14" s="374">
        <v>0</v>
      </c>
      <c r="AI14" s="431">
        <v>0.48104649999999999</v>
      </c>
      <c r="AK14" s="432" t="s">
        <v>352</v>
      </c>
    </row>
    <row r="15" spans="1:37" s="430" customFormat="1" ht="21" customHeight="1" x14ac:dyDescent="0.25">
      <c r="A15" s="428"/>
      <c r="B15" s="417"/>
      <c r="C15" s="396"/>
      <c r="D15" s="378"/>
      <c r="E15" s="373"/>
      <c r="F15" s="374"/>
      <c r="G15" s="373"/>
      <c r="H15" s="246">
        <f t="shared" si="0"/>
        <v>0</v>
      </c>
      <c r="I15" s="428"/>
      <c r="J15" s="374"/>
      <c r="K15" s="373"/>
      <c r="L15" s="374"/>
      <c r="M15" s="374">
        <f t="shared" si="2"/>
        <v>0</v>
      </c>
      <c r="N15" s="374">
        <f t="shared" si="1"/>
        <v>0</v>
      </c>
      <c r="O15" s="428"/>
      <c r="P15" s="374"/>
      <c r="Q15" s="373"/>
      <c r="R15" s="374"/>
      <c r="S15" s="374"/>
      <c r="T15" s="374"/>
      <c r="V15" s="438">
        <f>U15-Q15</f>
        <v>0</v>
      </c>
      <c r="W15" s="438"/>
      <c r="X15" s="428"/>
      <c r="Y15" s="463">
        <v>0.42404500000000001</v>
      </c>
      <c r="Z15" s="462">
        <v>1155</v>
      </c>
      <c r="AA15" s="454">
        <v>0.11189226835000002</v>
      </c>
      <c r="AB15" s="462">
        <v>0</v>
      </c>
      <c r="AC15" s="464">
        <v>0.53593726835</v>
      </c>
      <c r="AD15" s="428"/>
      <c r="AE15" s="374">
        <v>0.22499999999999998</v>
      </c>
      <c r="AF15" s="373">
        <v>400</v>
      </c>
      <c r="AG15" s="374">
        <v>7.6701900000000003E-2</v>
      </c>
      <c r="AH15" s="374">
        <v>0</v>
      </c>
      <c r="AI15" s="431">
        <v>0.30170189999999997</v>
      </c>
      <c r="AK15" s="24" t="s">
        <v>357</v>
      </c>
    </row>
    <row r="16" spans="1:37" s="430" customFormat="1" ht="21" customHeight="1" x14ac:dyDescent="0.25">
      <c r="A16" s="428"/>
      <c r="B16" s="417"/>
      <c r="C16" s="396"/>
      <c r="D16" s="378"/>
      <c r="E16" s="373"/>
      <c r="F16" s="374"/>
      <c r="G16" s="373"/>
      <c r="H16" s="246">
        <f t="shared" si="0"/>
        <v>0</v>
      </c>
      <c r="I16" s="428"/>
      <c r="J16" s="374"/>
      <c r="K16" s="373"/>
      <c r="L16" s="374"/>
      <c r="M16" s="374">
        <f t="shared" si="2"/>
        <v>0</v>
      </c>
      <c r="N16" s="374">
        <f t="shared" si="1"/>
        <v>0</v>
      </c>
      <c r="O16" s="428"/>
      <c r="P16" s="374"/>
      <c r="Q16" s="373"/>
      <c r="R16" s="374"/>
      <c r="S16" s="374"/>
      <c r="T16" s="374"/>
      <c r="V16" s="439">
        <f>U16-Q16</f>
        <v>0</v>
      </c>
      <c r="W16" s="439"/>
      <c r="X16" s="428"/>
      <c r="Y16" s="463">
        <v>0.26539000000000001</v>
      </c>
      <c r="Z16" s="462">
        <v>825</v>
      </c>
      <c r="AA16" s="454">
        <v>5.3144639200000003E-2</v>
      </c>
      <c r="AB16" s="462">
        <v>0</v>
      </c>
      <c r="AC16" s="464">
        <v>0.31853463920000002</v>
      </c>
      <c r="AD16" s="428"/>
      <c r="AE16" s="374">
        <v>7.4999999999999997E-2</v>
      </c>
      <c r="AF16" s="373">
        <v>0</v>
      </c>
      <c r="AG16" s="374">
        <v>0</v>
      </c>
      <c r="AH16" s="374">
        <v>0</v>
      </c>
      <c r="AI16" s="431">
        <v>7.4999999999999997E-2</v>
      </c>
      <c r="AK16" s="24" t="s">
        <v>357</v>
      </c>
    </row>
    <row r="17" spans="1:37" s="430" customFormat="1" ht="21" customHeight="1" x14ac:dyDescent="0.25">
      <c r="A17" s="428"/>
      <c r="B17" s="417"/>
      <c r="C17" s="396"/>
      <c r="D17" s="378"/>
      <c r="E17" s="373"/>
      <c r="F17" s="374"/>
      <c r="G17" s="373"/>
      <c r="H17" s="246">
        <f t="shared" si="0"/>
        <v>0</v>
      </c>
      <c r="I17" s="428"/>
      <c r="J17" s="374"/>
      <c r="K17" s="373"/>
      <c r="L17" s="374"/>
      <c r="M17" s="374">
        <f t="shared" si="2"/>
        <v>0</v>
      </c>
      <c r="N17" s="374">
        <f t="shared" si="1"/>
        <v>0</v>
      </c>
      <c r="O17" s="428"/>
      <c r="P17" s="374"/>
      <c r="Q17" s="373"/>
      <c r="R17" s="374"/>
      <c r="S17" s="374"/>
      <c r="T17" s="374"/>
      <c r="X17" s="428"/>
      <c r="Y17" s="463">
        <v>0.12117</v>
      </c>
      <c r="Z17" s="462">
        <v>0</v>
      </c>
      <c r="AA17" s="454">
        <v>0</v>
      </c>
      <c r="AB17" s="462">
        <v>0</v>
      </c>
      <c r="AC17" s="464">
        <v>0.12117</v>
      </c>
      <c r="AD17" s="428"/>
      <c r="AE17" s="374">
        <v>6.0585E-2</v>
      </c>
      <c r="AF17" s="373">
        <v>0</v>
      </c>
      <c r="AG17" s="374">
        <v>0</v>
      </c>
      <c r="AH17" s="374">
        <v>0</v>
      </c>
      <c r="AI17" s="431">
        <v>6.0585E-2</v>
      </c>
      <c r="AK17" s="24" t="s">
        <v>353</v>
      </c>
    </row>
    <row r="18" spans="1:37" s="430" customFormat="1" ht="21" customHeight="1" x14ac:dyDescent="0.25">
      <c r="A18" s="428"/>
      <c r="B18" s="417"/>
      <c r="C18" s="396"/>
      <c r="D18" s="378"/>
      <c r="E18" s="373"/>
      <c r="F18" s="374"/>
      <c r="G18" s="373"/>
      <c r="H18" s="246">
        <f t="shared" si="0"/>
        <v>0</v>
      </c>
      <c r="I18" s="428"/>
      <c r="J18" s="374"/>
      <c r="K18" s="373"/>
      <c r="L18" s="374"/>
      <c r="M18" s="374">
        <f t="shared" si="2"/>
        <v>0</v>
      </c>
      <c r="N18" s="374">
        <f t="shared" si="1"/>
        <v>0</v>
      </c>
      <c r="O18" s="428"/>
      <c r="P18" s="374"/>
      <c r="Q18" s="373"/>
      <c r="R18" s="374"/>
      <c r="S18" s="374"/>
      <c r="T18" s="374"/>
      <c r="X18" s="428"/>
      <c r="Y18" s="463">
        <v>0.17954999999999999</v>
      </c>
      <c r="Z18" s="462">
        <v>0</v>
      </c>
      <c r="AA18" s="454">
        <v>0</v>
      </c>
      <c r="AB18" s="462">
        <v>0</v>
      </c>
      <c r="AC18" s="464">
        <v>0.17954999999999999</v>
      </c>
      <c r="AD18" s="428"/>
      <c r="AE18" s="374">
        <v>8.9774999999999994E-2</v>
      </c>
      <c r="AF18" s="373">
        <v>0</v>
      </c>
      <c r="AG18" s="374">
        <v>0</v>
      </c>
      <c r="AH18" s="374">
        <v>0</v>
      </c>
      <c r="AI18" s="431">
        <v>8.9774999999999994E-2</v>
      </c>
      <c r="AK18" s="24" t="s">
        <v>353</v>
      </c>
    </row>
    <row r="19" spans="1:37" s="430" customFormat="1" ht="21" customHeight="1" x14ac:dyDescent="0.25">
      <c r="A19" s="428"/>
      <c r="B19" s="417"/>
      <c r="C19" s="396"/>
      <c r="D19" s="378"/>
      <c r="E19" s="373"/>
      <c r="F19" s="374"/>
      <c r="G19" s="373"/>
      <c r="H19" s="246">
        <f t="shared" si="0"/>
        <v>0</v>
      </c>
      <c r="I19" s="428"/>
      <c r="J19" s="374"/>
      <c r="K19" s="373"/>
      <c r="L19" s="374"/>
      <c r="M19" s="374">
        <f t="shared" si="2"/>
        <v>0</v>
      </c>
      <c r="N19" s="374">
        <f t="shared" si="1"/>
        <v>0</v>
      </c>
      <c r="O19" s="428"/>
      <c r="P19" s="374"/>
      <c r="Q19" s="373"/>
      <c r="R19" s="374"/>
      <c r="S19" s="374"/>
      <c r="T19" s="374"/>
      <c r="U19" s="356"/>
      <c r="V19" s="438">
        <f t="shared" ref="V19:V24" si="3">U19-Q19</f>
        <v>0</v>
      </c>
      <c r="X19" s="428"/>
      <c r="Y19" s="463">
        <v>0</v>
      </c>
      <c r="Z19" s="462">
        <v>225</v>
      </c>
      <c r="AA19" s="454">
        <v>5.9174999999999998E-2</v>
      </c>
      <c r="AB19" s="462">
        <v>0</v>
      </c>
      <c r="AC19" s="464">
        <v>5.9174999999999998E-2</v>
      </c>
      <c r="AD19" s="428"/>
      <c r="AE19" s="374">
        <v>0</v>
      </c>
      <c r="AF19" s="373">
        <v>0</v>
      </c>
      <c r="AG19" s="374">
        <v>0</v>
      </c>
      <c r="AH19" s="374">
        <v>0</v>
      </c>
      <c r="AI19" s="431">
        <v>0</v>
      </c>
      <c r="AK19" s="24" t="s">
        <v>353</v>
      </c>
    </row>
    <row r="20" spans="1:37" s="430" customFormat="1" ht="21" customHeight="1" x14ac:dyDescent="0.25">
      <c r="A20" s="428"/>
      <c r="B20" s="417"/>
      <c r="C20" s="396"/>
      <c r="D20" s="378"/>
      <c r="E20" s="373"/>
      <c r="F20" s="374"/>
      <c r="G20" s="373"/>
      <c r="H20" s="246">
        <f t="shared" si="0"/>
        <v>0</v>
      </c>
      <c r="I20" s="428"/>
      <c r="J20" s="374"/>
      <c r="K20" s="373"/>
      <c r="L20" s="374"/>
      <c r="M20" s="374">
        <f t="shared" si="2"/>
        <v>0</v>
      </c>
      <c r="N20" s="374">
        <f t="shared" si="1"/>
        <v>0</v>
      </c>
      <c r="O20" s="428"/>
      <c r="P20" s="374"/>
      <c r="Q20" s="373"/>
      <c r="R20" s="374"/>
      <c r="S20" s="374"/>
      <c r="T20" s="374"/>
      <c r="U20" s="356"/>
      <c r="V20" s="438">
        <f t="shared" si="3"/>
        <v>0</v>
      </c>
      <c r="X20" s="428"/>
      <c r="Y20" s="463">
        <v>0</v>
      </c>
      <c r="Z20" s="462">
        <v>2476</v>
      </c>
      <c r="AA20" s="454">
        <v>0</v>
      </c>
      <c r="AB20" s="462">
        <v>0</v>
      </c>
      <c r="AC20" s="464">
        <v>0</v>
      </c>
      <c r="AD20" s="428"/>
      <c r="AE20" s="374">
        <v>0</v>
      </c>
      <c r="AF20" s="373">
        <v>0</v>
      </c>
      <c r="AG20" s="374">
        <v>0</v>
      </c>
      <c r="AH20" s="374">
        <v>0</v>
      </c>
      <c r="AI20" s="431">
        <v>0</v>
      </c>
      <c r="AK20" s="24" t="s">
        <v>353</v>
      </c>
    </row>
    <row r="21" spans="1:37" s="430" customFormat="1" ht="21" customHeight="1" x14ac:dyDescent="0.25">
      <c r="A21" s="428"/>
      <c r="B21" s="417"/>
      <c r="C21" s="396"/>
      <c r="D21" s="378"/>
      <c r="E21" s="373"/>
      <c r="F21" s="374"/>
      <c r="G21" s="373"/>
      <c r="H21" s="246">
        <f t="shared" si="0"/>
        <v>0</v>
      </c>
      <c r="I21" s="428"/>
      <c r="J21" s="374"/>
      <c r="K21" s="373"/>
      <c r="L21" s="374"/>
      <c r="M21" s="374">
        <f>G21+AB21</f>
        <v>0</v>
      </c>
      <c r="N21" s="374">
        <f t="shared" si="1"/>
        <v>0</v>
      </c>
      <c r="O21" s="428"/>
      <c r="P21" s="374"/>
      <c r="Q21" s="373"/>
      <c r="R21" s="374"/>
      <c r="S21" s="374"/>
      <c r="T21" s="374"/>
      <c r="U21" s="356"/>
      <c r="V21" s="438">
        <f t="shared" si="3"/>
        <v>0</v>
      </c>
      <c r="X21" s="428"/>
      <c r="Y21" s="463">
        <v>0</v>
      </c>
      <c r="Z21" s="462">
        <v>230</v>
      </c>
      <c r="AA21" s="454">
        <v>5.6850200000000004E-2</v>
      </c>
      <c r="AB21" s="462">
        <v>0</v>
      </c>
      <c r="AC21" s="464">
        <v>5.6850200000000004E-2</v>
      </c>
      <c r="AD21" s="428"/>
      <c r="AE21" s="374">
        <v>0</v>
      </c>
      <c r="AF21" s="373">
        <v>230</v>
      </c>
      <c r="AG21" s="374">
        <v>5.6850200000000004E-2</v>
      </c>
      <c r="AH21" s="374">
        <v>0</v>
      </c>
      <c r="AI21" s="431">
        <v>5.6850200000000004E-2</v>
      </c>
      <c r="AK21" s="24"/>
    </row>
    <row r="22" spans="1:37" s="430" customFormat="1" ht="21" customHeight="1" x14ac:dyDescent="0.25">
      <c r="A22" s="428"/>
      <c r="B22" s="417"/>
      <c r="C22" s="396"/>
      <c r="D22" s="378"/>
      <c r="E22" s="373"/>
      <c r="F22" s="374"/>
      <c r="G22" s="373"/>
      <c r="H22" s="246">
        <f t="shared" si="0"/>
        <v>0</v>
      </c>
      <c r="I22" s="428"/>
      <c r="J22" s="374"/>
      <c r="K22" s="373"/>
      <c r="L22" s="374"/>
      <c r="M22" s="374">
        <f>G22+AB22</f>
        <v>0</v>
      </c>
      <c r="N22" s="374">
        <f t="shared" si="1"/>
        <v>0</v>
      </c>
      <c r="O22" s="428"/>
      <c r="P22" s="374"/>
      <c r="Q22" s="373"/>
      <c r="R22" s="374"/>
      <c r="S22" s="374"/>
      <c r="T22" s="374"/>
      <c r="U22" s="356"/>
      <c r="V22" s="438">
        <f t="shared" si="3"/>
        <v>0</v>
      </c>
      <c r="X22" s="428"/>
      <c r="Y22" s="463">
        <v>0</v>
      </c>
      <c r="Z22" s="462">
        <v>0</v>
      </c>
      <c r="AA22" s="454">
        <v>0</v>
      </c>
      <c r="AB22" s="462">
        <v>0</v>
      </c>
      <c r="AC22" s="464">
        <v>0</v>
      </c>
      <c r="AD22" s="428"/>
      <c r="AE22" s="374">
        <v>0</v>
      </c>
      <c r="AF22" s="373">
        <v>0</v>
      </c>
      <c r="AG22" s="374">
        <v>0</v>
      </c>
      <c r="AH22" s="374">
        <v>0</v>
      </c>
      <c r="AI22" s="431">
        <v>0</v>
      </c>
      <c r="AK22" s="24"/>
    </row>
    <row r="23" spans="1:37" s="430" customFormat="1" ht="21" customHeight="1" x14ac:dyDescent="0.25">
      <c r="A23" s="428"/>
      <c r="B23" s="417"/>
      <c r="C23" s="396"/>
      <c r="D23" s="378"/>
      <c r="E23" s="373"/>
      <c r="F23" s="374"/>
      <c r="G23" s="373"/>
      <c r="H23" s="246">
        <f t="shared" si="0"/>
        <v>0</v>
      </c>
      <c r="I23" s="428"/>
      <c r="J23" s="374"/>
      <c r="K23" s="373"/>
      <c r="L23" s="374"/>
      <c r="M23" s="374">
        <f>G23+AB23</f>
        <v>0</v>
      </c>
      <c r="N23" s="374">
        <f t="shared" si="1"/>
        <v>0</v>
      </c>
      <c r="O23" s="428"/>
      <c r="P23" s="374"/>
      <c r="Q23" s="373"/>
      <c r="R23" s="374"/>
      <c r="S23" s="374"/>
      <c r="T23" s="374"/>
      <c r="U23" s="356"/>
      <c r="V23" s="438">
        <f t="shared" si="3"/>
        <v>0</v>
      </c>
      <c r="X23" s="428"/>
      <c r="Y23" s="463">
        <v>0</v>
      </c>
      <c r="Z23" s="462">
        <v>70</v>
      </c>
      <c r="AA23" s="454">
        <v>1.72018E-2</v>
      </c>
      <c r="AB23" s="462">
        <v>0</v>
      </c>
      <c r="AC23" s="464">
        <v>1.72018E-2</v>
      </c>
      <c r="AD23" s="428"/>
      <c r="AE23" s="374">
        <v>0</v>
      </c>
      <c r="AF23" s="373">
        <v>70</v>
      </c>
      <c r="AG23" s="374">
        <v>1.72018E-2</v>
      </c>
      <c r="AH23" s="374">
        <v>0</v>
      </c>
      <c r="AI23" s="431">
        <v>1.72018E-2</v>
      </c>
      <c r="AK23" s="24"/>
    </row>
    <row r="24" spans="1:37" s="430" customFormat="1" ht="21" customHeight="1" x14ac:dyDescent="0.25">
      <c r="A24" s="428"/>
      <c r="B24" s="571"/>
      <c r="C24" s="396"/>
      <c r="D24" s="378"/>
      <c r="E24" s="373"/>
      <c r="F24" s="374"/>
      <c r="G24" s="373"/>
      <c r="H24" s="246">
        <f t="shared" si="0"/>
        <v>0</v>
      </c>
      <c r="I24" s="428"/>
      <c r="J24" s="374"/>
      <c r="K24" s="373"/>
      <c r="L24" s="374"/>
      <c r="M24" s="374">
        <f>G24+AB24</f>
        <v>0</v>
      </c>
      <c r="N24" s="374">
        <f t="shared" si="1"/>
        <v>0</v>
      </c>
      <c r="O24" s="428"/>
      <c r="P24" s="374"/>
      <c r="Q24" s="373"/>
      <c r="R24" s="374"/>
      <c r="S24" s="374"/>
      <c r="T24" s="374"/>
      <c r="U24" s="356"/>
      <c r="V24" s="438">
        <f t="shared" si="3"/>
        <v>0</v>
      </c>
      <c r="X24" s="428"/>
      <c r="Y24" s="463">
        <v>0</v>
      </c>
      <c r="Z24" s="462">
        <v>380</v>
      </c>
      <c r="AA24" s="454">
        <v>9.3381199999999998E-2</v>
      </c>
      <c r="AB24" s="462">
        <v>0</v>
      </c>
      <c r="AC24" s="464">
        <v>9.3381199999999998E-2</v>
      </c>
      <c r="AD24" s="428"/>
      <c r="AE24" s="374">
        <v>0</v>
      </c>
      <c r="AF24" s="373">
        <v>380</v>
      </c>
      <c r="AG24" s="374">
        <v>9.3381199999999998E-2</v>
      </c>
      <c r="AH24" s="374">
        <v>0</v>
      </c>
      <c r="AI24" s="431">
        <v>9.3381199999999998E-2</v>
      </c>
      <c r="AK24" s="24" t="s">
        <v>379</v>
      </c>
    </row>
    <row r="25" spans="1:37" s="430" customFormat="1" ht="21" customHeight="1" x14ac:dyDescent="0.25">
      <c r="A25" s="428"/>
      <c r="B25" s="417"/>
      <c r="C25" s="396"/>
      <c r="D25" s="378"/>
      <c r="E25" s="373"/>
      <c r="F25" s="374"/>
      <c r="G25" s="373"/>
      <c r="H25" s="246">
        <f t="shared" si="0"/>
        <v>0</v>
      </c>
      <c r="I25" s="428"/>
      <c r="J25" s="374"/>
      <c r="K25" s="373"/>
      <c r="L25" s="374"/>
      <c r="M25" s="374">
        <f>G25+AB25</f>
        <v>0</v>
      </c>
      <c r="N25" s="374">
        <f t="shared" si="1"/>
        <v>0</v>
      </c>
      <c r="O25" s="428"/>
      <c r="P25" s="374"/>
      <c r="Q25" s="373"/>
      <c r="R25" s="374"/>
      <c r="S25" s="374"/>
      <c r="T25" s="374"/>
      <c r="U25" s="356"/>
      <c r="V25" s="438"/>
      <c r="X25" s="428"/>
      <c r="Y25" s="463">
        <v>9.2285000000000006E-2</v>
      </c>
      <c r="Z25" s="462">
        <v>0</v>
      </c>
      <c r="AA25" s="454">
        <v>0</v>
      </c>
      <c r="AB25" s="462">
        <v>0</v>
      </c>
      <c r="AC25" s="464">
        <v>9.2285000000000006E-2</v>
      </c>
      <c r="AD25" s="428"/>
      <c r="AE25" s="374">
        <v>9.2285000000000006E-2</v>
      </c>
      <c r="AF25" s="373">
        <v>0</v>
      </c>
      <c r="AG25" s="374">
        <v>0</v>
      </c>
      <c r="AH25" s="374">
        <v>0</v>
      </c>
      <c r="AI25" s="431">
        <v>9.2285000000000006E-2</v>
      </c>
      <c r="AK25" s="24"/>
    </row>
    <row r="26" spans="1:37" ht="21" customHeight="1" x14ac:dyDescent="0.25">
      <c r="A26" s="428"/>
      <c r="B26" s="417"/>
      <c r="C26" s="262"/>
      <c r="D26" s="378"/>
      <c r="E26" s="373"/>
      <c r="F26" s="374"/>
      <c r="G26" s="333"/>
      <c r="H26" s="246">
        <f t="shared" si="0"/>
        <v>0</v>
      </c>
      <c r="I26" s="55"/>
      <c r="J26" s="374"/>
      <c r="K26" s="373">
        <f t="shared" ref="K26:L30" si="4">E26+Z26</f>
        <v>0</v>
      </c>
      <c r="L26" s="374">
        <f t="shared" si="4"/>
        <v>0</v>
      </c>
      <c r="M26" s="374">
        <f t="shared" si="2"/>
        <v>0</v>
      </c>
      <c r="N26" s="221">
        <f t="shared" si="1"/>
        <v>0</v>
      </c>
      <c r="O26" s="55"/>
      <c r="P26" s="374"/>
      <c r="Q26" s="373"/>
      <c r="R26" s="374"/>
      <c r="S26" s="374"/>
      <c r="T26" s="221"/>
      <c r="X26" s="55"/>
      <c r="Y26" s="463">
        <v>0.32306400000000002</v>
      </c>
      <c r="Z26" s="462">
        <v>0</v>
      </c>
      <c r="AA26" s="454">
        <v>0</v>
      </c>
      <c r="AB26" s="462">
        <v>0</v>
      </c>
      <c r="AC26" s="464">
        <v>0.32306400000000002</v>
      </c>
      <c r="AD26" s="55"/>
      <c r="AE26" s="374">
        <v>0.16153200000000001</v>
      </c>
      <c r="AF26" s="373">
        <v>0</v>
      </c>
      <c r="AG26" s="374">
        <v>0</v>
      </c>
      <c r="AH26" s="374">
        <v>0</v>
      </c>
      <c r="AI26" s="433">
        <v>0.16153200000000001</v>
      </c>
      <c r="AK26" s="18" t="s">
        <v>344</v>
      </c>
    </row>
    <row r="27" spans="1:37" ht="21" customHeight="1" x14ac:dyDescent="0.25">
      <c r="A27" s="428"/>
      <c r="B27" s="417"/>
      <c r="C27" s="518"/>
      <c r="D27" s="379"/>
      <c r="E27" s="469"/>
      <c r="F27" s="354"/>
      <c r="G27" s="333"/>
      <c r="H27" s="246">
        <f t="shared" si="0"/>
        <v>0</v>
      </c>
      <c r="I27" s="55"/>
      <c r="J27" s="374"/>
      <c r="K27" s="373">
        <f t="shared" si="4"/>
        <v>0</v>
      </c>
      <c r="L27" s="374">
        <f t="shared" si="4"/>
        <v>0</v>
      </c>
      <c r="M27" s="374">
        <f>G27+AB27</f>
        <v>0</v>
      </c>
      <c r="N27" s="221">
        <f t="shared" si="1"/>
        <v>0</v>
      </c>
      <c r="O27" s="55"/>
      <c r="P27" s="374"/>
      <c r="Q27" s="373"/>
      <c r="R27" s="374"/>
      <c r="S27" s="374"/>
      <c r="T27" s="221"/>
      <c r="X27" s="55"/>
      <c r="Y27" s="463">
        <v>0</v>
      </c>
      <c r="Z27" s="462">
        <v>0</v>
      </c>
      <c r="AA27" s="454">
        <v>0</v>
      </c>
      <c r="AB27" s="462">
        <v>0</v>
      </c>
      <c r="AC27" s="464">
        <v>0</v>
      </c>
      <c r="AD27" s="55"/>
      <c r="AE27" s="374">
        <v>0</v>
      </c>
      <c r="AF27" s="373">
        <v>0</v>
      </c>
      <c r="AG27" s="374">
        <v>0</v>
      </c>
      <c r="AH27" s="374">
        <v>0</v>
      </c>
      <c r="AI27" s="433">
        <v>0</v>
      </c>
      <c r="AK27" s="18" t="s">
        <v>344</v>
      </c>
    </row>
    <row r="28" spans="1:37" ht="21" customHeight="1" x14ac:dyDescent="0.25">
      <c r="A28" s="428"/>
      <c r="B28" s="417"/>
      <c r="C28" s="518"/>
      <c r="D28" s="379"/>
      <c r="E28" s="469"/>
      <c r="F28" s="354"/>
      <c r="G28" s="333"/>
      <c r="H28" s="246">
        <f t="shared" si="0"/>
        <v>0</v>
      </c>
      <c r="I28" s="55"/>
      <c r="J28" s="374"/>
      <c r="K28" s="373">
        <f t="shared" si="4"/>
        <v>0</v>
      </c>
      <c r="L28" s="374">
        <f t="shared" si="4"/>
        <v>0</v>
      </c>
      <c r="M28" s="374">
        <f>G28+AB28</f>
        <v>0</v>
      </c>
      <c r="N28" s="221">
        <f t="shared" si="1"/>
        <v>0</v>
      </c>
      <c r="O28" s="55"/>
      <c r="P28" s="374"/>
      <c r="Q28" s="373"/>
      <c r="R28" s="374"/>
      <c r="S28" s="374"/>
      <c r="T28" s="221"/>
      <c r="X28" s="55"/>
      <c r="Y28" s="463">
        <v>0</v>
      </c>
      <c r="Z28" s="462">
        <v>0</v>
      </c>
      <c r="AA28" s="454">
        <v>0</v>
      </c>
      <c r="AB28" s="462">
        <v>0</v>
      </c>
      <c r="AC28" s="464">
        <v>0</v>
      </c>
      <c r="AD28" s="55"/>
      <c r="AE28" s="374">
        <v>0</v>
      </c>
      <c r="AF28" s="373">
        <v>0</v>
      </c>
      <c r="AG28" s="374">
        <v>0</v>
      </c>
      <c r="AH28" s="374">
        <v>0</v>
      </c>
      <c r="AI28" s="433">
        <v>0</v>
      </c>
      <c r="AK28" s="18" t="s">
        <v>344</v>
      </c>
    </row>
    <row r="29" spans="1:37" ht="21" customHeight="1" x14ac:dyDescent="0.25">
      <c r="A29" s="428"/>
      <c r="B29" s="571"/>
      <c r="C29" s="518"/>
      <c r="D29" s="379"/>
      <c r="E29" s="469"/>
      <c r="F29" s="354"/>
      <c r="G29" s="333"/>
      <c r="H29" s="246">
        <f t="shared" si="0"/>
        <v>0</v>
      </c>
      <c r="I29" s="55"/>
      <c r="J29" s="374"/>
      <c r="K29" s="373">
        <f t="shared" si="4"/>
        <v>0</v>
      </c>
      <c r="L29" s="374">
        <f t="shared" si="4"/>
        <v>0</v>
      </c>
      <c r="M29" s="374">
        <f>G29+AB29</f>
        <v>0</v>
      </c>
      <c r="N29" s="221">
        <f t="shared" si="1"/>
        <v>0</v>
      </c>
      <c r="O29" s="55"/>
      <c r="P29" s="374"/>
      <c r="Q29" s="373"/>
      <c r="R29" s="374"/>
      <c r="S29" s="374"/>
      <c r="T29" s="221"/>
      <c r="X29" s="55"/>
      <c r="Y29" s="463">
        <v>0</v>
      </c>
      <c r="Z29" s="462">
        <v>0</v>
      </c>
      <c r="AA29" s="454">
        <v>0</v>
      </c>
      <c r="AB29" s="462">
        <v>0</v>
      </c>
      <c r="AC29" s="464">
        <v>0</v>
      </c>
      <c r="AD29" s="55"/>
      <c r="AE29" s="374">
        <v>0</v>
      </c>
      <c r="AF29" s="373">
        <v>0</v>
      </c>
      <c r="AG29" s="374">
        <v>0</v>
      </c>
      <c r="AH29" s="374">
        <v>0</v>
      </c>
      <c r="AI29" s="433">
        <v>0</v>
      </c>
      <c r="AK29" s="18" t="s">
        <v>344</v>
      </c>
    </row>
    <row r="30" spans="1:37" ht="21" customHeight="1" x14ac:dyDescent="0.25">
      <c r="A30" s="428"/>
      <c r="B30" s="417"/>
      <c r="C30" s="262"/>
      <c r="D30" s="378"/>
      <c r="E30" s="373"/>
      <c r="F30" s="374"/>
      <c r="G30" s="333"/>
      <c r="H30" s="246">
        <f t="shared" si="0"/>
        <v>0</v>
      </c>
      <c r="I30" s="55"/>
      <c r="J30" s="374"/>
      <c r="K30" s="373">
        <f t="shared" si="4"/>
        <v>0</v>
      </c>
      <c r="L30" s="374">
        <f t="shared" si="4"/>
        <v>0</v>
      </c>
      <c r="M30" s="374">
        <f t="shared" si="2"/>
        <v>0</v>
      </c>
      <c r="N30" s="221">
        <f t="shared" si="1"/>
        <v>0</v>
      </c>
      <c r="O30" s="55"/>
      <c r="P30" s="374"/>
      <c r="Q30" s="373"/>
      <c r="R30" s="374"/>
      <c r="S30" s="374"/>
      <c r="T30" s="221"/>
      <c r="X30" s="55"/>
      <c r="Y30" s="463">
        <v>0.91527700000000001</v>
      </c>
      <c r="Z30" s="462">
        <v>0</v>
      </c>
      <c r="AA30" s="454">
        <v>0</v>
      </c>
      <c r="AB30" s="462">
        <v>0</v>
      </c>
      <c r="AC30" s="464">
        <v>0.91527700000000001</v>
      </c>
      <c r="AD30" s="55"/>
      <c r="AE30" s="374">
        <v>0.56659999999999999</v>
      </c>
      <c r="AF30" s="373">
        <v>0</v>
      </c>
      <c r="AG30" s="374">
        <v>0</v>
      </c>
      <c r="AH30" s="374">
        <v>0</v>
      </c>
      <c r="AI30" s="433">
        <v>0.56659999999999999</v>
      </c>
      <c r="AK30" s="18" t="s">
        <v>354</v>
      </c>
    </row>
    <row r="31" spans="1:37" ht="21" customHeight="1" x14ac:dyDescent="0.25">
      <c r="A31" s="428"/>
      <c r="B31" s="417"/>
      <c r="C31" s="262"/>
      <c r="D31" s="378"/>
      <c r="E31" s="373"/>
      <c r="F31" s="374"/>
      <c r="G31" s="333"/>
      <c r="H31" s="246">
        <f t="shared" si="0"/>
        <v>0</v>
      </c>
      <c r="I31" s="55"/>
      <c r="J31" s="374"/>
      <c r="K31" s="373"/>
      <c r="L31" s="374"/>
      <c r="M31" s="374">
        <f t="shared" si="2"/>
        <v>0</v>
      </c>
      <c r="N31" s="221">
        <f t="shared" si="1"/>
        <v>0</v>
      </c>
      <c r="O31" s="55"/>
      <c r="P31" s="374"/>
      <c r="Q31" s="373"/>
      <c r="R31" s="374"/>
      <c r="S31" s="374"/>
      <c r="T31" s="221"/>
      <c r="U31" s="356"/>
      <c r="V31" s="146">
        <f t="shared" ref="V31:V37" si="5">U31-Q31</f>
        <v>0</v>
      </c>
      <c r="X31" s="55"/>
      <c r="Y31" s="463">
        <v>0</v>
      </c>
      <c r="Z31" s="462">
        <v>1070</v>
      </c>
      <c r="AA31" s="454">
        <v>0</v>
      </c>
      <c r="AB31" s="462">
        <v>0</v>
      </c>
      <c r="AC31" s="464">
        <v>0</v>
      </c>
      <c r="AD31" s="55"/>
      <c r="AE31" s="374">
        <v>0</v>
      </c>
      <c r="AF31" s="373">
        <v>0</v>
      </c>
      <c r="AG31" s="374">
        <v>0</v>
      </c>
      <c r="AH31" s="374">
        <v>0</v>
      </c>
      <c r="AI31" s="433">
        <v>0</v>
      </c>
      <c r="AK31" s="18" t="s">
        <v>354</v>
      </c>
    </row>
    <row r="32" spans="1:37" ht="21" customHeight="1" x14ac:dyDescent="0.25">
      <c r="A32" s="428"/>
      <c r="B32" s="417"/>
      <c r="C32" s="262"/>
      <c r="D32" s="378"/>
      <c r="E32" s="373"/>
      <c r="F32" s="374"/>
      <c r="G32" s="333"/>
      <c r="H32" s="246">
        <f t="shared" si="0"/>
        <v>0</v>
      </c>
      <c r="I32" s="55"/>
      <c r="J32" s="374"/>
      <c r="K32" s="373"/>
      <c r="L32" s="374"/>
      <c r="M32" s="374">
        <f t="shared" si="2"/>
        <v>0</v>
      </c>
      <c r="N32" s="221">
        <f t="shared" si="1"/>
        <v>0</v>
      </c>
      <c r="O32" s="55"/>
      <c r="P32" s="374"/>
      <c r="Q32" s="373"/>
      <c r="R32" s="374"/>
      <c r="S32" s="374"/>
      <c r="T32" s="221"/>
      <c r="U32" s="356"/>
      <c r="V32" s="146">
        <f t="shared" si="5"/>
        <v>0</v>
      </c>
      <c r="X32" s="55"/>
      <c r="Y32" s="463">
        <v>0</v>
      </c>
      <c r="Z32" s="462">
        <v>400</v>
      </c>
      <c r="AA32" s="454">
        <v>0.1052</v>
      </c>
      <c r="AB32" s="462">
        <v>0</v>
      </c>
      <c r="AC32" s="464">
        <v>0.1052</v>
      </c>
      <c r="AD32" s="55"/>
      <c r="AE32" s="374">
        <v>0</v>
      </c>
      <c r="AF32" s="373">
        <v>0</v>
      </c>
      <c r="AG32" s="374">
        <v>0</v>
      </c>
      <c r="AH32" s="374">
        <v>0</v>
      </c>
      <c r="AI32" s="433">
        <v>0</v>
      </c>
      <c r="AK32" s="18" t="s">
        <v>354</v>
      </c>
    </row>
    <row r="33" spans="1:40" s="430" customFormat="1" ht="21" customHeight="1" x14ac:dyDescent="0.25">
      <c r="A33" s="428"/>
      <c r="B33" s="571"/>
      <c r="C33" s="396"/>
      <c r="D33" s="378"/>
      <c r="E33" s="373"/>
      <c r="F33" s="374"/>
      <c r="G33" s="333"/>
      <c r="H33" s="246">
        <f t="shared" si="0"/>
        <v>0</v>
      </c>
      <c r="I33" s="55"/>
      <c r="J33" s="374"/>
      <c r="K33" s="373"/>
      <c r="L33" s="374"/>
      <c r="M33" s="374">
        <f t="shared" si="2"/>
        <v>0</v>
      </c>
      <c r="N33" s="221">
        <f t="shared" si="1"/>
        <v>0</v>
      </c>
      <c r="O33" s="55"/>
      <c r="P33" s="374"/>
      <c r="Q33" s="373"/>
      <c r="R33" s="374"/>
      <c r="S33" s="374"/>
      <c r="T33" s="221"/>
      <c r="U33" s="356"/>
      <c r="V33" s="146">
        <f t="shared" si="5"/>
        <v>0</v>
      </c>
      <c r="X33" s="428"/>
      <c r="Y33" s="463">
        <v>0</v>
      </c>
      <c r="Z33" s="462">
        <v>400</v>
      </c>
      <c r="AA33" s="454">
        <v>0.1052</v>
      </c>
      <c r="AB33" s="462">
        <v>0</v>
      </c>
      <c r="AC33" s="464">
        <v>0.1052</v>
      </c>
      <c r="AD33" s="428"/>
      <c r="AE33" s="374">
        <v>0</v>
      </c>
      <c r="AF33" s="373">
        <v>0</v>
      </c>
      <c r="AG33" s="374">
        <v>0</v>
      </c>
      <c r="AH33" s="374">
        <v>0</v>
      </c>
      <c r="AI33" s="433">
        <v>0</v>
      </c>
      <c r="AK33" s="24"/>
    </row>
    <row r="34" spans="1:40" ht="21" customHeight="1" x14ac:dyDescent="0.25">
      <c r="A34" s="428"/>
      <c r="B34" s="417"/>
      <c r="C34" s="262"/>
      <c r="D34" s="378"/>
      <c r="E34" s="373"/>
      <c r="F34" s="374"/>
      <c r="G34" s="333"/>
      <c r="H34" s="246">
        <f t="shared" si="0"/>
        <v>0</v>
      </c>
      <c r="I34" s="55"/>
      <c r="J34" s="374"/>
      <c r="K34" s="373"/>
      <c r="L34" s="374"/>
      <c r="M34" s="374">
        <f t="shared" si="2"/>
        <v>0</v>
      </c>
      <c r="N34" s="221">
        <f t="shared" si="1"/>
        <v>0</v>
      </c>
      <c r="O34" s="55"/>
      <c r="P34" s="374"/>
      <c r="Q34" s="373"/>
      <c r="R34" s="374"/>
      <c r="S34" s="374"/>
      <c r="T34" s="221"/>
      <c r="V34" s="146">
        <f t="shared" si="5"/>
        <v>0</v>
      </c>
      <c r="W34" s="146"/>
      <c r="X34" s="55"/>
      <c r="Y34" s="463">
        <v>0.93288399999999982</v>
      </c>
      <c r="Z34" s="462">
        <v>3795</v>
      </c>
      <c r="AA34" s="454">
        <v>0.5800346836000001</v>
      </c>
      <c r="AB34" s="462">
        <v>0</v>
      </c>
      <c r="AC34" s="464">
        <v>1.5129186835999999</v>
      </c>
      <c r="AD34" s="55"/>
      <c r="AE34" s="374">
        <v>0.53400000000000003</v>
      </c>
      <c r="AF34" s="373">
        <v>2245</v>
      </c>
      <c r="AG34" s="374">
        <v>0.49600870000000002</v>
      </c>
      <c r="AH34" s="374">
        <v>0</v>
      </c>
      <c r="AI34" s="433">
        <v>1.0300087</v>
      </c>
      <c r="AK34" s="18" t="s">
        <v>356</v>
      </c>
    </row>
    <row r="35" spans="1:40" s="430" customFormat="1" ht="21" customHeight="1" x14ac:dyDescent="0.25">
      <c r="A35" s="428"/>
      <c r="B35" s="417"/>
      <c r="C35" s="396"/>
      <c r="D35" s="378"/>
      <c r="E35" s="373"/>
      <c r="F35" s="374"/>
      <c r="G35" s="373"/>
      <c r="H35" s="246">
        <f t="shared" si="0"/>
        <v>0</v>
      </c>
      <c r="I35" s="428"/>
      <c r="J35" s="374"/>
      <c r="K35" s="373"/>
      <c r="L35" s="374"/>
      <c r="M35" s="374">
        <f t="shared" si="2"/>
        <v>0</v>
      </c>
      <c r="N35" s="374">
        <f t="shared" si="1"/>
        <v>0</v>
      </c>
      <c r="O35" s="428"/>
      <c r="P35" s="374"/>
      <c r="Q35" s="373"/>
      <c r="R35" s="374"/>
      <c r="S35" s="374"/>
      <c r="T35" s="374"/>
      <c r="V35" s="146">
        <f t="shared" si="5"/>
        <v>0</v>
      </c>
      <c r="W35" s="146"/>
      <c r="X35" s="428"/>
      <c r="Y35" s="463">
        <v>1.1578839999999999</v>
      </c>
      <c r="Z35" s="462">
        <v>2549</v>
      </c>
      <c r="AA35" s="454">
        <v>0.39918736399999999</v>
      </c>
      <c r="AB35" s="462">
        <v>0</v>
      </c>
      <c r="AC35" s="464">
        <v>1.557071364</v>
      </c>
      <c r="AD35" s="428"/>
      <c r="AE35" s="374">
        <v>0.66900000000000004</v>
      </c>
      <c r="AF35" s="373">
        <v>1560</v>
      </c>
      <c r="AG35" s="374">
        <v>0.34173369999999997</v>
      </c>
      <c r="AH35" s="374">
        <v>0</v>
      </c>
      <c r="AI35" s="431">
        <v>1.0107337000000001</v>
      </c>
      <c r="AK35" s="24" t="s">
        <v>358</v>
      </c>
    </row>
    <row r="36" spans="1:40" s="430" customFormat="1" ht="21" customHeight="1" x14ac:dyDescent="0.25">
      <c r="A36" s="428"/>
      <c r="B36" s="417"/>
      <c r="C36" s="396"/>
      <c r="D36" s="378"/>
      <c r="E36" s="373"/>
      <c r="F36" s="374"/>
      <c r="G36" s="373"/>
      <c r="H36" s="246">
        <f t="shared" si="0"/>
        <v>0</v>
      </c>
      <c r="I36" s="428"/>
      <c r="J36" s="374"/>
      <c r="K36" s="373"/>
      <c r="L36" s="374"/>
      <c r="M36" s="374">
        <f t="shared" si="2"/>
        <v>0</v>
      </c>
      <c r="N36" s="374">
        <f t="shared" si="1"/>
        <v>0</v>
      </c>
      <c r="O36" s="428"/>
      <c r="P36" s="374"/>
      <c r="Q36" s="373"/>
      <c r="R36" s="374"/>
      <c r="S36" s="374"/>
      <c r="T36" s="374"/>
      <c r="V36" s="146">
        <f t="shared" si="5"/>
        <v>0</v>
      </c>
      <c r="W36" s="146"/>
      <c r="X36" s="428"/>
      <c r="Y36" s="463">
        <v>1.1578839999999999</v>
      </c>
      <c r="Z36" s="462">
        <v>2305</v>
      </c>
      <c r="AA36" s="454">
        <v>0.374613364</v>
      </c>
      <c r="AB36" s="462">
        <v>0</v>
      </c>
      <c r="AC36" s="464">
        <v>1.5324973639999999</v>
      </c>
      <c r="AD36" s="428"/>
      <c r="AE36" s="374">
        <v>0.66900000000000004</v>
      </c>
      <c r="AF36" s="373">
        <v>1460</v>
      </c>
      <c r="AG36" s="374">
        <v>0.31715969999999999</v>
      </c>
      <c r="AH36" s="374">
        <v>0</v>
      </c>
      <c r="AI36" s="431">
        <v>0.98615969999999997</v>
      </c>
      <c r="AK36" s="24" t="s">
        <v>358</v>
      </c>
    </row>
    <row r="37" spans="1:40" s="430" customFormat="1" ht="21" customHeight="1" x14ac:dyDescent="0.25">
      <c r="A37" s="428"/>
      <c r="B37" s="571"/>
      <c r="C37" s="396"/>
      <c r="D37" s="378"/>
      <c r="E37" s="373"/>
      <c r="F37" s="374"/>
      <c r="G37" s="373"/>
      <c r="H37" s="246">
        <f t="shared" si="0"/>
        <v>0</v>
      </c>
      <c r="I37" s="428"/>
      <c r="J37" s="374"/>
      <c r="K37" s="373"/>
      <c r="L37" s="374"/>
      <c r="M37" s="374">
        <f>G37+AB37</f>
        <v>0</v>
      </c>
      <c r="N37" s="374">
        <f t="shared" si="1"/>
        <v>0</v>
      </c>
      <c r="O37" s="428"/>
      <c r="P37" s="374"/>
      <c r="Q37" s="373"/>
      <c r="R37" s="374"/>
      <c r="S37" s="374"/>
      <c r="T37" s="374"/>
      <c r="V37" s="146">
        <f t="shared" si="5"/>
        <v>0</v>
      </c>
      <c r="W37" s="146"/>
      <c r="X37" s="428"/>
      <c r="Y37" s="463">
        <v>0</v>
      </c>
      <c r="Z37" s="462">
        <v>1250</v>
      </c>
      <c r="AA37" s="454">
        <v>0.31061250000000001</v>
      </c>
      <c r="AB37" s="462">
        <v>0</v>
      </c>
      <c r="AC37" s="464">
        <v>0.31061250000000001</v>
      </c>
      <c r="AD37" s="428"/>
      <c r="AE37" s="374">
        <v>0</v>
      </c>
      <c r="AF37" s="373">
        <v>1250</v>
      </c>
      <c r="AG37" s="374">
        <v>0.31061250000000001</v>
      </c>
      <c r="AH37" s="374">
        <v>0</v>
      </c>
      <c r="AI37" s="431">
        <v>0.31061250000000001</v>
      </c>
      <c r="AK37" s="24" t="s">
        <v>380</v>
      </c>
    </row>
    <row r="38" spans="1:40" s="430" customFormat="1" ht="21" customHeight="1" x14ac:dyDescent="0.25">
      <c r="A38" s="428"/>
      <c r="B38" s="571"/>
      <c r="C38" s="396"/>
      <c r="D38" s="378">
        <v>0</v>
      </c>
      <c r="E38" s="373">
        <v>0</v>
      </c>
      <c r="F38" s="374">
        <v>0</v>
      </c>
      <c r="G38" s="373">
        <v>0</v>
      </c>
      <c r="H38" s="246">
        <f t="shared" si="0"/>
        <v>0</v>
      </c>
      <c r="I38" s="428"/>
      <c r="J38" s="374"/>
      <c r="K38" s="373"/>
      <c r="L38" s="374"/>
      <c r="M38" s="374"/>
      <c r="N38" s="374"/>
      <c r="O38" s="428"/>
      <c r="P38" s="374"/>
      <c r="Q38" s="373"/>
      <c r="R38" s="374"/>
      <c r="S38" s="374"/>
      <c r="T38" s="374"/>
      <c r="V38" s="146"/>
      <c r="W38" s="146"/>
      <c r="X38" s="428"/>
      <c r="Y38" s="463"/>
      <c r="Z38" s="462"/>
      <c r="AA38" s="454"/>
      <c r="AB38" s="462"/>
      <c r="AC38" s="464"/>
      <c r="AD38" s="428"/>
      <c r="AE38" s="374"/>
      <c r="AF38" s="373"/>
      <c r="AG38" s="374">
        <v>0.26836919999999997</v>
      </c>
      <c r="AH38" s="374">
        <v>0</v>
      </c>
      <c r="AI38" s="431">
        <v>0.26836919999999997</v>
      </c>
      <c r="AK38" s="24" t="s">
        <v>379</v>
      </c>
    </row>
    <row r="39" spans="1:40" s="582" customFormat="1" ht="21" customHeight="1" x14ac:dyDescent="0.25">
      <c r="A39" s="573"/>
      <c r="B39" s="572"/>
      <c r="C39" s="574"/>
      <c r="D39" s="575"/>
      <c r="E39" s="576"/>
      <c r="F39" s="577">
        <f>(235.3*E39)/1000000</f>
        <v>0</v>
      </c>
      <c r="G39" s="578">
        <v>0</v>
      </c>
      <c r="H39" s="579">
        <f t="shared" si="0"/>
        <v>0</v>
      </c>
      <c r="I39" s="580"/>
      <c r="J39" s="577"/>
      <c r="K39" s="576"/>
      <c r="L39" s="577"/>
      <c r="M39" s="577"/>
      <c r="N39" s="581"/>
      <c r="O39" s="580"/>
      <c r="P39" s="577"/>
      <c r="Q39" s="576"/>
      <c r="R39" s="577"/>
      <c r="S39" s="577"/>
      <c r="T39" s="581"/>
      <c r="X39" s="580"/>
      <c r="Y39" s="575"/>
      <c r="Z39" s="576"/>
      <c r="AA39" s="577"/>
      <c r="AB39" s="576"/>
      <c r="AC39" s="583"/>
      <c r="AD39" s="580"/>
      <c r="AE39" s="577"/>
      <c r="AF39" s="576"/>
      <c r="AG39" s="577">
        <v>0.1260974</v>
      </c>
      <c r="AH39" s="577">
        <v>0</v>
      </c>
      <c r="AI39" s="584">
        <v>0.1260974</v>
      </c>
    </row>
    <row r="40" spans="1:40" ht="21" customHeight="1" x14ac:dyDescent="0.25">
      <c r="A40" s="428"/>
      <c r="B40" s="352"/>
      <c r="C40" s="262"/>
      <c r="D40" s="378"/>
      <c r="E40" s="373"/>
      <c r="F40" s="374">
        <f>(245.74*E40)/1000000</f>
        <v>0</v>
      </c>
      <c r="G40" s="333">
        <v>0</v>
      </c>
      <c r="H40" s="246">
        <f t="shared" si="0"/>
        <v>0</v>
      </c>
      <c r="I40" s="55"/>
      <c r="J40" s="374"/>
      <c r="K40" s="373"/>
      <c r="L40" s="374"/>
      <c r="M40" s="374"/>
      <c r="N40" s="221"/>
      <c r="O40" s="55"/>
      <c r="P40" s="374"/>
      <c r="Q40" s="373"/>
      <c r="R40" s="374"/>
      <c r="S40" s="374"/>
      <c r="T40" s="221"/>
      <c r="X40" s="55"/>
      <c r="Y40" s="463"/>
      <c r="Z40" s="462"/>
      <c r="AA40" s="454"/>
      <c r="AB40" s="462"/>
      <c r="AC40" s="464"/>
      <c r="AD40" s="55"/>
      <c r="AE40" s="374"/>
      <c r="AF40" s="373"/>
      <c r="AG40" s="374">
        <v>0</v>
      </c>
      <c r="AH40" s="374">
        <v>0</v>
      </c>
      <c r="AI40" s="206">
        <v>0</v>
      </c>
    </row>
    <row r="41" spans="1:40" ht="21" customHeight="1" x14ac:dyDescent="0.25">
      <c r="A41" s="428"/>
      <c r="B41" s="352"/>
      <c r="C41" s="262"/>
      <c r="D41" s="378"/>
      <c r="E41" s="373"/>
      <c r="F41" s="374">
        <f>(0*E41)/1000000</f>
        <v>0</v>
      </c>
      <c r="G41" s="333">
        <v>0</v>
      </c>
      <c r="H41" s="246">
        <f t="shared" si="0"/>
        <v>0</v>
      </c>
      <c r="I41" s="55"/>
      <c r="J41" s="374"/>
      <c r="K41" s="373"/>
      <c r="L41" s="374"/>
      <c r="M41" s="374"/>
      <c r="N41" s="221"/>
      <c r="O41" s="55"/>
      <c r="P41" s="374"/>
      <c r="Q41" s="373"/>
      <c r="R41" s="374"/>
      <c r="S41" s="374"/>
      <c r="T41" s="221"/>
      <c r="U41" s="356"/>
      <c r="V41" s="146"/>
      <c r="X41" s="314"/>
      <c r="Y41" s="493"/>
      <c r="Z41" s="492"/>
      <c r="AA41" s="497"/>
      <c r="AB41" s="492"/>
      <c r="AC41" s="498"/>
      <c r="AD41" s="314"/>
      <c r="AE41" s="494"/>
      <c r="AF41" s="492"/>
      <c r="AG41" s="494">
        <v>0</v>
      </c>
      <c r="AH41" s="494">
        <v>0</v>
      </c>
      <c r="AI41" s="313">
        <v>0.23899999999999999</v>
      </c>
      <c r="AK41" s="40" t="s">
        <v>355</v>
      </c>
    </row>
    <row r="42" spans="1:40" s="587" customFormat="1" ht="21" customHeight="1" x14ac:dyDescent="0.25">
      <c r="A42" s="573"/>
      <c r="B42" s="585"/>
      <c r="C42" s="586"/>
      <c r="D42" s="575"/>
      <c r="E42" s="576"/>
      <c r="F42" s="577">
        <f>(245.74*E42)/1000000</f>
        <v>0</v>
      </c>
      <c r="G42" s="576">
        <v>0</v>
      </c>
      <c r="H42" s="579">
        <f t="shared" si="0"/>
        <v>0</v>
      </c>
      <c r="I42" s="573"/>
      <c r="J42" s="577"/>
      <c r="K42" s="576"/>
      <c r="L42" s="577"/>
      <c r="M42" s="577"/>
      <c r="N42" s="577"/>
      <c r="O42" s="573"/>
      <c r="P42" s="577"/>
      <c r="Q42" s="576"/>
      <c r="R42" s="577"/>
      <c r="S42" s="577"/>
      <c r="T42" s="577"/>
      <c r="V42" s="588"/>
      <c r="X42" s="573"/>
      <c r="Y42" s="575"/>
      <c r="Z42" s="576"/>
      <c r="AA42" s="577"/>
      <c r="AB42" s="576"/>
      <c r="AC42" s="583"/>
      <c r="AD42" s="573"/>
      <c r="AE42" s="577"/>
      <c r="AF42" s="576"/>
      <c r="AG42" s="577">
        <v>0</v>
      </c>
      <c r="AH42" s="577">
        <v>0</v>
      </c>
      <c r="AI42" s="583">
        <v>0.5</v>
      </c>
      <c r="AK42" s="589" t="s">
        <v>359</v>
      </c>
      <c r="AN42" s="587">
        <v>250000</v>
      </c>
    </row>
    <row r="43" spans="1:40" s="587" customFormat="1" ht="21" customHeight="1" x14ac:dyDescent="0.25">
      <c r="A43" s="573"/>
      <c r="B43" s="585"/>
      <c r="C43" s="586"/>
      <c r="D43" s="575"/>
      <c r="E43" s="576"/>
      <c r="F43" s="577">
        <f>(245.74*E43)/1000000</f>
        <v>0</v>
      </c>
      <c r="G43" s="576">
        <v>0</v>
      </c>
      <c r="H43" s="579">
        <f t="shared" si="0"/>
        <v>0</v>
      </c>
      <c r="I43" s="573"/>
      <c r="J43" s="577"/>
      <c r="K43" s="576"/>
      <c r="L43" s="577"/>
      <c r="M43" s="577"/>
      <c r="N43" s="577"/>
      <c r="O43" s="573"/>
      <c r="P43" s="577"/>
      <c r="Q43" s="576"/>
      <c r="R43" s="577"/>
      <c r="S43" s="577"/>
      <c r="T43" s="577"/>
      <c r="V43" s="588"/>
      <c r="X43" s="573"/>
      <c r="Y43" s="575"/>
      <c r="Z43" s="576"/>
      <c r="AA43" s="577"/>
      <c r="AB43" s="576"/>
      <c r="AC43" s="583"/>
      <c r="AD43" s="573"/>
      <c r="AE43" s="577"/>
      <c r="AF43" s="576"/>
      <c r="AG43" s="577">
        <v>0</v>
      </c>
      <c r="AH43" s="577">
        <v>0</v>
      </c>
      <c r="AI43" s="583">
        <v>0.5</v>
      </c>
      <c r="AK43" s="589" t="s">
        <v>359</v>
      </c>
      <c r="AN43" s="587">
        <v>250000</v>
      </c>
    </row>
    <row r="44" spans="1:40" ht="21" customHeight="1" x14ac:dyDescent="0.25">
      <c r="A44" s="428"/>
      <c r="B44" s="417"/>
      <c r="C44" s="262"/>
      <c r="D44" s="378"/>
      <c r="E44" s="373"/>
      <c r="F44" s="374">
        <f>(245.74*E44)/1000000</f>
        <v>0</v>
      </c>
      <c r="G44" s="333">
        <v>0</v>
      </c>
      <c r="H44" s="246">
        <f t="shared" si="0"/>
        <v>0</v>
      </c>
      <c r="I44" s="55"/>
      <c r="J44" s="374"/>
      <c r="K44" s="373"/>
      <c r="L44" s="374"/>
      <c r="M44" s="374"/>
      <c r="N44" s="221"/>
      <c r="O44" s="55"/>
      <c r="P44" s="374"/>
      <c r="Q44" s="373"/>
      <c r="R44" s="374"/>
      <c r="S44" s="374"/>
      <c r="T44" s="221"/>
      <c r="X44" s="55"/>
      <c r="Y44" s="463"/>
      <c r="Z44" s="462"/>
      <c r="AA44" s="454"/>
      <c r="AB44" s="462"/>
      <c r="AC44" s="464"/>
      <c r="AD44" s="55"/>
      <c r="AE44" s="374"/>
      <c r="AF44" s="373"/>
      <c r="AG44" s="374">
        <v>0</v>
      </c>
      <c r="AH44" s="374">
        <v>0</v>
      </c>
      <c r="AI44" s="433">
        <v>0</v>
      </c>
      <c r="AK44" s="221"/>
    </row>
    <row r="45" spans="1:40" s="582" customFormat="1" ht="21" customHeight="1" x14ac:dyDescent="0.25">
      <c r="A45" s="573"/>
      <c r="B45" s="585"/>
      <c r="C45" s="574"/>
      <c r="D45" s="575"/>
      <c r="E45" s="576"/>
      <c r="F45" s="577"/>
      <c r="G45" s="578">
        <v>0</v>
      </c>
      <c r="H45" s="579">
        <f t="shared" si="0"/>
        <v>0</v>
      </c>
      <c r="I45" s="580"/>
      <c r="J45" s="577"/>
      <c r="K45" s="576"/>
      <c r="L45" s="577"/>
      <c r="M45" s="577"/>
      <c r="N45" s="581"/>
      <c r="O45" s="580"/>
      <c r="P45" s="577"/>
      <c r="Q45" s="576"/>
      <c r="R45" s="577"/>
      <c r="S45" s="577"/>
      <c r="T45" s="581"/>
      <c r="V45" s="590"/>
      <c r="W45" s="590"/>
      <c r="X45" s="580"/>
      <c r="Y45" s="575"/>
      <c r="Z45" s="576"/>
      <c r="AA45" s="577"/>
      <c r="AB45" s="576"/>
      <c r="AC45" s="583"/>
      <c r="AD45" s="580"/>
      <c r="AE45" s="577"/>
      <c r="AF45" s="576"/>
      <c r="AG45" s="577">
        <v>9.3488000000000002E-2</v>
      </c>
      <c r="AH45" s="577">
        <v>0</v>
      </c>
      <c r="AI45" s="584">
        <v>0.138488</v>
      </c>
      <c r="AK45" s="581"/>
    </row>
    <row r="46" spans="1:40" s="582" customFormat="1" ht="21" customHeight="1" x14ac:dyDescent="0.25">
      <c r="A46" s="573"/>
      <c r="B46" s="585"/>
      <c r="C46" s="574"/>
      <c r="D46" s="575"/>
      <c r="E46" s="576"/>
      <c r="F46" s="577"/>
      <c r="G46" s="578">
        <v>0</v>
      </c>
      <c r="H46" s="579">
        <f t="shared" si="0"/>
        <v>0</v>
      </c>
      <c r="I46" s="580"/>
      <c r="J46" s="577"/>
      <c r="K46" s="576"/>
      <c r="L46" s="577"/>
      <c r="M46" s="577"/>
      <c r="N46" s="581"/>
      <c r="O46" s="580"/>
      <c r="P46" s="577"/>
      <c r="Q46" s="576"/>
      <c r="R46" s="577"/>
      <c r="S46" s="577"/>
      <c r="T46" s="581"/>
      <c r="V46" s="590"/>
      <c r="W46" s="590"/>
      <c r="X46" s="580"/>
      <c r="Y46" s="575"/>
      <c r="Z46" s="576"/>
      <c r="AA46" s="577"/>
      <c r="AB46" s="576"/>
      <c r="AC46" s="583"/>
      <c r="AD46" s="580"/>
      <c r="AE46" s="577"/>
      <c r="AF46" s="576"/>
      <c r="AG46" s="577">
        <v>0</v>
      </c>
      <c r="AH46" s="577">
        <v>0</v>
      </c>
      <c r="AI46" s="584">
        <v>4.4999999999999998E-2</v>
      </c>
      <c r="AK46" s="581"/>
    </row>
    <row r="47" spans="1:40" s="582" customFormat="1" ht="21" customHeight="1" x14ac:dyDescent="0.25">
      <c r="A47" s="573">
        <f>A46+1</f>
        <v>1</v>
      </c>
      <c r="B47" s="572" t="s">
        <v>381</v>
      </c>
      <c r="C47" s="574"/>
      <c r="D47" s="575"/>
      <c r="E47" s="576"/>
      <c r="F47" s="577"/>
      <c r="G47" s="578">
        <v>0</v>
      </c>
      <c r="H47" s="579">
        <f t="shared" si="0"/>
        <v>0</v>
      </c>
      <c r="I47" s="580"/>
      <c r="J47" s="577"/>
      <c r="K47" s="576"/>
      <c r="L47" s="577"/>
      <c r="M47" s="577"/>
      <c r="N47" s="581"/>
      <c r="O47" s="580"/>
      <c r="P47" s="577"/>
      <c r="Q47" s="576"/>
      <c r="R47" s="577"/>
      <c r="S47" s="577"/>
      <c r="T47" s="581"/>
      <c r="V47" s="590"/>
      <c r="W47" s="590"/>
      <c r="X47" s="580"/>
      <c r="Y47" s="575"/>
      <c r="Z47" s="576"/>
      <c r="AA47" s="577"/>
      <c r="AB47" s="576"/>
      <c r="AC47" s="583"/>
      <c r="AD47" s="580"/>
      <c r="AE47" s="577"/>
      <c r="AF47" s="576"/>
      <c r="AG47" s="577">
        <v>9.5836000000000005E-2</v>
      </c>
      <c r="AH47" s="577">
        <v>0</v>
      </c>
      <c r="AI47" s="584">
        <v>0.67083599999999999</v>
      </c>
      <c r="AK47" s="581"/>
    </row>
    <row r="48" spans="1:40" ht="8.25" customHeight="1" x14ac:dyDescent="0.25">
      <c r="A48" s="428"/>
      <c r="B48" s="417"/>
      <c r="C48" s="396"/>
      <c r="D48" s="373"/>
      <c r="E48" s="373"/>
      <c r="F48" s="373"/>
      <c r="G48" s="373"/>
      <c r="H48" s="246"/>
      <c r="I48" s="55"/>
      <c r="J48" s="437"/>
      <c r="K48" s="437"/>
      <c r="L48" s="437"/>
      <c r="M48" s="333"/>
      <c r="N48" s="221"/>
      <c r="O48" s="55"/>
      <c r="P48" s="333"/>
      <c r="Q48" s="333"/>
      <c r="R48" s="333"/>
      <c r="S48" s="333"/>
      <c r="T48" s="333"/>
      <c r="X48" s="55"/>
      <c r="Y48" s="462"/>
      <c r="Z48" s="462"/>
      <c r="AA48" s="462"/>
      <c r="AB48" s="462"/>
      <c r="AC48" s="465"/>
      <c r="AD48" s="55"/>
      <c r="AE48" s="333"/>
      <c r="AF48" s="333"/>
      <c r="AG48" s="333"/>
      <c r="AH48" s="333"/>
      <c r="AI48" s="333"/>
    </row>
    <row r="49" spans="1:38" ht="17.25" customHeight="1" x14ac:dyDescent="0.25">
      <c r="A49" s="428"/>
      <c r="B49" s="495" t="s">
        <v>326</v>
      </c>
      <c r="C49" s="396"/>
      <c r="D49" s="373"/>
      <c r="E49" s="373"/>
      <c r="F49" s="373"/>
      <c r="G49" s="373"/>
      <c r="H49" s="246"/>
      <c r="I49" s="55"/>
      <c r="J49" s="437"/>
      <c r="K49" s="437"/>
      <c r="L49" s="437"/>
      <c r="M49" s="70"/>
      <c r="N49" s="68"/>
      <c r="O49" s="55"/>
      <c r="P49" s="70"/>
      <c r="Q49" s="70"/>
      <c r="R49" s="70"/>
      <c r="S49" s="70"/>
      <c r="T49" s="70"/>
      <c r="X49" s="55"/>
      <c r="Y49" s="462"/>
      <c r="Z49" s="462"/>
      <c r="AA49" s="462"/>
      <c r="AB49" s="462"/>
      <c r="AC49" s="465"/>
      <c r="AD49" s="55"/>
      <c r="AE49" s="70"/>
      <c r="AF49" s="70"/>
      <c r="AG49" s="70"/>
      <c r="AH49" s="70"/>
      <c r="AI49" s="70"/>
    </row>
    <row r="50" spans="1:38" ht="24.95" customHeight="1" x14ac:dyDescent="0.25">
      <c r="A50" s="428">
        <v>1</v>
      </c>
      <c r="B50" s="496" t="s">
        <v>332</v>
      </c>
      <c r="C50" s="396"/>
      <c r="D50" s="378">
        <f t="shared" ref="D50:D66" si="6">(0)/1000000</f>
        <v>0</v>
      </c>
      <c r="E50" s="373">
        <v>0</v>
      </c>
      <c r="F50" s="374">
        <v>0</v>
      </c>
      <c r="G50" s="373">
        <v>0</v>
      </c>
      <c r="H50" s="246">
        <f t="shared" ref="H50:H67" si="7">(D50+F50+G50)</f>
        <v>0</v>
      </c>
      <c r="I50" s="380"/>
      <c r="J50" s="374"/>
      <c r="K50" s="373"/>
      <c r="L50" s="373"/>
      <c r="M50" s="374"/>
      <c r="N50" s="68"/>
      <c r="O50" s="55"/>
      <c r="P50" s="68"/>
      <c r="Q50" s="70"/>
      <c r="R50" s="68"/>
      <c r="S50" s="68"/>
      <c r="T50" s="68"/>
      <c r="V50" s="146"/>
      <c r="W50" s="146"/>
      <c r="X50" s="55"/>
      <c r="Y50" s="462"/>
      <c r="Z50" s="462"/>
      <c r="AA50" s="454"/>
      <c r="AB50" s="462"/>
      <c r="AC50" s="464"/>
      <c r="AD50" s="55"/>
      <c r="AE50" s="374"/>
      <c r="AF50" s="373"/>
      <c r="AG50" s="374">
        <v>0.1830301</v>
      </c>
      <c r="AH50" s="374">
        <v>0</v>
      </c>
      <c r="AI50" s="206">
        <v>0.1830301</v>
      </c>
    </row>
    <row r="51" spans="1:38" ht="24.95" customHeight="1" x14ac:dyDescent="0.25">
      <c r="A51" s="428">
        <f>A50+1</f>
        <v>2</v>
      </c>
      <c r="B51" s="517" t="s">
        <v>327</v>
      </c>
      <c r="C51" s="396"/>
      <c r="D51" s="378">
        <f t="shared" si="6"/>
        <v>0</v>
      </c>
      <c r="E51" s="373">
        <v>0</v>
      </c>
      <c r="F51" s="374">
        <f>(245.74*E51)/1000000</f>
        <v>0</v>
      </c>
      <c r="G51" s="373">
        <v>0</v>
      </c>
      <c r="H51" s="246">
        <f t="shared" si="7"/>
        <v>0</v>
      </c>
      <c r="I51" s="380"/>
      <c r="J51" s="374"/>
      <c r="K51" s="373"/>
      <c r="L51" s="373"/>
      <c r="M51" s="374"/>
      <c r="N51" s="68"/>
      <c r="O51" s="55"/>
      <c r="P51" s="68"/>
      <c r="Q51" s="347"/>
      <c r="R51" s="68"/>
      <c r="S51" s="68"/>
      <c r="T51" s="68"/>
      <c r="U51" s="356"/>
      <c r="V51" s="146"/>
      <c r="X51" s="55"/>
      <c r="Y51" s="462"/>
      <c r="Z51" s="462"/>
      <c r="AA51" s="463"/>
      <c r="AB51" s="462"/>
      <c r="AC51" s="464"/>
      <c r="AD51" s="55"/>
      <c r="AE51" s="374"/>
      <c r="AF51" s="373"/>
      <c r="AG51" s="374">
        <v>0</v>
      </c>
      <c r="AH51" s="374">
        <v>0</v>
      </c>
      <c r="AI51" s="206">
        <v>0</v>
      </c>
    </row>
    <row r="52" spans="1:38" ht="24.95" customHeight="1" x14ac:dyDescent="0.25">
      <c r="A52" s="428">
        <f t="shared" ref="A52:A66" si="8">A51+1</f>
        <v>3</v>
      </c>
      <c r="B52" s="496" t="s">
        <v>328</v>
      </c>
      <c r="C52" s="396"/>
      <c r="D52" s="378">
        <f t="shared" si="6"/>
        <v>0</v>
      </c>
      <c r="E52" s="373">
        <v>0</v>
      </c>
      <c r="F52" s="374">
        <v>0</v>
      </c>
      <c r="G52" s="373">
        <v>0</v>
      </c>
      <c r="H52" s="246">
        <f t="shared" si="7"/>
        <v>0</v>
      </c>
      <c r="I52" s="380"/>
      <c r="J52" s="374"/>
      <c r="K52" s="373"/>
      <c r="L52" s="373"/>
      <c r="M52" s="374"/>
      <c r="N52" s="68"/>
      <c r="O52" s="55"/>
      <c r="P52" s="68"/>
      <c r="Q52" s="70"/>
      <c r="R52" s="68"/>
      <c r="S52" s="68"/>
      <c r="T52" s="68"/>
      <c r="V52" s="146"/>
      <c r="X52" s="55"/>
      <c r="Y52" s="462"/>
      <c r="Z52" s="462"/>
      <c r="AA52" s="454"/>
      <c r="AB52" s="462"/>
      <c r="AC52" s="464"/>
      <c r="AD52" s="55"/>
      <c r="AE52" s="374"/>
      <c r="AF52" s="373"/>
      <c r="AG52" s="374">
        <v>0.16103824</v>
      </c>
      <c r="AH52" s="374">
        <v>0</v>
      </c>
      <c r="AI52" s="206">
        <v>0.16103824</v>
      </c>
      <c r="AK52" s="355">
        <f>F52*1000000</f>
        <v>0</v>
      </c>
      <c r="AL52" s="356">
        <v>220</v>
      </c>
    </row>
    <row r="53" spans="1:38" ht="24.95" customHeight="1" x14ac:dyDescent="0.25">
      <c r="A53" s="428">
        <f t="shared" si="8"/>
        <v>4</v>
      </c>
      <c r="B53" s="496" t="s">
        <v>335</v>
      </c>
      <c r="C53" s="396"/>
      <c r="D53" s="378">
        <f t="shared" si="6"/>
        <v>0</v>
      </c>
      <c r="E53" s="373">
        <v>0</v>
      </c>
      <c r="F53" s="374">
        <v>0</v>
      </c>
      <c r="G53" s="373">
        <v>0</v>
      </c>
      <c r="H53" s="246">
        <f t="shared" si="7"/>
        <v>0</v>
      </c>
      <c r="I53" s="380"/>
      <c r="J53" s="374"/>
      <c r="K53" s="373"/>
      <c r="L53" s="373"/>
      <c r="M53" s="374"/>
      <c r="N53" s="68"/>
      <c r="O53" s="55"/>
      <c r="P53" s="68"/>
      <c r="Q53" s="70"/>
      <c r="R53" s="68"/>
      <c r="S53" s="68"/>
      <c r="T53" s="68"/>
      <c r="U53" s="356"/>
      <c r="V53" s="146"/>
      <c r="W53" s="146"/>
      <c r="X53" s="55"/>
      <c r="Y53" s="462"/>
      <c r="Z53" s="462"/>
      <c r="AA53" s="454"/>
      <c r="AB53" s="462"/>
      <c r="AC53" s="464"/>
      <c r="AD53" s="55"/>
      <c r="AE53" s="374"/>
      <c r="AF53" s="373"/>
      <c r="AG53" s="374">
        <v>7.4499480000000007E-2</v>
      </c>
      <c r="AH53" s="374">
        <v>0</v>
      </c>
      <c r="AI53" s="206">
        <v>7.4499480000000007E-2</v>
      </c>
      <c r="AK53" s="355">
        <f>F53*1000000</f>
        <v>0</v>
      </c>
      <c r="AL53" s="356">
        <v>40</v>
      </c>
    </row>
    <row r="54" spans="1:38" ht="24.95" customHeight="1" x14ac:dyDescent="0.25">
      <c r="A54" s="428">
        <f t="shared" si="8"/>
        <v>5</v>
      </c>
      <c r="B54" s="496" t="s">
        <v>370</v>
      </c>
      <c r="C54" s="396"/>
      <c r="D54" s="378">
        <f t="shared" si="6"/>
        <v>0</v>
      </c>
      <c r="E54" s="373">
        <v>0</v>
      </c>
      <c r="F54" s="374">
        <v>0</v>
      </c>
      <c r="G54" s="373">
        <v>0</v>
      </c>
      <c r="H54" s="246">
        <f>(D54+F54+G54)</f>
        <v>0</v>
      </c>
      <c r="I54" s="380"/>
      <c r="J54" s="374"/>
      <c r="K54" s="373"/>
      <c r="L54" s="373"/>
      <c r="M54" s="374"/>
      <c r="N54" s="68"/>
      <c r="O54" s="55"/>
      <c r="P54" s="68"/>
      <c r="Q54" s="70"/>
      <c r="R54" s="68"/>
      <c r="S54" s="68"/>
      <c r="T54" s="68"/>
      <c r="U54" s="356"/>
      <c r="V54" s="146"/>
      <c r="W54" s="146"/>
      <c r="X54" s="55"/>
      <c r="Y54" s="462"/>
      <c r="Z54" s="462"/>
      <c r="AA54" s="454"/>
      <c r="AB54" s="462"/>
      <c r="AC54" s="464"/>
      <c r="AD54" s="55"/>
      <c r="AE54" s="374"/>
      <c r="AF54" s="373"/>
      <c r="AG54" s="374">
        <v>0.15697990000000001</v>
      </c>
      <c r="AH54" s="374">
        <v>0</v>
      </c>
      <c r="AI54" s="206">
        <v>0.15697990000000001</v>
      </c>
      <c r="AK54" s="355">
        <f>F54*1000000</f>
        <v>0</v>
      </c>
      <c r="AL54" s="356">
        <v>40</v>
      </c>
    </row>
    <row r="55" spans="1:38" ht="24.95" customHeight="1" x14ac:dyDescent="0.25">
      <c r="A55" s="428">
        <f t="shared" si="8"/>
        <v>6</v>
      </c>
      <c r="B55" s="496" t="s">
        <v>371</v>
      </c>
      <c r="C55" s="396"/>
      <c r="D55" s="378">
        <f t="shared" si="6"/>
        <v>0</v>
      </c>
      <c r="E55" s="373">
        <v>0</v>
      </c>
      <c r="F55" s="374">
        <v>0</v>
      </c>
      <c r="G55" s="373">
        <v>0</v>
      </c>
      <c r="H55" s="246">
        <f>(D55+F55+G55)</f>
        <v>0</v>
      </c>
      <c r="I55" s="380"/>
      <c r="J55" s="374"/>
      <c r="K55" s="373"/>
      <c r="L55" s="373"/>
      <c r="M55" s="374"/>
      <c r="N55" s="68"/>
      <c r="O55" s="55"/>
      <c r="P55" s="68"/>
      <c r="Q55" s="70"/>
      <c r="R55" s="68"/>
      <c r="S55" s="68"/>
      <c r="T55" s="68"/>
      <c r="U55" s="356"/>
      <c r="V55" s="146"/>
      <c r="W55" s="146"/>
      <c r="X55" s="55"/>
      <c r="Y55" s="462"/>
      <c r="Z55" s="462"/>
      <c r="AA55" s="454"/>
      <c r="AB55" s="462"/>
      <c r="AC55" s="464"/>
      <c r="AD55" s="55"/>
      <c r="AE55" s="374"/>
      <c r="AF55" s="373"/>
      <c r="AG55" s="374">
        <v>7.5415449999999995E-2</v>
      </c>
      <c r="AH55" s="374">
        <v>0</v>
      </c>
      <c r="AI55" s="206">
        <v>7.5415449999999995E-2</v>
      </c>
      <c r="AK55" s="355">
        <f>F55*1000000</f>
        <v>0</v>
      </c>
      <c r="AL55" s="356">
        <v>40</v>
      </c>
    </row>
    <row r="56" spans="1:38" ht="24.95" customHeight="1" x14ac:dyDescent="0.25">
      <c r="A56" s="428">
        <f t="shared" si="8"/>
        <v>7</v>
      </c>
      <c r="B56" s="496" t="s">
        <v>337</v>
      </c>
      <c r="C56" s="396"/>
      <c r="D56" s="378">
        <f t="shared" si="6"/>
        <v>0</v>
      </c>
      <c r="E56" s="373"/>
      <c r="F56" s="374">
        <f>(235.3*E56)/1000000</f>
        <v>0</v>
      </c>
      <c r="G56" s="373">
        <v>0</v>
      </c>
      <c r="H56" s="246">
        <f t="shared" si="7"/>
        <v>0</v>
      </c>
      <c r="I56" s="380"/>
      <c r="J56" s="374"/>
      <c r="K56" s="373"/>
      <c r="L56" s="373"/>
      <c r="M56" s="374"/>
      <c r="N56" s="68"/>
      <c r="O56" s="55"/>
      <c r="P56" s="68"/>
      <c r="Q56" s="70"/>
      <c r="R56" s="68"/>
      <c r="S56" s="68"/>
      <c r="T56" s="68"/>
      <c r="V56" s="146"/>
      <c r="W56" s="146"/>
      <c r="X56" s="55"/>
      <c r="Y56" s="462"/>
      <c r="Z56" s="462"/>
      <c r="AA56" s="454"/>
      <c r="AB56" s="462"/>
      <c r="AC56" s="464"/>
      <c r="AD56" s="55"/>
      <c r="AE56" s="374"/>
      <c r="AF56" s="373"/>
      <c r="AG56" s="374">
        <v>0</v>
      </c>
      <c r="AH56" s="374">
        <v>0</v>
      </c>
      <c r="AI56" s="206">
        <v>0</v>
      </c>
      <c r="AK56" s="355">
        <f>F56*1000000</f>
        <v>0</v>
      </c>
      <c r="AL56" s="356">
        <v>210</v>
      </c>
    </row>
    <row r="57" spans="1:38" ht="24.95" customHeight="1" x14ac:dyDescent="0.25">
      <c r="A57" s="428">
        <f t="shared" si="8"/>
        <v>8</v>
      </c>
      <c r="B57" s="496" t="s">
        <v>373</v>
      </c>
      <c r="C57" s="396"/>
      <c r="D57" s="378">
        <f t="shared" si="6"/>
        <v>0</v>
      </c>
      <c r="E57" s="373"/>
      <c r="F57" s="374">
        <v>0</v>
      </c>
      <c r="G57" s="373">
        <v>0</v>
      </c>
      <c r="H57" s="246">
        <f t="shared" si="7"/>
        <v>0</v>
      </c>
      <c r="I57" s="380"/>
      <c r="J57" s="374"/>
      <c r="K57" s="373"/>
      <c r="L57" s="373"/>
      <c r="M57" s="374"/>
      <c r="N57" s="68"/>
      <c r="O57" s="55"/>
      <c r="P57" s="68"/>
      <c r="Q57" s="70"/>
      <c r="R57" s="68"/>
      <c r="S57" s="68"/>
      <c r="T57" s="68"/>
      <c r="X57" s="55"/>
      <c r="Y57" s="462"/>
      <c r="Z57" s="462"/>
      <c r="AA57" s="454"/>
      <c r="AB57" s="462"/>
      <c r="AC57" s="464"/>
      <c r="AD57" s="55"/>
      <c r="AE57" s="374"/>
      <c r="AF57" s="373"/>
      <c r="AG57" s="374">
        <v>1.7150600000000002E-2</v>
      </c>
      <c r="AH57" s="374">
        <v>0</v>
      </c>
      <c r="AI57" s="206">
        <v>1.7150600000000002E-2</v>
      </c>
    </row>
    <row r="58" spans="1:38" ht="24.95" customHeight="1" x14ac:dyDescent="0.25">
      <c r="A58" s="428">
        <f t="shared" si="8"/>
        <v>9</v>
      </c>
      <c r="B58" s="496" t="s">
        <v>374</v>
      </c>
      <c r="C58" s="396"/>
      <c r="D58" s="378">
        <f t="shared" si="6"/>
        <v>0</v>
      </c>
      <c r="E58" s="373"/>
      <c r="F58" s="374">
        <v>0</v>
      </c>
      <c r="G58" s="373">
        <v>0</v>
      </c>
      <c r="H58" s="246">
        <f>(D58+F58+G58)</f>
        <v>0</v>
      </c>
      <c r="I58" s="380"/>
      <c r="J58" s="374"/>
      <c r="K58" s="373"/>
      <c r="L58" s="373"/>
      <c r="M58" s="374"/>
      <c r="N58" s="68"/>
      <c r="O58" s="55"/>
      <c r="P58" s="68"/>
      <c r="Q58" s="70"/>
      <c r="R58" s="68"/>
      <c r="S58" s="68"/>
      <c r="T58" s="68"/>
      <c r="V58" s="146"/>
      <c r="W58" s="349"/>
      <c r="X58" s="55"/>
      <c r="Y58" s="462"/>
      <c r="Z58" s="462"/>
      <c r="AA58" s="454"/>
      <c r="AB58" s="462"/>
      <c r="AC58" s="464"/>
      <c r="AD58" s="55"/>
      <c r="AE58" s="374"/>
      <c r="AF58" s="373"/>
      <c r="AG58" s="374">
        <v>2.9232500000000002E-2</v>
      </c>
      <c r="AH58" s="374">
        <v>0</v>
      </c>
      <c r="AI58" s="206">
        <v>2.9232500000000002E-2</v>
      </c>
    </row>
    <row r="59" spans="1:38" ht="24.95" customHeight="1" x14ac:dyDescent="0.25">
      <c r="A59" s="428">
        <f t="shared" si="8"/>
        <v>10</v>
      </c>
      <c r="B59" s="517" t="s">
        <v>329</v>
      </c>
      <c r="C59" s="396"/>
      <c r="D59" s="378">
        <f t="shared" si="6"/>
        <v>0</v>
      </c>
      <c r="E59" s="373"/>
      <c r="F59" s="374">
        <v>0.16000400000000001</v>
      </c>
      <c r="G59" s="373">
        <v>0</v>
      </c>
      <c r="H59" s="246">
        <f t="shared" si="7"/>
        <v>0.16000400000000001</v>
      </c>
      <c r="I59" s="380"/>
      <c r="J59" s="374"/>
      <c r="K59" s="373"/>
      <c r="L59" s="373"/>
      <c r="M59" s="374"/>
      <c r="N59" s="68"/>
      <c r="O59" s="55"/>
      <c r="P59" s="68"/>
      <c r="Q59" s="70"/>
      <c r="R59" s="68"/>
      <c r="S59" s="68"/>
      <c r="T59" s="68"/>
      <c r="U59" s="356"/>
      <c r="V59" s="146"/>
      <c r="W59" s="146"/>
      <c r="X59" s="55"/>
      <c r="Y59" s="462"/>
      <c r="Z59" s="462"/>
      <c r="AA59" s="454"/>
      <c r="AB59" s="462"/>
      <c r="AC59" s="464"/>
      <c r="AD59" s="55"/>
      <c r="AE59" s="374"/>
      <c r="AF59" s="373"/>
      <c r="AG59" s="374">
        <v>0.29312689999999997</v>
      </c>
      <c r="AH59" s="374">
        <v>0</v>
      </c>
      <c r="AI59" s="206">
        <v>0.29312689999999997</v>
      </c>
    </row>
    <row r="60" spans="1:38" ht="24.95" customHeight="1" x14ac:dyDescent="0.25">
      <c r="A60" s="428">
        <f t="shared" si="8"/>
        <v>11</v>
      </c>
      <c r="B60" s="496" t="s">
        <v>330</v>
      </c>
      <c r="C60" s="396"/>
      <c r="D60" s="378">
        <f t="shared" si="6"/>
        <v>0</v>
      </c>
      <c r="E60" s="373"/>
      <c r="F60" s="374">
        <f>(245.74*E60)/1000000</f>
        <v>0</v>
      </c>
      <c r="G60" s="373">
        <v>0</v>
      </c>
      <c r="H60" s="246">
        <f t="shared" si="7"/>
        <v>0</v>
      </c>
      <c r="I60" s="55"/>
      <c r="J60" s="374"/>
      <c r="K60" s="373"/>
      <c r="L60" s="373"/>
      <c r="M60" s="374"/>
      <c r="N60" s="68"/>
      <c r="O60" s="55"/>
      <c r="P60" s="68"/>
      <c r="Q60" s="70"/>
      <c r="R60" s="68"/>
      <c r="S60" s="68"/>
      <c r="T60" s="68"/>
      <c r="U60" s="356"/>
      <c r="V60" s="146"/>
      <c r="W60" s="146"/>
      <c r="X60" s="55"/>
      <c r="Y60" s="462"/>
      <c r="Z60" s="462"/>
      <c r="AA60" s="454"/>
      <c r="AB60" s="462"/>
      <c r="AC60" s="464"/>
      <c r="AD60" s="55"/>
      <c r="AE60" s="374"/>
      <c r="AF60" s="373"/>
      <c r="AG60" s="374">
        <v>0</v>
      </c>
      <c r="AH60" s="374">
        <v>0</v>
      </c>
      <c r="AI60" s="206">
        <v>0</v>
      </c>
    </row>
    <row r="61" spans="1:38" ht="24.95" customHeight="1" x14ac:dyDescent="0.25">
      <c r="A61" s="428"/>
      <c r="B61" s="517" t="s">
        <v>393</v>
      </c>
      <c r="C61" s="396"/>
      <c r="D61" s="378"/>
      <c r="E61" s="373"/>
      <c r="F61" s="374">
        <v>0.21177000000000001</v>
      </c>
      <c r="G61" s="373"/>
      <c r="H61" s="246">
        <f t="shared" si="7"/>
        <v>0.21177000000000001</v>
      </c>
      <c r="I61" s="55"/>
      <c r="J61" s="374"/>
      <c r="K61" s="373"/>
      <c r="L61" s="373"/>
      <c r="M61" s="374"/>
      <c r="N61" s="68"/>
      <c r="O61" s="55"/>
      <c r="P61" s="68"/>
      <c r="Q61" s="70"/>
      <c r="R61" s="68"/>
      <c r="S61" s="68"/>
      <c r="T61" s="68"/>
      <c r="U61" s="356"/>
      <c r="V61" s="146"/>
      <c r="W61" s="146"/>
      <c r="X61" s="55"/>
      <c r="Y61" s="462"/>
      <c r="Z61" s="462"/>
      <c r="AA61" s="454"/>
      <c r="AB61" s="462"/>
      <c r="AC61" s="464"/>
      <c r="AD61" s="55"/>
      <c r="AE61" s="374"/>
      <c r="AF61" s="373"/>
      <c r="AG61" s="374"/>
      <c r="AH61" s="374"/>
      <c r="AI61" s="206"/>
    </row>
    <row r="62" spans="1:38" ht="24.95" customHeight="1" x14ac:dyDescent="0.25">
      <c r="A62" s="428">
        <f>A60+1</f>
        <v>12</v>
      </c>
      <c r="B62" s="496" t="s">
        <v>331</v>
      </c>
      <c r="C62" s="396"/>
      <c r="D62" s="378">
        <f t="shared" si="6"/>
        <v>0</v>
      </c>
      <c r="E62" s="373"/>
      <c r="F62" s="374">
        <f>(245.74*E62)/1000000</f>
        <v>0</v>
      </c>
      <c r="G62" s="373">
        <v>0</v>
      </c>
      <c r="H62" s="246">
        <f t="shared" si="7"/>
        <v>0</v>
      </c>
      <c r="I62" s="55"/>
      <c r="J62" s="374"/>
      <c r="K62" s="373"/>
      <c r="L62" s="373"/>
      <c r="M62" s="374"/>
      <c r="N62" s="68"/>
      <c r="O62" s="55"/>
      <c r="P62" s="68"/>
      <c r="Q62" s="70"/>
      <c r="R62" s="68"/>
      <c r="S62" s="68"/>
      <c r="T62" s="68"/>
      <c r="U62" s="356"/>
      <c r="V62" s="146"/>
      <c r="W62" s="146"/>
      <c r="X62" s="55"/>
      <c r="Y62" s="462"/>
      <c r="Z62" s="462"/>
      <c r="AA62" s="454"/>
      <c r="AB62" s="462"/>
      <c r="AC62" s="464"/>
      <c r="AD62" s="55"/>
      <c r="AE62" s="374"/>
      <c r="AF62" s="373"/>
      <c r="AG62" s="374">
        <v>0</v>
      </c>
      <c r="AH62" s="374">
        <v>0</v>
      </c>
      <c r="AI62" s="206">
        <v>0</v>
      </c>
    </row>
    <row r="63" spans="1:38" ht="24.95" customHeight="1" x14ac:dyDescent="0.25">
      <c r="A63" s="428">
        <f t="shared" si="8"/>
        <v>13</v>
      </c>
      <c r="B63" s="496" t="s">
        <v>333</v>
      </c>
      <c r="C63" s="396"/>
      <c r="D63" s="378">
        <f t="shared" si="6"/>
        <v>0</v>
      </c>
      <c r="E63" s="373">
        <f>0</f>
        <v>0</v>
      </c>
      <c r="F63" s="374">
        <f>(245.74*E63)/1000000</f>
        <v>0</v>
      </c>
      <c r="G63" s="373">
        <v>0</v>
      </c>
      <c r="H63" s="246">
        <f t="shared" si="7"/>
        <v>0</v>
      </c>
      <c r="I63" s="55"/>
      <c r="J63" s="374"/>
      <c r="K63" s="373"/>
      <c r="L63" s="373"/>
      <c r="M63" s="374"/>
      <c r="N63" s="68"/>
      <c r="O63" s="55"/>
      <c r="P63" s="68"/>
      <c r="Q63" s="70"/>
      <c r="R63" s="68"/>
      <c r="S63" s="68"/>
      <c r="T63" s="68"/>
      <c r="X63" s="55"/>
      <c r="Y63" s="462"/>
      <c r="Z63" s="462"/>
      <c r="AA63" s="454"/>
      <c r="AB63" s="462"/>
      <c r="AC63" s="464"/>
      <c r="AD63" s="55"/>
      <c r="AE63" s="374"/>
      <c r="AF63" s="373"/>
      <c r="AG63" s="374">
        <v>0</v>
      </c>
      <c r="AH63" s="374">
        <v>0</v>
      </c>
      <c r="AI63" s="206">
        <v>0</v>
      </c>
    </row>
    <row r="64" spans="1:38" ht="24.95" customHeight="1" x14ac:dyDescent="0.25">
      <c r="A64" s="428">
        <f t="shared" si="8"/>
        <v>14</v>
      </c>
      <c r="B64" s="496" t="s">
        <v>375</v>
      </c>
      <c r="C64" s="396"/>
      <c r="D64" s="378">
        <f t="shared" si="6"/>
        <v>0</v>
      </c>
      <c r="E64" s="373">
        <v>0</v>
      </c>
      <c r="F64" s="374">
        <v>0</v>
      </c>
      <c r="G64" s="373">
        <v>0</v>
      </c>
      <c r="H64" s="246">
        <f>(D64+F64+G64)</f>
        <v>0</v>
      </c>
      <c r="I64" s="55"/>
      <c r="J64" s="374"/>
      <c r="K64" s="373"/>
      <c r="L64" s="373"/>
      <c r="M64" s="374"/>
      <c r="N64" s="68"/>
      <c r="O64" s="55"/>
      <c r="P64" s="68"/>
      <c r="Q64" s="70"/>
      <c r="R64" s="68"/>
      <c r="S64" s="68"/>
      <c r="T64" s="68"/>
      <c r="X64" s="55"/>
      <c r="Y64" s="462"/>
      <c r="Z64" s="462"/>
      <c r="AA64" s="454"/>
      <c r="AB64" s="462"/>
      <c r="AC64" s="464"/>
      <c r="AD64" s="55"/>
      <c r="AE64" s="374"/>
      <c r="AF64" s="373"/>
      <c r="AG64" s="374">
        <v>3.9758399999999992E-2</v>
      </c>
      <c r="AH64" s="374">
        <v>0</v>
      </c>
      <c r="AI64" s="206">
        <v>3.9758399999999992E-2</v>
      </c>
      <c r="AJ64" s="40" t="s">
        <v>377</v>
      </c>
      <c r="AK64" s="471" t="s">
        <v>376</v>
      </c>
    </row>
    <row r="65" spans="1:35" ht="24.95" customHeight="1" x14ac:dyDescent="0.25">
      <c r="A65" s="428">
        <f t="shared" si="8"/>
        <v>15</v>
      </c>
      <c r="B65" s="496" t="s">
        <v>372</v>
      </c>
      <c r="C65" s="396"/>
      <c r="D65" s="378">
        <f t="shared" si="6"/>
        <v>0</v>
      </c>
      <c r="E65" s="373"/>
      <c r="F65" s="374"/>
      <c r="G65" s="373">
        <v>0</v>
      </c>
      <c r="H65" s="246">
        <f t="shared" si="7"/>
        <v>0</v>
      </c>
      <c r="I65" s="55"/>
      <c r="J65" s="374"/>
      <c r="K65" s="373"/>
      <c r="L65" s="373"/>
      <c r="M65" s="374"/>
      <c r="N65" s="68"/>
      <c r="O65" s="55"/>
      <c r="P65" s="68"/>
      <c r="Q65" s="70"/>
      <c r="R65" s="68"/>
      <c r="S65" s="68"/>
      <c r="T65" s="68"/>
      <c r="X65" s="55"/>
      <c r="Y65" s="462"/>
      <c r="Z65" s="462"/>
      <c r="AA65" s="454"/>
      <c r="AB65" s="462"/>
      <c r="AC65" s="464"/>
      <c r="AD65" s="55"/>
      <c r="AE65" s="374"/>
      <c r="AF65" s="373"/>
      <c r="AG65" s="374">
        <v>0</v>
      </c>
      <c r="AH65" s="374">
        <v>0</v>
      </c>
      <c r="AI65" s="206">
        <v>0</v>
      </c>
    </row>
    <row r="66" spans="1:35" ht="24.95" customHeight="1" x14ac:dyDescent="0.25">
      <c r="A66" s="428">
        <f t="shared" si="8"/>
        <v>16</v>
      </c>
      <c r="B66" s="517" t="s">
        <v>369</v>
      </c>
      <c r="C66" s="396"/>
      <c r="D66" s="378">
        <f t="shared" si="6"/>
        <v>0</v>
      </c>
      <c r="E66" s="373">
        <v>1090</v>
      </c>
      <c r="F66" s="374">
        <f>(235.3*E66)/1000000</f>
        <v>0.25647700000000001</v>
      </c>
      <c r="G66" s="373">
        <v>0</v>
      </c>
      <c r="H66" s="246">
        <f>(D66+F66+G66)</f>
        <v>0.25647700000000001</v>
      </c>
      <c r="I66" s="380"/>
      <c r="J66" s="374"/>
      <c r="K66" s="373"/>
      <c r="L66" s="373"/>
      <c r="M66" s="374"/>
      <c r="N66" s="68"/>
      <c r="O66" s="55"/>
      <c r="P66" s="68"/>
      <c r="Q66" s="70"/>
      <c r="R66" s="68"/>
      <c r="S66" s="68"/>
      <c r="T66" s="68"/>
      <c r="U66" s="356"/>
      <c r="V66" s="146"/>
      <c r="W66" s="146"/>
      <c r="X66" s="55"/>
      <c r="Y66" s="462"/>
      <c r="Z66" s="462"/>
      <c r="AA66" s="454"/>
      <c r="AB66" s="462"/>
      <c r="AC66" s="464"/>
      <c r="AD66" s="55"/>
      <c r="AE66" s="374"/>
      <c r="AF66" s="373"/>
      <c r="AG66" s="374">
        <v>0</v>
      </c>
      <c r="AH66" s="374">
        <v>0</v>
      </c>
      <c r="AI66" s="206">
        <v>0</v>
      </c>
    </row>
    <row r="67" spans="1:35" ht="21" customHeight="1" x14ac:dyDescent="0.25">
      <c r="A67" s="55"/>
      <c r="B67" s="214"/>
      <c r="C67" s="215"/>
      <c r="D67" s="70">
        <v>0</v>
      </c>
      <c r="E67" s="216">
        <v>0</v>
      </c>
      <c r="F67" s="68">
        <f>(141.91*E67)/1000000</f>
        <v>0</v>
      </c>
      <c r="G67" s="70">
        <v>0</v>
      </c>
      <c r="H67" s="348">
        <f t="shared" si="7"/>
        <v>0</v>
      </c>
      <c r="I67" s="217"/>
      <c r="J67" s="374"/>
      <c r="K67" s="373"/>
      <c r="L67" s="373"/>
      <c r="M67" s="374"/>
      <c r="N67" s="68"/>
      <c r="O67" s="218"/>
      <c r="P67" s="216"/>
      <c r="Q67" s="216"/>
      <c r="R67" s="216"/>
      <c r="S67" s="216"/>
      <c r="T67" s="216"/>
      <c r="X67" s="217"/>
      <c r="Y67" s="70"/>
      <c r="Z67" s="216"/>
      <c r="AA67" s="68"/>
      <c r="AB67" s="70"/>
      <c r="AC67" s="464"/>
      <c r="AD67" s="218"/>
      <c r="AE67" s="216"/>
      <c r="AF67" s="216"/>
      <c r="AG67" s="216"/>
      <c r="AH67" s="216"/>
      <c r="AI67" s="206"/>
    </row>
    <row r="68" spans="1:35" ht="33.75" customHeight="1" x14ac:dyDescent="0.25">
      <c r="A68" s="1190" t="s">
        <v>148</v>
      </c>
      <c r="B68" s="1190"/>
      <c r="C68" s="1190"/>
      <c r="D68" s="485">
        <f>SUM(D11:D67)</f>
        <v>0</v>
      </c>
      <c r="E68" s="330">
        <f>SUM(E11:E67)</f>
        <v>1090</v>
      </c>
      <c r="F68" s="192">
        <f>SUM(F11:F67)</f>
        <v>0.62825100000000011</v>
      </c>
      <c r="G68" s="192">
        <f>SUM(G11:G67)</f>
        <v>0</v>
      </c>
      <c r="H68" s="192">
        <f>SUM(H11:H67)</f>
        <v>0.62825100000000011</v>
      </c>
      <c r="I68" s="192"/>
      <c r="J68" s="488"/>
      <c r="K68" s="489"/>
      <c r="L68" s="490"/>
      <c r="M68" s="418"/>
      <c r="N68" s="487"/>
      <c r="O68" s="192"/>
      <c r="P68" s="486"/>
      <c r="Q68" s="330"/>
      <c r="R68" s="319"/>
      <c r="S68" s="319"/>
      <c r="T68" s="319"/>
      <c r="X68" s="192"/>
      <c r="Y68" s="192"/>
      <c r="Z68" s="330"/>
      <c r="AA68" s="319"/>
      <c r="AB68" s="192"/>
      <c r="AC68" s="192"/>
      <c r="AD68" s="192"/>
      <c r="AE68" s="192"/>
      <c r="AF68" s="330"/>
      <c r="AG68" s="192">
        <v>3.7069338699999994</v>
      </c>
      <c r="AH68" s="192">
        <v>0</v>
      </c>
      <c r="AI68" s="192">
        <v>9.3375918700000025</v>
      </c>
    </row>
  </sheetData>
  <autoFilter ref="D7:H68"/>
  <mergeCells count="11">
    <mergeCell ref="X6:AC6"/>
    <mergeCell ref="AD6:AI6"/>
    <mergeCell ref="A68:C68"/>
    <mergeCell ref="A4:T4"/>
    <mergeCell ref="A1:T1"/>
    <mergeCell ref="A3:T3"/>
    <mergeCell ref="A6:A7"/>
    <mergeCell ref="B6:B7"/>
    <mergeCell ref="C6:H6"/>
    <mergeCell ref="I6:N6"/>
    <mergeCell ref="O6:T6"/>
  </mergeCells>
  <printOptions horizontalCentered="1"/>
  <pageMargins left="0.63" right="0.3" top="0.56000000000000005" bottom="0.33" header="0.17" footer="0.18"/>
  <pageSetup paperSize="9" scale="63" orientation="landscape" r:id="rId1"/>
  <drawing r:id="rId2"/>
  <legacyDrawing r:id="rId3"/>
  <oleObjects>
    <mc:AlternateContent xmlns:mc="http://schemas.openxmlformats.org/markup-compatibility/2006">
      <mc:Choice Requires="x14">
        <oleObject progId="Word.Picture.8" shapeId="9217" r:id="rId4">
          <objectPr defaultSize="0" autoPict="0" r:id="rId5">
            <anchor moveWithCells="1" sizeWithCells="1">
              <from>
                <xdr:col>0</xdr:col>
                <xdr:colOff>0</xdr:colOff>
                <xdr:row>0</xdr:row>
                <xdr:rowOff>0</xdr:rowOff>
              </from>
              <to>
                <xdr:col>0</xdr:col>
                <xdr:colOff>190500</xdr:colOff>
                <xdr:row>1</xdr:row>
                <xdr:rowOff>76200</xdr:rowOff>
              </to>
            </anchor>
          </objectPr>
        </oleObject>
      </mc:Choice>
      <mc:Fallback>
        <oleObject progId="Word.Picture.8" shapeId="9217"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AA78"/>
  <sheetViews>
    <sheetView view="pageBreakPreview" zoomScale="70" zoomScaleSheetLayoutView="70" workbookViewId="0">
      <pane ySplit="9" topLeftCell="A10" activePane="bottomLeft" state="frozen"/>
      <selection pane="bottomLeft" activeCell="U36" sqref="U36"/>
    </sheetView>
  </sheetViews>
  <sheetFormatPr defaultColWidth="9.140625" defaultRowHeight="12.75" x14ac:dyDescent="0.25"/>
  <cols>
    <col min="1" max="1" width="4.140625" style="67" customWidth="1"/>
    <col min="2" max="2" width="20.42578125" style="67" customWidth="1"/>
    <col min="3" max="3" width="12.42578125" style="67" customWidth="1"/>
    <col min="4" max="4" width="12" style="67" customWidth="1"/>
    <col min="5" max="5" width="13.42578125" style="67" customWidth="1"/>
    <col min="6" max="7" width="11.5703125" style="67" customWidth="1"/>
    <col min="8" max="8" width="14.140625" style="76" customWidth="1"/>
    <col min="9" max="9" width="9.7109375" style="67" customWidth="1"/>
    <col min="10" max="11" width="11.140625" style="67" customWidth="1"/>
    <col min="12" max="12" width="12.28515625" style="67" customWidth="1"/>
    <col min="13" max="13" width="9.85546875" style="67" customWidth="1"/>
    <col min="14" max="14" width="11.42578125" style="67" customWidth="1"/>
    <col min="15" max="15" width="13.5703125" style="67" customWidth="1"/>
    <col min="16" max="16" width="5.42578125" style="67" customWidth="1"/>
    <col min="17" max="18" width="13.140625" style="67" customWidth="1"/>
    <col min="19" max="19" width="12.7109375" style="67" customWidth="1"/>
    <col min="20" max="20" width="19.7109375" style="67" customWidth="1"/>
    <col min="21" max="21" width="13.28515625" style="67" customWidth="1"/>
    <col min="22" max="22" width="19.7109375" style="67" customWidth="1"/>
    <col min="23" max="23" width="17.42578125" style="67" bestFit="1" customWidth="1"/>
    <col min="24" max="24" width="15" style="67" bestFit="1" customWidth="1"/>
    <col min="25" max="25" width="9.140625" style="67"/>
    <col min="26" max="27" width="15" style="67" bestFit="1" customWidth="1"/>
    <col min="28" max="16384" width="9.140625" style="67"/>
  </cols>
  <sheetData>
    <row r="1" spans="1:22" ht="15" x14ac:dyDescent="0.25">
      <c r="A1" s="1299" t="s">
        <v>48</v>
      </c>
      <c r="B1" s="1299"/>
      <c r="C1" s="1299"/>
      <c r="D1" s="1299"/>
      <c r="E1" s="1299"/>
      <c r="F1" s="1299"/>
      <c r="G1" s="1299"/>
      <c r="H1" s="1299"/>
      <c r="I1" s="1299"/>
      <c r="J1" s="1299"/>
      <c r="K1" s="1299"/>
      <c r="L1" s="1299"/>
      <c r="M1" s="1299"/>
      <c r="N1" s="1299"/>
      <c r="O1" s="1299"/>
      <c r="P1" s="1299"/>
      <c r="Q1" s="1299"/>
      <c r="R1" s="1299"/>
      <c r="S1" s="1299"/>
      <c r="T1" s="1299"/>
    </row>
    <row r="2" spans="1:22" ht="15.75" x14ac:dyDescent="0.25">
      <c r="A2" s="102"/>
      <c r="B2" s="102"/>
      <c r="C2" s="102"/>
      <c r="D2" s="102"/>
      <c r="E2" s="102"/>
      <c r="F2" s="859"/>
      <c r="G2" s="859"/>
      <c r="H2" s="102"/>
      <c r="I2" s="102"/>
      <c r="J2" s="102"/>
      <c r="K2" s="102"/>
      <c r="L2" s="102"/>
      <c r="M2" s="835"/>
      <c r="N2" s="102"/>
      <c r="O2" s="102"/>
      <c r="P2" s="102"/>
      <c r="Q2" s="102"/>
      <c r="R2" s="102"/>
      <c r="S2" s="102"/>
      <c r="T2" s="103" t="str">
        <f>"MONTH - "&amp;Summary!$G$6</f>
        <v>MONTH - July 2025</v>
      </c>
    </row>
    <row r="3" spans="1:22" ht="15.75" x14ac:dyDescent="0.25">
      <c r="A3" s="102"/>
      <c r="B3" s="102"/>
      <c r="C3" s="102"/>
      <c r="D3" s="102"/>
      <c r="E3" s="102"/>
      <c r="F3" s="859"/>
      <c r="G3" s="859"/>
      <c r="H3" s="102"/>
      <c r="I3" s="102"/>
      <c r="J3" s="102"/>
      <c r="K3" s="102"/>
      <c r="L3" s="102"/>
      <c r="M3" s="835"/>
      <c r="N3" s="102"/>
      <c r="O3" s="102"/>
      <c r="P3" s="102"/>
      <c r="Q3" s="102"/>
      <c r="R3" s="102"/>
      <c r="S3" s="102"/>
      <c r="T3" s="103"/>
    </row>
    <row r="4" spans="1:22" ht="15.75" x14ac:dyDescent="0.25">
      <c r="A4" s="102"/>
      <c r="B4" s="102"/>
      <c r="C4" s="102"/>
      <c r="D4" s="102"/>
      <c r="E4" s="102"/>
      <c r="F4" s="859"/>
      <c r="G4" s="859"/>
      <c r="H4" s="102"/>
      <c r="I4" s="102"/>
      <c r="J4" s="102"/>
      <c r="K4" s="102"/>
      <c r="L4" s="102"/>
      <c r="M4" s="835"/>
      <c r="N4" s="102"/>
      <c r="O4" s="102"/>
      <c r="P4" s="102"/>
      <c r="Q4" s="102"/>
      <c r="R4" s="102"/>
      <c r="S4" s="102"/>
      <c r="T4" s="103"/>
    </row>
    <row r="5" spans="1:22" ht="15.75" x14ac:dyDescent="0.25">
      <c r="A5" s="1300" t="s">
        <v>134</v>
      </c>
      <c r="B5" s="1300"/>
      <c r="C5" s="1300"/>
      <c r="D5" s="1300"/>
      <c r="E5" s="1300"/>
      <c r="F5" s="1300"/>
      <c r="G5" s="1300"/>
      <c r="H5" s="1300"/>
      <c r="I5" s="1300"/>
      <c r="J5" s="1300"/>
      <c r="K5" s="1300"/>
      <c r="L5" s="1300"/>
      <c r="M5" s="1300"/>
      <c r="N5" s="1300"/>
      <c r="O5" s="1300"/>
      <c r="P5" s="1300"/>
      <c r="Q5" s="1300"/>
      <c r="R5" s="1300"/>
      <c r="S5" s="1300"/>
      <c r="T5" s="1300"/>
    </row>
    <row r="6" spans="1:22" ht="15.75" customHeight="1" x14ac:dyDescent="0.25">
      <c r="A6" s="1301" t="str">
        <f>'Anx H'!A4:T4</f>
        <v xml:space="preserve">PMU NLC INFRA DEV WORKS at Chahar Bagh (RUDA ) </v>
      </c>
      <c r="B6" s="1301"/>
      <c r="C6" s="1301"/>
      <c r="D6" s="1301"/>
      <c r="E6" s="1301"/>
      <c r="F6" s="1301"/>
      <c r="G6" s="1301"/>
      <c r="H6" s="1301"/>
      <c r="I6" s="1301"/>
      <c r="J6" s="1301"/>
      <c r="K6" s="1301"/>
      <c r="L6" s="1301"/>
      <c r="M6" s="1301"/>
      <c r="N6" s="1301"/>
      <c r="O6" s="1301"/>
      <c r="P6" s="1301"/>
      <c r="Q6" s="1301"/>
      <c r="R6" s="1301"/>
      <c r="S6" s="1301"/>
      <c r="T6" s="1301"/>
    </row>
    <row r="7" spans="1:22" ht="13.5" thickBot="1" x14ac:dyDescent="0.3">
      <c r="A7" s="74"/>
      <c r="B7" s="74"/>
      <c r="C7" s="74"/>
      <c r="D7" s="74"/>
      <c r="E7" s="74"/>
      <c r="F7" s="74"/>
      <c r="G7" s="74"/>
      <c r="H7" s="74"/>
      <c r="I7" s="74"/>
      <c r="J7" s="74"/>
      <c r="K7" s="74"/>
      <c r="L7" s="74"/>
      <c r="M7" s="74"/>
      <c r="N7" s="74"/>
      <c r="O7" s="74"/>
      <c r="P7" s="74"/>
      <c r="Q7" s="74"/>
      <c r="R7" s="74"/>
      <c r="S7" s="74"/>
      <c r="T7" s="74"/>
    </row>
    <row r="8" spans="1:22" s="75" customFormat="1" ht="18" customHeight="1" thickTop="1" thickBot="1" x14ac:dyDescent="0.3">
      <c r="A8" s="1302" t="s">
        <v>7</v>
      </c>
      <c r="B8" s="1302" t="s">
        <v>24</v>
      </c>
      <c r="C8" s="1297" t="s">
        <v>25</v>
      </c>
      <c r="D8" s="1297" t="s">
        <v>195</v>
      </c>
      <c r="E8" s="1298" t="s">
        <v>150</v>
      </c>
      <c r="F8" s="963"/>
      <c r="G8" s="963"/>
      <c r="H8" s="1298" t="s">
        <v>257</v>
      </c>
      <c r="I8" s="1302" t="s">
        <v>26</v>
      </c>
      <c r="J8" s="1302"/>
      <c r="K8" s="1302"/>
      <c r="L8" s="1302"/>
      <c r="M8" s="1302"/>
      <c r="N8" s="1302"/>
      <c r="O8" s="1297" t="s">
        <v>158</v>
      </c>
      <c r="P8" s="1297" t="s">
        <v>29</v>
      </c>
      <c r="Q8" s="1297" t="s">
        <v>41</v>
      </c>
      <c r="R8" s="1297" t="s">
        <v>311</v>
      </c>
      <c r="S8" s="1297" t="s">
        <v>310</v>
      </c>
      <c r="T8" s="1297" t="s">
        <v>23</v>
      </c>
    </row>
    <row r="9" spans="1:22" s="75" customFormat="1" ht="82.9" customHeight="1" thickTop="1" thickBot="1" x14ac:dyDescent="0.3">
      <c r="A9" s="1302"/>
      <c r="B9" s="1302"/>
      <c r="C9" s="1297"/>
      <c r="D9" s="1297"/>
      <c r="E9" s="1298"/>
      <c r="F9" s="963" t="s">
        <v>735</v>
      </c>
      <c r="G9" s="963" t="s">
        <v>736</v>
      </c>
      <c r="H9" s="1298"/>
      <c r="I9" s="962" t="s">
        <v>27</v>
      </c>
      <c r="J9" s="962" t="s">
        <v>28</v>
      </c>
      <c r="K9" s="962" t="s">
        <v>616</v>
      </c>
      <c r="L9" s="962" t="s">
        <v>275</v>
      </c>
      <c r="M9" s="962" t="s">
        <v>717</v>
      </c>
      <c r="N9" s="962" t="s">
        <v>10</v>
      </c>
      <c r="O9" s="1297"/>
      <c r="P9" s="1297"/>
      <c r="Q9" s="1297"/>
      <c r="R9" s="1297"/>
      <c r="S9" s="1297"/>
      <c r="T9" s="1297"/>
    </row>
    <row r="10" spans="1:22" s="75" customFormat="1" ht="30.75" customHeight="1" thickTop="1" x14ac:dyDescent="0.25">
      <c r="A10" s="51">
        <v>1</v>
      </c>
      <c r="B10" s="651" t="s">
        <v>254</v>
      </c>
      <c r="C10" s="422"/>
      <c r="D10" s="51"/>
      <c r="E10" s="423"/>
      <c r="F10" s="423"/>
      <c r="G10" s="423"/>
      <c r="H10" s="423"/>
      <c r="I10" s="422"/>
      <c r="J10" s="422"/>
      <c r="K10" s="422"/>
      <c r="L10" s="422"/>
      <c r="M10" s="422"/>
      <c r="N10" s="422"/>
      <c r="O10" s="512">
        <f>151.71</f>
        <v>151.71</v>
      </c>
      <c r="P10" s="422"/>
      <c r="Q10" s="512">
        <v>151.71</v>
      </c>
      <c r="R10" s="512"/>
      <c r="S10" s="422"/>
      <c r="T10" s="88" t="s">
        <v>435</v>
      </c>
    </row>
    <row r="11" spans="1:22" ht="30.75" customHeight="1" x14ac:dyDescent="0.25">
      <c r="A11" s="51">
        <f>A10+1</f>
        <v>2</v>
      </c>
      <c r="B11" s="651" t="s">
        <v>461</v>
      </c>
      <c r="C11" s="419"/>
      <c r="D11" s="88"/>
      <c r="E11" s="88"/>
      <c r="F11" s="88"/>
      <c r="G11" s="88"/>
      <c r="H11" s="88"/>
      <c r="I11" s="87"/>
      <c r="J11" s="88"/>
      <c r="K11" s="324"/>
      <c r="L11" s="87"/>
      <c r="M11" s="87"/>
      <c r="N11" s="87"/>
      <c r="O11" s="88">
        <v>151.71</v>
      </c>
      <c r="P11" s="324"/>
      <c r="Q11" s="87">
        <v>151.71</v>
      </c>
      <c r="R11" s="325"/>
      <c r="S11" s="504"/>
      <c r="T11" s="88" t="s">
        <v>435</v>
      </c>
      <c r="U11" s="76"/>
    </row>
    <row r="12" spans="1:22" ht="30.75" customHeight="1" x14ac:dyDescent="0.25">
      <c r="A12" s="51">
        <f t="shared" ref="A12:A21" si="0">A11+1</f>
        <v>3</v>
      </c>
      <c r="B12" s="651" t="s">
        <v>462</v>
      </c>
      <c r="C12" s="527">
        <v>44918</v>
      </c>
      <c r="D12" s="527">
        <v>44932</v>
      </c>
      <c r="E12" s="88">
        <v>76.022999999999996</v>
      </c>
      <c r="F12" s="88">
        <v>3.8010000000000002</v>
      </c>
      <c r="G12" s="88"/>
      <c r="H12" s="88">
        <f>E12+F12</f>
        <v>79.823999999999998</v>
      </c>
      <c r="I12" s="87">
        <f>H12*5%</f>
        <v>3.9912000000000001</v>
      </c>
      <c r="J12" s="87">
        <f>H12*5%</f>
        <v>3.9912000000000001</v>
      </c>
      <c r="K12" s="87">
        <v>2.2806000000000002</v>
      </c>
      <c r="L12" s="87"/>
      <c r="M12" s="87"/>
      <c r="N12" s="87">
        <f t="shared" ref="N12:N21" si="1">SUM(I12:L12)</f>
        <v>10.263</v>
      </c>
      <c r="O12" s="88">
        <f t="shared" ref="O12:O22" si="2">H12-N12</f>
        <v>69.560999999999993</v>
      </c>
      <c r="P12" s="324"/>
      <c r="Q12" s="87">
        <v>69.561000000000007</v>
      </c>
      <c r="R12" s="87"/>
      <c r="S12" s="504">
        <f>O12-Q12</f>
        <v>0</v>
      </c>
      <c r="T12" s="88" t="s">
        <v>474</v>
      </c>
      <c r="U12" s="76"/>
      <c r="V12" s="76"/>
    </row>
    <row r="13" spans="1:22" ht="30.75" customHeight="1" x14ac:dyDescent="0.25">
      <c r="A13" s="51">
        <f t="shared" si="0"/>
        <v>4</v>
      </c>
      <c r="B13" s="651" t="s">
        <v>498</v>
      </c>
      <c r="C13" s="527">
        <v>44970</v>
      </c>
      <c r="D13" s="527">
        <v>44992</v>
      </c>
      <c r="E13" s="88">
        <v>111.23099999999999</v>
      </c>
      <c r="F13" s="88">
        <v>5.6619999999999999</v>
      </c>
      <c r="G13" s="88">
        <v>2.028</v>
      </c>
      <c r="H13" s="88">
        <f t="shared" ref="H13:H25" si="3">E13+F13+G13</f>
        <v>118.92100000000001</v>
      </c>
      <c r="I13" s="87">
        <v>5.9459999999999997</v>
      </c>
      <c r="J13" s="88">
        <v>11.891999999999999</v>
      </c>
      <c r="K13" s="87">
        <v>-2.2810000000000001</v>
      </c>
      <c r="L13" s="87"/>
      <c r="M13" s="87"/>
      <c r="N13" s="87">
        <f t="shared" si="1"/>
        <v>15.557</v>
      </c>
      <c r="O13" s="88">
        <f t="shared" si="2"/>
        <v>103.364</v>
      </c>
      <c r="P13" s="324"/>
      <c r="Q13" s="87">
        <v>103.364</v>
      </c>
      <c r="R13" s="87"/>
      <c r="S13" s="504">
        <f>O13-Q13</f>
        <v>0</v>
      </c>
      <c r="T13" s="88" t="s">
        <v>507</v>
      </c>
      <c r="U13" s="76"/>
    </row>
    <row r="14" spans="1:22" ht="30.75" customHeight="1" x14ac:dyDescent="0.25">
      <c r="A14" s="51">
        <f t="shared" si="0"/>
        <v>5</v>
      </c>
      <c r="B14" s="651" t="s">
        <v>506</v>
      </c>
      <c r="C14" s="527">
        <v>45026</v>
      </c>
      <c r="D14" s="527">
        <v>45036</v>
      </c>
      <c r="E14" s="88">
        <v>88.370999999999995</v>
      </c>
      <c r="F14" s="88">
        <v>4.4189999999999996</v>
      </c>
      <c r="G14" s="88"/>
      <c r="H14" s="88">
        <f t="shared" si="3"/>
        <v>92.789999999999992</v>
      </c>
      <c r="I14" s="87">
        <f t="shared" ref="I14:I27" si="4">H14*5%</f>
        <v>4.6395</v>
      </c>
      <c r="J14" s="88">
        <f>H14*10%</f>
        <v>9.2789999999999999</v>
      </c>
      <c r="K14" s="324"/>
      <c r="L14" s="87">
        <v>0</v>
      </c>
      <c r="M14" s="87"/>
      <c r="N14" s="87">
        <f t="shared" si="1"/>
        <v>13.9185</v>
      </c>
      <c r="O14" s="88">
        <f t="shared" si="2"/>
        <v>78.871499999999997</v>
      </c>
      <c r="P14" s="324"/>
      <c r="Q14" s="87">
        <v>78.872399999999999</v>
      </c>
      <c r="R14" s="87"/>
      <c r="S14" s="504">
        <v>0</v>
      </c>
      <c r="T14" s="88" t="s">
        <v>523</v>
      </c>
      <c r="U14" s="76"/>
    </row>
    <row r="15" spans="1:22" ht="30.75" customHeight="1" x14ac:dyDescent="0.25">
      <c r="A15" s="51">
        <f t="shared" si="0"/>
        <v>6</v>
      </c>
      <c r="B15" s="651" t="s">
        <v>525</v>
      </c>
      <c r="C15" s="527">
        <v>45073</v>
      </c>
      <c r="D15" s="527">
        <v>45085</v>
      </c>
      <c r="E15" s="88">
        <v>68.158000000000001</v>
      </c>
      <c r="F15" s="88">
        <v>3.6309999999999998</v>
      </c>
      <c r="G15" s="88">
        <v>4.4530000000000003</v>
      </c>
      <c r="H15" s="88">
        <f t="shared" si="3"/>
        <v>76.242000000000004</v>
      </c>
      <c r="I15" s="87">
        <f t="shared" si="4"/>
        <v>3.8121000000000005</v>
      </c>
      <c r="J15" s="88">
        <v>11.616</v>
      </c>
      <c r="K15" s="324"/>
      <c r="L15" s="87"/>
      <c r="M15" s="87"/>
      <c r="N15" s="87">
        <f t="shared" si="1"/>
        <v>15.428100000000001</v>
      </c>
      <c r="O15" s="88">
        <f t="shared" si="2"/>
        <v>60.813900000000004</v>
      </c>
      <c r="P15" s="324"/>
      <c r="Q15" s="87">
        <v>60.814</v>
      </c>
      <c r="R15" s="87"/>
      <c r="S15" s="87">
        <f t="shared" ref="S15:S27" si="5">O15-Q15</f>
        <v>-9.9999999996214228E-5</v>
      </c>
      <c r="T15" s="88" t="s">
        <v>535</v>
      </c>
      <c r="U15" s="76"/>
    </row>
    <row r="16" spans="1:22" ht="30.75" customHeight="1" x14ac:dyDescent="0.25">
      <c r="A16" s="51">
        <f t="shared" si="0"/>
        <v>7</v>
      </c>
      <c r="B16" s="651" t="s">
        <v>526</v>
      </c>
      <c r="C16" s="527">
        <v>45093</v>
      </c>
      <c r="D16" s="527">
        <v>45096</v>
      </c>
      <c r="E16" s="88">
        <v>103.822</v>
      </c>
      <c r="F16" s="88">
        <v>5.1909999999999998</v>
      </c>
      <c r="G16" s="88"/>
      <c r="H16" s="88">
        <f t="shared" si="3"/>
        <v>109.01300000000001</v>
      </c>
      <c r="I16" s="87">
        <f t="shared" si="4"/>
        <v>5.4506500000000004</v>
      </c>
      <c r="J16" s="88">
        <v>10.901</v>
      </c>
      <c r="K16" s="324"/>
      <c r="L16" s="87"/>
      <c r="M16" s="87"/>
      <c r="N16" s="87">
        <f t="shared" si="1"/>
        <v>16.351649999999999</v>
      </c>
      <c r="O16" s="88">
        <f t="shared" si="2"/>
        <v>92.661349999999999</v>
      </c>
      <c r="P16" s="324"/>
      <c r="Q16" s="87">
        <v>92.661000000000001</v>
      </c>
      <c r="R16" s="87"/>
      <c r="S16" s="87">
        <f t="shared" si="5"/>
        <v>3.4999999999740794E-4</v>
      </c>
      <c r="T16" s="88" t="s">
        <v>563</v>
      </c>
      <c r="U16" s="76"/>
    </row>
    <row r="17" spans="1:24" ht="30.75" customHeight="1" x14ac:dyDescent="0.25">
      <c r="A17" s="51">
        <f t="shared" si="0"/>
        <v>8</v>
      </c>
      <c r="B17" s="651" t="s">
        <v>547</v>
      </c>
      <c r="C17" s="527">
        <v>45146</v>
      </c>
      <c r="D17" s="527">
        <v>45164</v>
      </c>
      <c r="E17" s="88">
        <v>83.930999999999997</v>
      </c>
      <c r="F17" s="88">
        <v>4.22</v>
      </c>
      <c r="G17" s="88">
        <v>0.49399999999999999</v>
      </c>
      <c r="H17" s="88">
        <f t="shared" si="3"/>
        <v>88.644999999999996</v>
      </c>
      <c r="I17" s="87">
        <f t="shared" si="4"/>
        <v>4.4322499999999998</v>
      </c>
      <c r="J17" s="88">
        <f>H17*10%</f>
        <v>8.8644999999999996</v>
      </c>
      <c r="K17" s="324"/>
      <c r="L17" s="87"/>
      <c r="M17" s="87"/>
      <c r="N17" s="87">
        <f t="shared" si="1"/>
        <v>13.296749999999999</v>
      </c>
      <c r="O17" s="88">
        <f t="shared" si="2"/>
        <v>75.348249999999993</v>
      </c>
      <c r="P17" s="324"/>
      <c r="Q17" s="87">
        <v>75.349999999999994</v>
      </c>
      <c r="R17" s="87"/>
      <c r="S17" s="87">
        <f t="shared" si="5"/>
        <v>-1.7500000000012506E-3</v>
      </c>
      <c r="T17" s="88" t="s">
        <v>614</v>
      </c>
      <c r="U17" s="76"/>
    </row>
    <row r="18" spans="1:24" ht="30.75" customHeight="1" x14ac:dyDescent="0.25">
      <c r="A18" s="51">
        <f t="shared" si="0"/>
        <v>9</v>
      </c>
      <c r="B18" s="651" t="s">
        <v>613</v>
      </c>
      <c r="C18" s="527">
        <v>45215</v>
      </c>
      <c r="D18" s="527">
        <v>45225</v>
      </c>
      <c r="E18" s="88">
        <v>107.75700000000001</v>
      </c>
      <c r="F18" s="88">
        <v>5.5</v>
      </c>
      <c r="G18" s="88">
        <v>2.1480000000000001</v>
      </c>
      <c r="H18" s="88">
        <f t="shared" si="3"/>
        <v>115.405</v>
      </c>
      <c r="I18" s="87">
        <f t="shared" si="4"/>
        <v>5.7702500000000008</v>
      </c>
      <c r="J18" s="88">
        <f>H18*10%</f>
        <v>11.540500000000002</v>
      </c>
      <c r="K18" s="324"/>
      <c r="L18" s="87"/>
      <c r="M18" s="87"/>
      <c r="N18" s="87">
        <f t="shared" si="1"/>
        <v>17.310750000000002</v>
      </c>
      <c r="O18" s="88">
        <f t="shared" si="2"/>
        <v>98.094250000000002</v>
      </c>
      <c r="P18" s="324"/>
      <c r="Q18" s="87">
        <v>98.09</v>
      </c>
      <c r="R18" s="87"/>
      <c r="S18" s="87">
        <f t="shared" si="5"/>
        <v>4.2499999999989768E-3</v>
      </c>
      <c r="T18" s="88" t="s">
        <v>632</v>
      </c>
      <c r="U18" s="76"/>
    </row>
    <row r="19" spans="1:24" ht="30.75" customHeight="1" x14ac:dyDescent="0.25">
      <c r="A19" s="51">
        <f t="shared" si="0"/>
        <v>10</v>
      </c>
      <c r="B19" s="651" t="s">
        <v>630</v>
      </c>
      <c r="C19" s="527">
        <v>45252</v>
      </c>
      <c r="D19" s="527">
        <v>45275</v>
      </c>
      <c r="E19" s="88">
        <v>136.51599999999999</v>
      </c>
      <c r="F19" s="88">
        <v>7.47</v>
      </c>
      <c r="G19" s="88">
        <v>12.957000000000001</v>
      </c>
      <c r="H19" s="88">
        <f t="shared" si="3"/>
        <v>156.94299999999998</v>
      </c>
      <c r="I19" s="87">
        <f t="shared" si="4"/>
        <v>7.8471499999999992</v>
      </c>
      <c r="J19" s="88">
        <f>H19*10%</f>
        <v>15.694299999999998</v>
      </c>
      <c r="K19" s="324"/>
      <c r="L19" s="87"/>
      <c r="M19" s="87"/>
      <c r="N19" s="87">
        <f t="shared" si="1"/>
        <v>23.541449999999998</v>
      </c>
      <c r="O19" s="88">
        <f t="shared" si="2"/>
        <v>133.40154999999999</v>
      </c>
      <c r="P19" s="324"/>
      <c r="Q19" s="87">
        <v>133.404</v>
      </c>
      <c r="R19" s="87"/>
      <c r="S19" s="87">
        <f t="shared" si="5"/>
        <v>-2.4500000000102773E-3</v>
      </c>
      <c r="T19" s="88" t="s">
        <v>644</v>
      </c>
      <c r="U19" s="76"/>
      <c r="V19" s="67">
        <f>260673131-12413006-116671628-13033657</f>
        <v>118554840</v>
      </c>
    </row>
    <row r="20" spans="1:24" ht="30.75" customHeight="1" x14ac:dyDescent="0.25">
      <c r="A20" s="51">
        <f t="shared" si="0"/>
        <v>11</v>
      </c>
      <c r="B20" s="651" t="s">
        <v>636</v>
      </c>
      <c r="C20" s="527">
        <v>45316</v>
      </c>
      <c r="D20" s="527">
        <v>45321</v>
      </c>
      <c r="E20" s="88">
        <v>322.17599999999999</v>
      </c>
      <c r="F20" s="88">
        <v>16.530999999999999</v>
      </c>
      <c r="G20" s="88">
        <v>8.4429999999999996</v>
      </c>
      <c r="H20" s="88">
        <f t="shared" si="3"/>
        <v>347.15</v>
      </c>
      <c r="I20" s="87">
        <f t="shared" si="4"/>
        <v>17.357499999999998</v>
      </c>
      <c r="J20" s="88">
        <f>H20*10%</f>
        <v>34.714999999999996</v>
      </c>
      <c r="K20" s="324"/>
      <c r="L20" s="87"/>
      <c r="M20" s="87"/>
      <c r="N20" s="87">
        <f t="shared" si="1"/>
        <v>52.072499999999991</v>
      </c>
      <c r="O20" s="88">
        <f t="shared" si="2"/>
        <v>295.07749999999999</v>
      </c>
      <c r="P20" s="324"/>
      <c r="Q20" s="87">
        <v>295.07799999999997</v>
      </c>
      <c r="R20" s="87"/>
      <c r="S20" s="87">
        <f t="shared" si="5"/>
        <v>-4.9999999998817657E-4</v>
      </c>
      <c r="T20" s="88" t="s">
        <v>654</v>
      </c>
      <c r="U20" s="76"/>
      <c r="V20" s="67">
        <f>V19+12413006</f>
        <v>130967846</v>
      </c>
    </row>
    <row r="21" spans="1:24" ht="30.75" customHeight="1" x14ac:dyDescent="0.25">
      <c r="A21" s="737">
        <f t="shared" si="0"/>
        <v>12</v>
      </c>
      <c r="B21" s="651" t="s">
        <v>674</v>
      </c>
      <c r="C21" s="527">
        <v>45376</v>
      </c>
      <c r="D21" s="527">
        <v>45388</v>
      </c>
      <c r="E21" s="88">
        <v>212.67099999999999</v>
      </c>
      <c r="F21" s="88">
        <v>11.91</v>
      </c>
      <c r="G21" s="88">
        <v>25.466999999999999</v>
      </c>
      <c r="H21" s="88">
        <f t="shared" si="3"/>
        <v>250.048</v>
      </c>
      <c r="I21" s="87">
        <f t="shared" si="4"/>
        <v>12.502400000000002</v>
      </c>
      <c r="J21" s="88">
        <f>H21*10%</f>
        <v>25.004800000000003</v>
      </c>
      <c r="K21" s="324"/>
      <c r="L21" s="87"/>
      <c r="M21" s="87"/>
      <c r="N21" s="87">
        <f t="shared" si="1"/>
        <v>37.507200000000005</v>
      </c>
      <c r="O21" s="88">
        <f t="shared" si="2"/>
        <v>212.54079999999999</v>
      </c>
      <c r="P21" s="324"/>
      <c r="Q21" s="87">
        <v>212.53800000000001</v>
      </c>
      <c r="R21" s="87"/>
      <c r="S21" s="87">
        <f t="shared" si="5"/>
        <v>2.7999999999792635E-3</v>
      </c>
      <c r="T21" s="88"/>
      <c r="U21" s="76"/>
      <c r="V21" s="67">
        <f>V20+44657000</f>
        <v>175624846</v>
      </c>
    </row>
    <row r="22" spans="1:24" ht="30.75" customHeight="1" x14ac:dyDescent="0.25">
      <c r="A22" s="767"/>
      <c r="B22" s="651" t="s">
        <v>703</v>
      </c>
      <c r="C22" s="527"/>
      <c r="D22" s="527"/>
      <c r="E22" s="88">
        <v>91.754000000000005</v>
      </c>
      <c r="F22" s="88">
        <v>5.149</v>
      </c>
      <c r="G22" s="88">
        <v>11.227</v>
      </c>
      <c r="H22" s="88">
        <f t="shared" si="3"/>
        <v>108.13000000000001</v>
      </c>
      <c r="I22" s="87">
        <f t="shared" si="4"/>
        <v>5.4065000000000012</v>
      </c>
      <c r="J22" s="88">
        <v>43.252085000000001</v>
      </c>
      <c r="K22" s="324"/>
      <c r="L22" s="87"/>
      <c r="M22" s="87">
        <v>4.46</v>
      </c>
      <c r="N22" s="87">
        <f t="shared" ref="N22:N27" si="6">SUM(I22:M22)</f>
        <v>53.118585000000003</v>
      </c>
      <c r="O22" s="88">
        <f t="shared" si="2"/>
        <v>55.011415000000007</v>
      </c>
      <c r="P22" s="324"/>
      <c r="Q22" s="87">
        <v>55.011246</v>
      </c>
      <c r="R22" s="87"/>
      <c r="S22" s="87">
        <f t="shared" si="5"/>
        <v>1.6900000000674709E-4</v>
      </c>
      <c r="T22" s="88"/>
      <c r="U22" s="76"/>
      <c r="V22" s="67">
        <f>V21*0.075</f>
        <v>13171863.449999999</v>
      </c>
    </row>
    <row r="23" spans="1:24" ht="30.75" customHeight="1" x14ac:dyDescent="0.25">
      <c r="A23" s="769"/>
      <c r="B23" s="651" t="s">
        <v>705</v>
      </c>
      <c r="C23" s="527"/>
      <c r="D23" s="527"/>
      <c r="E23" s="88">
        <v>225.851</v>
      </c>
      <c r="F23" s="88">
        <v>12.41</v>
      </c>
      <c r="G23" s="88">
        <v>22.408999999999999</v>
      </c>
      <c r="H23" s="88">
        <f t="shared" si="3"/>
        <v>260.67</v>
      </c>
      <c r="I23" s="87">
        <f t="shared" si="4"/>
        <v>13.033500000000002</v>
      </c>
      <c r="J23" s="88">
        <v>116.67100000000001</v>
      </c>
      <c r="K23" s="324"/>
      <c r="L23" s="87"/>
      <c r="M23" s="87">
        <v>13.17</v>
      </c>
      <c r="N23" s="87">
        <f t="shared" si="6"/>
        <v>142.87449999999998</v>
      </c>
      <c r="O23" s="88">
        <f>H23-N23</f>
        <v>117.79550000000003</v>
      </c>
      <c r="P23" s="324"/>
      <c r="Q23" s="87">
        <v>117.798</v>
      </c>
      <c r="R23" s="87"/>
      <c r="S23" s="87">
        <f t="shared" si="5"/>
        <v>-2.4999999999693046E-3</v>
      </c>
      <c r="T23" s="88"/>
      <c r="U23" s="76"/>
      <c r="V23" s="67">
        <f>V21-V22</f>
        <v>162452982.55000001</v>
      </c>
    </row>
    <row r="24" spans="1:24" ht="51.6" customHeight="1" x14ac:dyDescent="0.25">
      <c r="A24" s="787"/>
      <c r="B24" s="651" t="s">
        <v>713</v>
      </c>
      <c r="C24" s="527">
        <v>45565</v>
      </c>
      <c r="D24" s="527">
        <v>45575</v>
      </c>
      <c r="E24" s="88">
        <v>217.74</v>
      </c>
      <c r="F24" s="88">
        <v>10.89</v>
      </c>
      <c r="G24" s="88"/>
      <c r="H24" s="88">
        <f t="shared" si="3"/>
        <v>228.63</v>
      </c>
      <c r="I24" s="87">
        <f t="shared" si="4"/>
        <v>11.4315</v>
      </c>
      <c r="J24" s="88"/>
      <c r="K24" s="324"/>
      <c r="L24" s="87">
        <f>187.871+10.887</f>
        <v>198.75800000000001</v>
      </c>
      <c r="M24" s="87">
        <f>(H24-I24)*7.5/100</f>
        <v>16.289887499999999</v>
      </c>
      <c r="N24" s="87">
        <f t="shared" si="6"/>
        <v>226.4793875</v>
      </c>
      <c r="O24" s="88">
        <f>H24-N24</f>
        <v>2.150612499999994</v>
      </c>
      <c r="P24" s="324"/>
      <c r="Q24" s="87">
        <v>2.1539999999999999</v>
      </c>
      <c r="R24" s="87"/>
      <c r="S24" s="87">
        <v>0</v>
      </c>
      <c r="T24" s="88" t="s">
        <v>780</v>
      </c>
      <c r="U24" s="76"/>
      <c r="V24" s="67">
        <f>V23-44657000</f>
        <v>117795982.55000001</v>
      </c>
    </row>
    <row r="25" spans="1:24" ht="38.25" x14ac:dyDescent="0.25">
      <c r="A25" s="858"/>
      <c r="B25" s="879" t="s">
        <v>734</v>
      </c>
      <c r="C25" s="527">
        <v>45642</v>
      </c>
      <c r="D25" s="527">
        <v>45645</v>
      </c>
      <c r="E25" s="88">
        <v>219.03200000000001</v>
      </c>
      <c r="F25" s="88">
        <v>10.951000000000001</v>
      </c>
      <c r="G25" s="88"/>
      <c r="H25" s="88">
        <f t="shared" si="3"/>
        <v>229.983</v>
      </c>
      <c r="I25" s="87">
        <f t="shared" si="4"/>
        <v>11.49915</v>
      </c>
      <c r="J25" s="88"/>
      <c r="K25" s="324"/>
      <c r="L25" s="87">
        <v>10.951000000000001</v>
      </c>
      <c r="M25" s="87">
        <f>(H25-I25)*7.5/100</f>
        <v>16.386288750000002</v>
      </c>
      <c r="N25" s="87">
        <f t="shared" si="6"/>
        <v>38.836438749999999</v>
      </c>
      <c r="O25" s="88">
        <f>H25-N25</f>
        <v>191.14656124999999</v>
      </c>
      <c r="P25" s="324"/>
      <c r="Q25" s="87">
        <v>191.14699999999999</v>
      </c>
      <c r="R25" s="87"/>
      <c r="S25" s="87">
        <f t="shared" si="5"/>
        <v>-4.3875000000070941E-4</v>
      </c>
      <c r="T25" s="88" t="s">
        <v>939</v>
      </c>
      <c r="U25" s="76"/>
    </row>
    <row r="26" spans="1:24" ht="28.5" customHeight="1" x14ac:dyDescent="0.25">
      <c r="A26" s="51"/>
      <c r="B26" s="879" t="s">
        <v>748</v>
      </c>
      <c r="C26" s="420">
        <v>45700</v>
      </c>
      <c r="D26" s="527">
        <v>45705</v>
      </c>
      <c r="E26" s="59">
        <v>235.39344700000001</v>
      </c>
      <c r="F26" s="88">
        <v>11.769672</v>
      </c>
      <c r="G26" s="88"/>
      <c r="H26" s="88">
        <f>E26+F26+G26</f>
        <v>247.16311899999999</v>
      </c>
      <c r="I26" s="87">
        <f t="shared" si="4"/>
        <v>12.35815595</v>
      </c>
      <c r="J26" s="59"/>
      <c r="K26" s="59"/>
      <c r="L26" s="87">
        <v>11.769672</v>
      </c>
      <c r="M26" s="887">
        <f>(H26-I26)*7.5/100</f>
        <v>17.610372228749998</v>
      </c>
      <c r="N26" s="87">
        <f t="shared" si="6"/>
        <v>41.738200178749999</v>
      </c>
      <c r="O26" s="88">
        <f>H26-N26</f>
        <v>205.42491882125</v>
      </c>
      <c r="P26" s="222"/>
      <c r="Q26" s="87">
        <v>205.42500000000001</v>
      </c>
      <c r="R26" s="325"/>
      <c r="S26" s="87">
        <f t="shared" si="5"/>
        <v>-8.1178750008348288E-5</v>
      </c>
      <c r="T26" s="122"/>
      <c r="U26" s="76"/>
      <c r="V26" s="76">
        <f>H22+H23+H24+H25+H26</f>
        <v>1074.5761190000001</v>
      </c>
      <c r="W26" s="148"/>
    </row>
    <row r="27" spans="1:24" ht="28.5" customHeight="1" x14ac:dyDescent="0.25">
      <c r="A27" s="961"/>
      <c r="B27" s="879" t="s">
        <v>900</v>
      </c>
      <c r="C27" s="420">
        <v>45800</v>
      </c>
      <c r="D27" s="1048">
        <v>45804</v>
      </c>
      <c r="E27" s="59">
        <v>306.83963999999997</v>
      </c>
      <c r="F27" s="59">
        <f>E27*0.05</f>
        <v>15.341982</v>
      </c>
      <c r="G27" s="59"/>
      <c r="H27" s="88">
        <f>E27+F27+G27</f>
        <v>322.18162199999995</v>
      </c>
      <c r="I27" s="87">
        <f t="shared" si="4"/>
        <v>16.109081099999997</v>
      </c>
      <c r="J27" s="59"/>
      <c r="K27" s="59"/>
      <c r="L27" s="87">
        <v>0</v>
      </c>
      <c r="M27" s="887">
        <f>(H27-I27)*3/100</f>
        <v>9.1821762269999976</v>
      </c>
      <c r="N27" s="87">
        <f t="shared" si="6"/>
        <v>25.291257326999997</v>
      </c>
      <c r="O27" s="88">
        <f>H27-N27</f>
        <v>296.89036467299997</v>
      </c>
      <c r="P27" s="222"/>
      <c r="Q27" s="87">
        <v>296.89</v>
      </c>
      <c r="R27" s="325"/>
      <c r="S27" s="87">
        <f t="shared" si="5"/>
        <v>3.6467299997866576E-4</v>
      </c>
      <c r="T27" s="122"/>
      <c r="U27" s="76"/>
      <c r="V27" s="76"/>
    </row>
    <row r="28" spans="1:24" ht="28.5" customHeight="1" x14ac:dyDescent="0.25">
      <c r="A28" s="961"/>
      <c r="B28" s="832"/>
      <c r="C28" s="420"/>
      <c r="D28" s="1048"/>
      <c r="E28" s="59"/>
      <c r="F28" s="59"/>
      <c r="G28" s="59"/>
      <c r="H28" s="59"/>
      <c r="I28" s="87"/>
      <c r="J28" s="59"/>
      <c r="K28" s="59"/>
      <c r="L28" s="87"/>
      <c r="M28" s="887"/>
      <c r="N28" s="87"/>
      <c r="O28" s="59"/>
      <c r="P28" s="222"/>
      <c r="Q28" s="87"/>
      <c r="R28" s="325"/>
      <c r="S28" s="87"/>
      <c r="T28" s="122"/>
      <c r="U28" s="76"/>
      <c r="V28" s="76"/>
    </row>
    <row r="29" spans="1:24" ht="22.15" customHeight="1" x14ac:dyDescent="0.25">
      <c r="A29" s="1303"/>
      <c r="B29" s="1304"/>
      <c r="C29" s="421"/>
      <c r="D29" s="286"/>
      <c r="E29" s="287">
        <f>SUM(E10:E28)</f>
        <v>2607.266087</v>
      </c>
      <c r="F29" s="287">
        <f t="shared" ref="F29:S29" si="7">SUM(F10:F28)</f>
        <v>134.84665399999997</v>
      </c>
      <c r="G29" s="287">
        <f t="shared" si="7"/>
        <v>89.626000000000005</v>
      </c>
      <c r="H29" s="287">
        <f t="shared" si="7"/>
        <v>2831.7387410000001</v>
      </c>
      <c r="I29" s="287">
        <f t="shared" si="7"/>
        <v>141.58688704999997</v>
      </c>
      <c r="J29" s="287">
        <f t="shared" si="7"/>
        <v>303.42138499999999</v>
      </c>
      <c r="K29" s="287">
        <f t="shared" si="7"/>
        <v>-3.9999999999995595E-4</v>
      </c>
      <c r="L29" s="287">
        <f t="shared" si="7"/>
        <v>221.47867200000002</v>
      </c>
      <c r="M29" s="287">
        <f t="shared" si="7"/>
        <v>77.098724705750001</v>
      </c>
      <c r="N29" s="287">
        <f t="shared" si="7"/>
        <v>743.58526875575001</v>
      </c>
      <c r="O29" s="287">
        <f t="shared" si="7"/>
        <v>2391.5734722442498</v>
      </c>
      <c r="P29" s="287">
        <f t="shared" si="7"/>
        <v>0</v>
      </c>
      <c r="Q29" s="287">
        <f t="shared" si="7"/>
        <v>2391.5776459999997</v>
      </c>
      <c r="R29" s="287">
        <f t="shared" si="7"/>
        <v>0</v>
      </c>
      <c r="S29" s="287">
        <f t="shared" si="7"/>
        <v>1.1374424998678023E-4</v>
      </c>
      <c r="T29" s="288"/>
      <c r="U29" s="76">
        <f>H29+H38</f>
        <v>2972.390441</v>
      </c>
      <c r="V29" s="76">
        <f>I22+I23+I24+I25+I26+J22+J23</f>
        <v>213.65189094999999</v>
      </c>
      <c r="W29" s="1034">
        <f>H29+H38-U30-V31-J29</f>
        <v>2451.4755957060001</v>
      </c>
      <c r="X29" s="1034">
        <f>Q29-W29</f>
        <v>-59.897949706000418</v>
      </c>
    </row>
    <row r="30" spans="1:24" ht="22.15" customHeight="1" x14ac:dyDescent="0.25">
      <c r="A30" s="542"/>
      <c r="B30" s="553"/>
      <c r="C30" s="554"/>
      <c r="D30" s="287"/>
      <c r="E30" s="287"/>
      <c r="F30" s="287"/>
      <c r="G30" s="287"/>
      <c r="H30" s="287"/>
      <c r="I30" s="287"/>
      <c r="J30" s="287"/>
      <c r="K30" s="287"/>
      <c r="L30" s="287"/>
      <c r="M30" s="287"/>
      <c r="N30" s="287"/>
      <c r="O30" s="287"/>
      <c r="P30" s="326"/>
      <c r="Q30" s="287"/>
      <c r="R30" s="326"/>
      <c r="S30" s="287"/>
      <c r="T30" s="555"/>
      <c r="U30" s="76">
        <f>U29*0.05</f>
        <v>148.61952205</v>
      </c>
      <c r="V30" s="76">
        <f>V26-V29</f>
        <v>860.92422805000001</v>
      </c>
    </row>
    <row r="31" spans="1:24" ht="33.75" customHeight="1" x14ac:dyDescent="0.25">
      <c r="A31" s="55">
        <v>1</v>
      </c>
      <c r="B31" s="651" t="s">
        <v>548</v>
      </c>
      <c r="C31" s="527">
        <v>45146</v>
      </c>
      <c r="D31" s="527">
        <v>45164</v>
      </c>
      <c r="E31" s="556">
        <v>13.255000000000001</v>
      </c>
      <c r="F31" s="556">
        <f>E31*0.05</f>
        <v>0.66275000000000006</v>
      </c>
      <c r="G31" s="556"/>
      <c r="H31" s="556">
        <f>E31+F31</f>
        <v>13.917750000000002</v>
      </c>
      <c r="I31" s="557"/>
      <c r="J31" s="556"/>
      <c r="K31" s="556"/>
      <c r="L31" s="557"/>
      <c r="M31" s="557"/>
      <c r="N31" s="557"/>
      <c r="O31" s="88">
        <f>H31-N31</f>
        <v>13.917750000000002</v>
      </c>
      <c r="P31" s="51"/>
      <c r="Q31" s="556">
        <v>13.917999999999999</v>
      </c>
      <c r="R31" s="558"/>
      <c r="S31" s="87">
        <f>O31-Q31</f>
        <v>-2.49999999997641E-4</v>
      </c>
      <c r="T31" s="88" t="s">
        <v>614</v>
      </c>
      <c r="U31" s="559"/>
      <c r="V31" s="559">
        <f>V30*0.08</f>
        <v>68.873938244000001</v>
      </c>
    </row>
    <row r="32" spans="1:24" ht="33.75" customHeight="1" x14ac:dyDescent="0.25">
      <c r="A32" s="55">
        <f>A31+1</f>
        <v>2</v>
      </c>
      <c r="B32" s="651" t="s">
        <v>615</v>
      </c>
      <c r="C32" s="527">
        <v>45215</v>
      </c>
      <c r="D32" s="527">
        <v>45225</v>
      </c>
      <c r="E32" s="88">
        <v>6.0970000000000004</v>
      </c>
      <c r="F32" s="556">
        <f>E32*0.05</f>
        <v>0.30485000000000007</v>
      </c>
      <c r="G32" s="88"/>
      <c r="H32" s="556">
        <f>E32+F32</f>
        <v>6.4018500000000005</v>
      </c>
      <c r="I32" s="87"/>
      <c r="J32" s="88"/>
      <c r="K32" s="88"/>
      <c r="L32" s="87"/>
      <c r="M32" s="87"/>
      <c r="N32" s="87"/>
      <c r="O32" s="88">
        <f>H32-N32</f>
        <v>6.4018500000000005</v>
      </c>
      <c r="P32" s="51"/>
      <c r="Q32" s="88">
        <v>6.4020000000000001</v>
      </c>
      <c r="R32" s="87"/>
      <c r="S32" s="87">
        <f>O32-Q32</f>
        <v>-1.4999999999965041E-4</v>
      </c>
      <c r="T32" s="88" t="s">
        <v>632</v>
      </c>
      <c r="U32" s="76">
        <f>L29-U30</f>
        <v>72.859149950000017</v>
      </c>
      <c r="V32" s="76"/>
    </row>
    <row r="33" spans="1:27" ht="33.75" customHeight="1" x14ac:dyDescent="0.25">
      <c r="A33" s="738">
        <f>A32+1</f>
        <v>3</v>
      </c>
      <c r="B33" s="651" t="s">
        <v>631</v>
      </c>
      <c r="C33" s="527">
        <v>45252</v>
      </c>
      <c r="D33" s="527">
        <v>45275</v>
      </c>
      <c r="E33" s="88">
        <v>12.234</v>
      </c>
      <c r="F33" s="556">
        <f>E33*0.05</f>
        <v>0.61170000000000002</v>
      </c>
      <c r="G33" s="88"/>
      <c r="H33" s="556">
        <f>E33+F33</f>
        <v>12.845700000000001</v>
      </c>
      <c r="I33" s="87"/>
      <c r="J33" s="88"/>
      <c r="K33" s="88"/>
      <c r="L33" s="87"/>
      <c r="M33" s="87"/>
      <c r="N33" s="87"/>
      <c r="O33" s="88">
        <f>H33-N33</f>
        <v>12.845700000000001</v>
      </c>
      <c r="P33" s="51"/>
      <c r="Q33" s="88">
        <v>12.847</v>
      </c>
      <c r="R33" s="87"/>
      <c r="S33" s="87">
        <f>O33-Q33</f>
        <v>-1.2999999999987466E-3</v>
      </c>
      <c r="T33" s="88" t="s">
        <v>644</v>
      </c>
      <c r="U33" s="76"/>
      <c r="V33" s="76"/>
    </row>
    <row r="34" spans="1:27" ht="33.75" customHeight="1" x14ac:dyDescent="0.25">
      <c r="A34" s="738">
        <f>A33+1</f>
        <v>4</v>
      </c>
      <c r="B34" s="651" t="s">
        <v>675</v>
      </c>
      <c r="C34" s="527">
        <v>45376</v>
      </c>
      <c r="D34" s="527">
        <v>45388</v>
      </c>
      <c r="E34" s="88">
        <v>59.838000000000001</v>
      </c>
      <c r="F34" s="556">
        <f>E34*0.05</f>
        <v>2.9919000000000002</v>
      </c>
      <c r="G34" s="88"/>
      <c r="H34" s="556">
        <f>E34+F34</f>
        <v>62.829900000000002</v>
      </c>
      <c r="I34" s="87"/>
      <c r="J34" s="88"/>
      <c r="K34" s="88"/>
      <c r="L34" s="87"/>
      <c r="M34" s="87"/>
      <c r="N34" s="87"/>
      <c r="O34" s="88">
        <f>H34-N34</f>
        <v>62.829900000000002</v>
      </c>
      <c r="P34" s="737"/>
      <c r="Q34" s="88">
        <v>62.83</v>
      </c>
      <c r="R34" s="87"/>
      <c r="S34" s="87">
        <f>O34-Q34</f>
        <v>-9.9999999996214228E-5</v>
      </c>
      <c r="T34" s="88" t="s">
        <v>690</v>
      </c>
      <c r="U34" s="76"/>
      <c r="V34" s="76"/>
    </row>
    <row r="35" spans="1:27" ht="33.75" customHeight="1" x14ac:dyDescent="0.25">
      <c r="A35" s="770">
        <v>5</v>
      </c>
      <c r="B35" s="651" t="s">
        <v>704</v>
      </c>
      <c r="C35" s="527"/>
      <c r="D35" s="527"/>
      <c r="E35" s="88">
        <v>42.53</v>
      </c>
      <c r="F35" s="556">
        <f>E35*0.05</f>
        <v>2.1265000000000001</v>
      </c>
      <c r="G35" s="88"/>
      <c r="H35" s="556">
        <f>E35+F35</f>
        <v>44.656500000000001</v>
      </c>
      <c r="I35" s="87"/>
      <c r="J35" s="88"/>
      <c r="K35" s="88"/>
      <c r="L35" s="87"/>
      <c r="M35" s="87"/>
      <c r="N35" s="87"/>
      <c r="O35" s="88">
        <f>H35-N35</f>
        <v>44.656500000000001</v>
      </c>
      <c r="P35" s="769"/>
      <c r="Q35" s="88">
        <v>44.656999999999996</v>
      </c>
      <c r="R35" s="87"/>
      <c r="S35" s="87">
        <f>O35-Q35</f>
        <v>-4.99999999995282E-4</v>
      </c>
      <c r="T35" s="88"/>
      <c r="U35" s="76"/>
      <c r="V35" s="76"/>
    </row>
    <row r="36" spans="1:27" ht="33.75" customHeight="1" x14ac:dyDescent="0.25">
      <c r="A36" s="788"/>
      <c r="B36" s="651"/>
      <c r="C36" s="527"/>
      <c r="D36" s="527"/>
      <c r="E36" s="88"/>
      <c r="F36" s="88"/>
      <c r="G36" s="88"/>
      <c r="H36" s="88"/>
      <c r="I36" s="87"/>
      <c r="J36" s="88"/>
      <c r="K36" s="88"/>
      <c r="L36" s="87"/>
      <c r="M36" s="87"/>
      <c r="N36" s="87"/>
      <c r="O36" s="88"/>
      <c r="P36" s="787"/>
      <c r="Q36" s="88"/>
      <c r="R36" s="87"/>
      <c r="S36" s="87"/>
      <c r="T36" s="88"/>
      <c r="U36" s="76"/>
      <c r="V36" s="76"/>
    </row>
    <row r="37" spans="1:27" ht="10.5" customHeight="1" x14ac:dyDescent="0.25">
      <c r="A37" s="55"/>
      <c r="B37" s="651"/>
      <c r="C37" s="419"/>
      <c r="D37" s="419"/>
      <c r="E37" s="88"/>
      <c r="F37" s="88"/>
      <c r="G37" s="88"/>
      <c r="H37" s="88"/>
      <c r="I37" s="87"/>
      <c r="J37" s="88"/>
      <c r="K37" s="88"/>
      <c r="L37" s="87"/>
      <c r="M37" s="87"/>
      <c r="N37" s="87"/>
      <c r="O37" s="88"/>
      <c r="P37" s="51"/>
      <c r="Q37" s="88"/>
      <c r="R37" s="87"/>
      <c r="S37" s="87"/>
      <c r="T37" s="556"/>
      <c r="U37" s="76"/>
      <c r="V37" s="76"/>
    </row>
    <row r="38" spans="1:27" ht="22.15" customHeight="1" x14ac:dyDescent="0.25">
      <c r="A38" s="291"/>
      <c r="B38" s="291" t="s">
        <v>278</v>
      </c>
      <c r="C38" s="285"/>
      <c r="D38" s="286"/>
      <c r="E38" s="286">
        <f>SUM(E31:E37)</f>
        <v>133.95400000000001</v>
      </c>
      <c r="F38" s="286">
        <f>SUM(F31:F37)</f>
        <v>6.6977000000000002</v>
      </c>
      <c r="G38" s="286"/>
      <c r="H38" s="286">
        <f t="shared" ref="H38:S38" si="8">SUM(H31:H37)</f>
        <v>140.65170000000001</v>
      </c>
      <c r="I38" s="286">
        <f t="shared" si="8"/>
        <v>0</v>
      </c>
      <c r="J38" s="286">
        <f t="shared" si="8"/>
        <v>0</v>
      </c>
      <c r="K38" s="286">
        <f t="shared" si="8"/>
        <v>0</v>
      </c>
      <c r="L38" s="286">
        <f t="shared" si="8"/>
        <v>0</v>
      </c>
      <c r="M38" s="286"/>
      <c r="N38" s="286">
        <f t="shared" si="8"/>
        <v>0</v>
      </c>
      <c r="O38" s="286">
        <f t="shared" si="8"/>
        <v>140.65170000000001</v>
      </c>
      <c r="P38" s="286">
        <f t="shared" si="8"/>
        <v>0</v>
      </c>
      <c r="Q38" s="286">
        <f t="shared" si="8"/>
        <v>140.654</v>
      </c>
      <c r="R38" s="286">
        <f t="shared" si="8"/>
        <v>0</v>
      </c>
      <c r="S38" s="286">
        <f t="shared" si="8"/>
        <v>-2.2999999999875342E-3</v>
      </c>
      <c r="T38" s="288"/>
      <c r="U38" s="76"/>
      <c r="V38" s="76"/>
    </row>
    <row r="39" spans="1:27" ht="4.5" customHeight="1" x14ac:dyDescent="0.25">
      <c r="A39" s="139"/>
      <c r="B39" s="139"/>
      <c r="C39" s="513"/>
      <c r="D39" s="174"/>
      <c r="E39" s="174"/>
      <c r="F39" s="174"/>
      <c r="G39" s="174"/>
      <c r="H39" s="174"/>
      <c r="I39" s="174"/>
      <c r="J39" s="174"/>
      <c r="K39" s="174"/>
      <c r="L39" s="174"/>
      <c r="M39" s="174"/>
      <c r="N39" s="174"/>
      <c r="O39" s="174"/>
      <c r="P39" s="174"/>
      <c r="Q39" s="174"/>
      <c r="R39" s="174"/>
      <c r="S39" s="174"/>
      <c r="T39" s="514"/>
      <c r="U39" s="76"/>
      <c r="V39" s="76"/>
    </row>
    <row r="40" spans="1:27" ht="37.15" customHeight="1" thickBot="1" x14ac:dyDescent="0.3">
      <c r="A40" s="1306" t="s">
        <v>146</v>
      </c>
      <c r="B40" s="1307"/>
      <c r="C40" s="1307"/>
      <c r="D40" s="1308"/>
      <c r="E40" s="289">
        <f>E29+E38</f>
        <v>2741.2200870000001</v>
      </c>
      <c r="F40" s="289">
        <f>F29+F38</f>
        <v>141.54435399999997</v>
      </c>
      <c r="G40" s="289"/>
      <c r="H40" s="289">
        <f>H29+H38</f>
        <v>2972.390441</v>
      </c>
      <c r="I40" s="289">
        <f t="shared" ref="I40:R40" si="9">I29+I38</f>
        <v>141.58688704999997</v>
      </c>
      <c r="J40" s="289">
        <f t="shared" si="9"/>
        <v>303.42138499999999</v>
      </c>
      <c r="K40" s="289">
        <f t="shared" si="9"/>
        <v>-3.9999999999995595E-4</v>
      </c>
      <c r="L40" s="289">
        <f t="shared" si="9"/>
        <v>221.47867200000002</v>
      </c>
      <c r="M40" s="289">
        <f t="shared" si="9"/>
        <v>77.098724705750001</v>
      </c>
      <c r="N40" s="289">
        <f t="shared" si="9"/>
        <v>743.58526875575001</v>
      </c>
      <c r="O40" s="289">
        <f t="shared" si="9"/>
        <v>2532.2251722442497</v>
      </c>
      <c r="P40" s="289"/>
      <c r="Q40" s="289">
        <f t="shared" si="9"/>
        <v>2532.2316459999997</v>
      </c>
      <c r="R40" s="289">
        <f t="shared" si="9"/>
        <v>0</v>
      </c>
      <c r="S40" s="289">
        <f>S29+S38</f>
        <v>-2.186255750000754E-3</v>
      </c>
      <c r="T40" s="290"/>
      <c r="U40" s="76"/>
      <c r="V40" s="76"/>
    </row>
    <row r="41" spans="1:27" ht="37.15" customHeight="1" thickTop="1" x14ac:dyDescent="0.25">
      <c r="A41" s="1124"/>
      <c r="B41" s="1124"/>
      <c r="C41" s="1124"/>
      <c r="D41" s="1124"/>
      <c r="E41" s="1125"/>
      <c r="F41" s="1125"/>
      <c r="G41" s="1125"/>
      <c r="H41" s="1125"/>
      <c r="I41" s="1125"/>
      <c r="J41" s="1125"/>
      <c r="K41" s="1125"/>
      <c r="L41" s="1125"/>
      <c r="M41" s="1125"/>
      <c r="N41" s="1125"/>
      <c r="O41" s="1125"/>
      <c r="P41" s="1125"/>
      <c r="Q41" s="1125"/>
      <c r="R41" s="1125"/>
      <c r="S41" s="1125"/>
      <c r="T41" s="1126"/>
      <c r="U41" s="76"/>
      <c r="V41" s="76"/>
    </row>
    <row r="42" spans="1:27" x14ac:dyDescent="0.25">
      <c r="B42" s="144"/>
      <c r="E42" s="71"/>
      <c r="F42" s="71"/>
      <c r="G42" s="71"/>
      <c r="J42" s="76"/>
      <c r="K42" s="76"/>
      <c r="L42" s="76"/>
      <c r="M42" s="76"/>
      <c r="N42" s="76">
        <f>O10+O11</f>
        <v>303.42</v>
      </c>
      <c r="O42" s="76"/>
      <c r="P42" s="76"/>
      <c r="Q42" s="76"/>
      <c r="R42" s="76"/>
      <c r="S42" s="76"/>
      <c r="T42" s="76"/>
      <c r="U42" s="76"/>
      <c r="V42" s="76">
        <v>260673131</v>
      </c>
      <c r="W42" s="77"/>
      <c r="X42" s="77">
        <v>116671628</v>
      </c>
      <c r="Y42" s="67">
        <v>13033657</v>
      </c>
      <c r="Z42" s="77">
        <f>V42-W42-X42-Y42</f>
        <v>130967846</v>
      </c>
      <c r="AA42" s="77">
        <f>Z42*0.05</f>
        <v>6548392.3000000007</v>
      </c>
    </row>
    <row r="43" spans="1:27" s="29" customFormat="1" x14ac:dyDescent="0.25">
      <c r="C43" s="78"/>
      <c r="D43" s="113"/>
      <c r="E43" s="301"/>
      <c r="F43" s="301">
        <f>F40-F24-F25</f>
        <v>119.70335399999996</v>
      </c>
      <c r="G43" s="301"/>
      <c r="H43" s="561">
        <f>H40-H24-H25</f>
        <v>2513.7774409999997</v>
      </c>
      <c r="I43" s="209">
        <f>I40-I24-I25</f>
        <v>118.65623704999997</v>
      </c>
      <c r="J43" s="95"/>
      <c r="K43" s="95"/>
      <c r="L43" s="563"/>
      <c r="M43" s="563"/>
      <c r="N43" s="209">
        <f>N42-J40</f>
        <v>-1.3849999999706597E-3</v>
      </c>
      <c r="O43" s="95"/>
      <c r="S43" s="95"/>
      <c r="V43" s="123"/>
      <c r="Z43" s="29">
        <v>42530476</v>
      </c>
      <c r="AA43" s="29">
        <f>Z43*0.05</f>
        <v>2126523.8000000003</v>
      </c>
    </row>
    <row r="44" spans="1:27" x14ac:dyDescent="0.25">
      <c r="E44" s="300"/>
      <c r="F44" s="300"/>
      <c r="G44" s="300"/>
      <c r="H44" s="123"/>
      <c r="I44" s="209"/>
      <c r="J44" s="1305"/>
      <c r="K44" s="1305"/>
      <c r="L44" s="1305"/>
      <c r="M44" s="836"/>
      <c r="O44" s="77"/>
      <c r="S44" s="71">
        <f>R45-Q40</f>
        <v>-682.44599999999969</v>
      </c>
      <c r="AA44" s="77">
        <f>AA42+AA43</f>
        <v>8674916.1000000015</v>
      </c>
    </row>
    <row r="45" spans="1:27" x14ac:dyDescent="0.25">
      <c r="C45" s="76"/>
      <c r="D45" s="76"/>
      <c r="E45" s="71"/>
      <c r="F45" s="71"/>
      <c r="G45" s="71"/>
      <c r="H45" s="123"/>
      <c r="I45" s="29"/>
      <c r="J45" s="1305"/>
      <c r="K45" s="1305"/>
      <c r="L45" s="1305"/>
      <c r="M45" s="836"/>
      <c r="O45" s="77"/>
      <c r="R45" s="67">
        <v>1849.785646</v>
      </c>
      <c r="S45" s="77"/>
      <c r="V45" s="77"/>
    </row>
    <row r="46" spans="1:27" x14ac:dyDescent="0.25">
      <c r="C46" s="76"/>
      <c r="D46" s="76"/>
      <c r="E46" s="95">
        <f>E40-425.82</f>
        <v>2315.400087</v>
      </c>
      <c r="F46" s="95">
        <f>E46-133.956</f>
        <v>2181.4440869999999</v>
      </c>
      <c r="G46" s="95"/>
      <c r="L46" s="77"/>
      <c r="M46" s="77"/>
    </row>
    <row r="47" spans="1:27" x14ac:dyDescent="0.25">
      <c r="C47" s="76"/>
      <c r="D47" s="76"/>
      <c r="E47" s="124"/>
      <c r="F47" s="124"/>
      <c r="G47" s="124"/>
      <c r="L47" s="77"/>
      <c r="M47" s="77"/>
    </row>
    <row r="48" spans="1:27" x14ac:dyDescent="0.25">
      <c r="C48" s="76"/>
      <c r="D48" s="76"/>
      <c r="E48" s="124"/>
      <c r="F48" s="124"/>
      <c r="G48" s="124"/>
      <c r="H48" s="123"/>
      <c r="I48" s="95"/>
      <c r="J48" s="29"/>
      <c r="K48" s="29"/>
      <c r="L48" s="29"/>
      <c r="M48" s="29"/>
      <c r="N48" s="29"/>
      <c r="O48" s="29"/>
      <c r="P48" s="29"/>
      <c r="Q48" s="95"/>
      <c r="R48" s="95"/>
      <c r="S48" s="95"/>
    </row>
    <row r="49" spans="3:13" x14ac:dyDescent="0.25">
      <c r="C49" s="76"/>
      <c r="D49" s="76"/>
      <c r="E49" s="124"/>
      <c r="F49" s="124"/>
      <c r="G49" s="124"/>
      <c r="H49" s="123"/>
      <c r="I49" s="29"/>
      <c r="J49" s="1305"/>
      <c r="K49" s="1305"/>
      <c r="L49" s="1305"/>
      <c r="M49" s="836"/>
    </row>
    <row r="50" spans="3:13" x14ac:dyDescent="0.25">
      <c r="E50" s="124"/>
      <c r="F50" s="124"/>
      <c r="G50" s="124"/>
      <c r="J50" s="1305"/>
      <c r="K50" s="1305"/>
      <c r="L50" s="1305"/>
      <c r="M50" s="836"/>
    </row>
    <row r="74" spans="4:5" x14ac:dyDescent="0.25">
      <c r="D74" s="67">
        <f>0.001+0.004+0.012</f>
        <v>1.7000000000000001E-2</v>
      </c>
      <c r="E74" s="67">
        <f>0.001+0.004+0.012</f>
        <v>1.7000000000000001E-2</v>
      </c>
    </row>
    <row r="78" spans="4:5" x14ac:dyDescent="0.25">
      <c r="D78" s="67">
        <f>0.006+0.001+0.002+0.001+0.004</f>
        <v>1.4000000000000002E-2</v>
      </c>
      <c r="E78" s="67">
        <f>0.006+0.001+0.002+0.001+0.004</f>
        <v>1.4000000000000002E-2</v>
      </c>
    </row>
  </sheetData>
  <mergeCells count="22">
    <mergeCell ref="A29:B29"/>
    <mergeCell ref="J50:L50"/>
    <mergeCell ref="J49:L49"/>
    <mergeCell ref="J44:L44"/>
    <mergeCell ref="A40:D40"/>
    <mergeCell ref="J45:L45"/>
    <mergeCell ref="R8:R9"/>
    <mergeCell ref="Q8:Q9"/>
    <mergeCell ref="E8:E9"/>
    <mergeCell ref="A1:T1"/>
    <mergeCell ref="A5:T5"/>
    <mergeCell ref="A6:T6"/>
    <mergeCell ref="I8:N8"/>
    <mergeCell ref="O8:O9"/>
    <mergeCell ref="D8:D9"/>
    <mergeCell ref="C8:C9"/>
    <mergeCell ref="A8:A9"/>
    <mergeCell ref="P8:P9"/>
    <mergeCell ref="H8:H9"/>
    <mergeCell ref="S8:S9"/>
    <mergeCell ref="T8:T9"/>
    <mergeCell ref="B8:B9"/>
  </mergeCells>
  <printOptions horizontalCentered="1"/>
  <pageMargins left="0.26" right="0.16" top="0.28000000000000003" bottom="0.33" header="0.17" footer="0.18"/>
  <pageSetup paperSize="9" scale="48" fitToWidth="0" orientation="landscape" r:id="rId1"/>
  <drawing r:id="rId2"/>
  <legacyDrawing r:id="rId3"/>
  <oleObjects>
    <mc:AlternateContent xmlns:mc="http://schemas.openxmlformats.org/markup-compatibility/2006">
      <mc:Choice Requires="x14">
        <oleObject progId="Word.Picture.8" shapeId="10241" r:id="rId4">
          <objectPr defaultSize="0" autoPict="0" r:id="rId5">
            <anchor moveWithCells="1" sizeWithCells="1">
              <from>
                <xdr:col>0</xdr:col>
                <xdr:colOff>0</xdr:colOff>
                <xdr:row>0</xdr:row>
                <xdr:rowOff>0</xdr:rowOff>
              </from>
              <to>
                <xdr:col>0</xdr:col>
                <xdr:colOff>152400</xdr:colOff>
                <xdr:row>1</xdr:row>
                <xdr:rowOff>47625</xdr:rowOff>
              </to>
            </anchor>
          </objectPr>
        </oleObject>
      </mc:Choice>
      <mc:Fallback>
        <oleObject progId="Word.Picture.8" shapeId="10241"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T28"/>
  <sheetViews>
    <sheetView view="pageBreakPreview" topLeftCell="A4" zoomScale="80" zoomScaleNormal="80" zoomScaleSheetLayoutView="80" workbookViewId="0">
      <pane ySplit="5" topLeftCell="A9" activePane="bottomLeft" state="frozen"/>
      <selection activeCell="A4" sqref="A4"/>
      <selection pane="bottomLeft" activeCell="G15" sqref="G15"/>
    </sheetView>
  </sheetViews>
  <sheetFormatPr defaultColWidth="9.140625" defaultRowHeight="14.25" x14ac:dyDescent="0.25"/>
  <cols>
    <col min="1" max="1" width="4.42578125" style="40" customWidth="1"/>
    <col min="2" max="2" width="20.85546875" style="160" customWidth="1"/>
    <col min="3" max="9" width="14.42578125" style="40" customWidth="1"/>
    <col min="10" max="10" width="28.7109375" style="40" customWidth="1"/>
    <col min="11" max="11" width="12" style="40" bestFit="1" customWidth="1"/>
    <col min="12" max="13" width="10.28515625" style="40" customWidth="1"/>
    <col min="14" max="14" width="18.5703125" style="40" bestFit="1" customWidth="1"/>
    <col min="15" max="18" width="11.28515625" style="40" customWidth="1"/>
    <col min="19" max="19" width="9.42578125" style="40" bestFit="1" customWidth="1"/>
    <col min="20" max="20" width="9.28515625" style="40" bestFit="1" customWidth="1"/>
    <col min="21" max="16384" width="9.140625" style="40"/>
  </cols>
  <sheetData>
    <row r="1" spans="1:20" ht="15" x14ac:dyDescent="0.25">
      <c r="B1" s="186"/>
      <c r="C1" s="186"/>
      <c r="D1" s="186"/>
      <c r="E1" s="186"/>
      <c r="F1" s="186"/>
      <c r="J1" s="186" t="s">
        <v>49</v>
      </c>
      <c r="K1" s="958"/>
      <c r="L1" s="958"/>
      <c r="M1" s="958"/>
      <c r="N1" s="958"/>
      <c r="O1" s="958"/>
      <c r="P1" s="958"/>
    </row>
    <row r="2" spans="1:20" ht="15.75" x14ac:dyDescent="0.25">
      <c r="A2" s="18"/>
      <c r="B2" s="128"/>
      <c r="C2" s="18"/>
      <c r="D2" s="18"/>
      <c r="E2" s="18"/>
      <c r="F2" s="18"/>
      <c r="J2" s="103" t="str">
        <f>"MONTH - "&amp;Summary!$G$6</f>
        <v>MONTH - July 2025</v>
      </c>
      <c r="K2" s="944"/>
      <c r="L2" s="944"/>
      <c r="M2" s="944"/>
      <c r="N2" s="944"/>
      <c r="O2" s="944"/>
      <c r="P2" s="944"/>
    </row>
    <row r="4" spans="1:20" ht="15.75" x14ac:dyDescent="0.25">
      <c r="A4" s="1179" t="s">
        <v>74</v>
      </c>
      <c r="B4" s="1179"/>
      <c r="C4" s="1179"/>
      <c r="D4" s="1179"/>
      <c r="E4" s="1179"/>
      <c r="F4" s="1179"/>
      <c r="G4" s="1179"/>
      <c r="H4" s="1179"/>
      <c r="I4" s="1179"/>
      <c r="J4" s="1179"/>
      <c r="K4" s="947"/>
      <c r="L4" s="947"/>
      <c r="M4" s="947"/>
      <c r="N4" s="947"/>
      <c r="O4" s="947"/>
      <c r="P4" s="947"/>
    </row>
    <row r="5" spans="1:20" ht="20.25" customHeight="1" x14ac:dyDescent="0.25">
      <c r="A5" s="1179" t="str">
        <f>'Anx H'!A4:T4</f>
        <v xml:space="preserve">PMU NLC INFRA DEV WORKS at Chahar Bagh (RUDA ) </v>
      </c>
      <c r="B5" s="1179"/>
      <c r="C5" s="1179"/>
      <c r="D5" s="1179"/>
      <c r="E5" s="1179"/>
      <c r="F5" s="1179"/>
      <c r="G5" s="1179"/>
      <c r="H5" s="1179"/>
      <c r="I5" s="1179"/>
      <c r="J5" s="1179"/>
      <c r="K5" s="947"/>
      <c r="L5" s="947"/>
      <c r="M5" s="947"/>
      <c r="N5" s="947"/>
      <c r="O5" s="947"/>
      <c r="P5" s="947"/>
    </row>
    <row r="6" spans="1:20" ht="13.5" customHeight="1" thickBot="1" x14ac:dyDescent="0.3">
      <c r="A6" s="1324"/>
      <c r="B6" s="1324"/>
      <c r="C6" s="1324"/>
      <c r="D6" s="1324"/>
      <c r="E6" s="1324"/>
      <c r="F6" s="1324"/>
      <c r="G6" s="1324"/>
      <c r="H6" s="42"/>
      <c r="I6" s="42"/>
      <c r="K6" s="1317" t="s">
        <v>312</v>
      </c>
      <c r="L6" s="1317"/>
      <c r="M6" s="1317"/>
      <c r="N6" s="1317"/>
      <c r="O6" s="1317"/>
      <c r="P6" s="1317"/>
      <c r="Q6" s="1317"/>
      <c r="R6" s="1317"/>
      <c r="S6" s="1317"/>
    </row>
    <row r="7" spans="1:20" s="79" customFormat="1" ht="49.5" customHeight="1" thickTop="1" thickBot="1" x14ac:dyDescent="0.3">
      <c r="A7" s="1262" t="s">
        <v>7</v>
      </c>
      <c r="B7" s="1262" t="s">
        <v>33</v>
      </c>
      <c r="C7" s="1262" t="s">
        <v>208</v>
      </c>
      <c r="D7" s="1262"/>
      <c r="E7" s="1262"/>
      <c r="F7" s="1323" t="s">
        <v>209</v>
      </c>
      <c r="G7" s="1325"/>
      <c r="H7" s="1263" t="s">
        <v>584</v>
      </c>
      <c r="I7" s="1263" t="s">
        <v>585</v>
      </c>
      <c r="J7" s="1323" t="s">
        <v>23</v>
      </c>
      <c r="K7" s="1315" t="s">
        <v>208</v>
      </c>
      <c r="L7" s="1316"/>
      <c r="M7" s="1314"/>
      <c r="N7" s="1313" t="s">
        <v>209</v>
      </c>
      <c r="O7" s="1314"/>
      <c r="P7" s="1311" t="s">
        <v>584</v>
      </c>
      <c r="Q7" s="1309" t="s">
        <v>585</v>
      </c>
      <c r="R7" s="1318" t="s">
        <v>23</v>
      </c>
      <c r="S7" s="964"/>
    </row>
    <row r="8" spans="1:20" ht="30" customHeight="1" thickTop="1" thickBot="1" x14ac:dyDescent="0.3">
      <c r="A8" s="1262"/>
      <c r="B8" s="1262"/>
      <c r="C8" s="303" t="s">
        <v>210</v>
      </c>
      <c r="D8" s="303" t="s">
        <v>211</v>
      </c>
      <c r="E8" s="303" t="s">
        <v>205</v>
      </c>
      <c r="F8" s="303" t="s">
        <v>211</v>
      </c>
      <c r="G8" s="303" t="s">
        <v>205</v>
      </c>
      <c r="H8" s="1326"/>
      <c r="I8" s="1326"/>
      <c r="J8" s="1323"/>
      <c r="K8" s="1020" t="s">
        <v>210</v>
      </c>
      <c r="L8" s="1021" t="s">
        <v>211</v>
      </c>
      <c r="M8" s="1021" t="s">
        <v>205</v>
      </c>
      <c r="N8" s="1021" t="s">
        <v>211</v>
      </c>
      <c r="O8" s="1021" t="s">
        <v>205</v>
      </c>
      <c r="P8" s="1312"/>
      <c r="Q8" s="1310"/>
      <c r="R8" s="1319"/>
      <c r="S8" s="1025"/>
    </row>
    <row r="9" spans="1:20" ht="16.5" customHeight="1" thickTop="1" x14ac:dyDescent="0.25">
      <c r="A9" s="306"/>
      <c r="B9" s="307"/>
      <c r="C9" s="306"/>
      <c r="D9" s="306"/>
      <c r="E9" s="306"/>
      <c r="F9" s="306"/>
      <c r="G9" s="306"/>
      <c r="H9" s="306"/>
      <c r="I9" s="306"/>
      <c r="J9" s="308"/>
      <c r="K9" s="1016"/>
      <c r="L9" s="1017"/>
      <c r="M9" s="1017"/>
      <c r="N9" s="1017"/>
      <c r="O9" s="1017"/>
      <c r="P9" s="1017"/>
      <c r="Q9" s="1018"/>
      <c r="R9" s="1019"/>
      <c r="S9" s="1025"/>
    </row>
    <row r="10" spans="1:20" ht="47.25" customHeight="1" x14ac:dyDescent="0.25">
      <c r="A10" s="1320" t="s">
        <v>628</v>
      </c>
      <c r="B10" s="1321"/>
      <c r="C10" s="525">
        <v>0</v>
      </c>
      <c r="D10" s="525">
        <f>L10+C10</f>
        <v>141.87700000000001</v>
      </c>
      <c r="E10" s="525">
        <f>M10+C10</f>
        <v>0</v>
      </c>
      <c r="F10" s="525">
        <f>'Anx J'!E38</f>
        <v>133.95400000000001</v>
      </c>
      <c r="G10" s="525">
        <v>0</v>
      </c>
      <c r="H10" s="525">
        <v>0</v>
      </c>
      <c r="I10" s="525">
        <f>G10-H10</f>
        <v>0</v>
      </c>
      <c r="J10" s="1014" t="s">
        <v>583</v>
      </c>
      <c r="K10" s="1022">
        <v>0</v>
      </c>
      <c r="L10" s="1023">
        <v>141.87700000000001</v>
      </c>
      <c r="M10" s="1023">
        <v>0</v>
      </c>
      <c r="N10" s="1023">
        <v>133.95400000000001</v>
      </c>
      <c r="O10" s="1023">
        <v>42.530476</v>
      </c>
      <c r="P10" s="1023">
        <v>0</v>
      </c>
      <c r="Q10" s="316">
        <v>42.530476</v>
      </c>
      <c r="R10" s="1024"/>
      <c r="S10" s="781">
        <v>9.3737019999999998</v>
      </c>
      <c r="T10" s="40">
        <v>0</v>
      </c>
    </row>
    <row r="11" spans="1:20" ht="16.5" customHeight="1" x14ac:dyDescent="0.25">
      <c r="A11" s="1320" t="s">
        <v>928</v>
      </c>
      <c r="B11" s="1321"/>
      <c r="C11" s="525">
        <v>23</v>
      </c>
      <c r="D11" s="525">
        <f>C11+L11</f>
        <v>63.5</v>
      </c>
      <c r="E11" s="525">
        <v>23</v>
      </c>
      <c r="F11" s="525"/>
      <c r="G11" s="525"/>
      <c r="H11" s="525"/>
      <c r="I11" s="525"/>
      <c r="J11" s="1014" t="s">
        <v>583</v>
      </c>
      <c r="K11" s="1022">
        <v>40.5</v>
      </c>
      <c r="L11" s="1023">
        <v>40.5</v>
      </c>
      <c r="M11" s="1023">
        <v>40.5</v>
      </c>
      <c r="N11" s="1023"/>
      <c r="O11" s="1023"/>
      <c r="P11" s="1023"/>
      <c r="Q11" s="316"/>
      <c r="R11" s="1024"/>
      <c r="S11" s="781"/>
    </row>
    <row r="12" spans="1:20" ht="27.75" customHeight="1" x14ac:dyDescent="0.25">
      <c r="A12" s="1327" t="s">
        <v>629</v>
      </c>
      <c r="B12" s="1321"/>
      <c r="C12" s="525">
        <v>0</v>
      </c>
      <c r="D12" s="525">
        <f>D10*5%</f>
        <v>7.0938500000000007</v>
      </c>
      <c r="E12" s="525">
        <f>E10*5%</f>
        <v>0</v>
      </c>
      <c r="F12" s="525">
        <f>F10*5%</f>
        <v>6.6977000000000011</v>
      </c>
      <c r="G12" s="525">
        <f>G10*5%</f>
        <v>0</v>
      </c>
      <c r="H12" s="525"/>
      <c r="I12" s="525"/>
      <c r="J12" s="1014"/>
      <c r="K12" s="1028">
        <v>0</v>
      </c>
      <c r="L12" s="525">
        <v>7.0938500000000007</v>
      </c>
      <c r="M12" s="525">
        <v>0</v>
      </c>
      <c r="N12" s="525">
        <v>6.6977000000000011</v>
      </c>
      <c r="O12" s="525">
        <v>2.1265238000000002</v>
      </c>
      <c r="P12" s="525">
        <f t="shared" ref="P12:S12" si="0">P10*5%</f>
        <v>0</v>
      </c>
      <c r="Q12" s="525"/>
      <c r="R12" s="1029"/>
      <c r="S12" s="1026">
        <f t="shared" si="0"/>
        <v>0.46868510000000002</v>
      </c>
    </row>
    <row r="13" spans="1:20" ht="26.25" customHeight="1" thickBot="1" x14ac:dyDescent="0.3">
      <c r="A13" s="1322" t="s">
        <v>212</v>
      </c>
      <c r="B13" s="1322"/>
      <c r="C13" s="526">
        <f>SUM(C10:C12)</f>
        <v>23</v>
      </c>
      <c r="D13" s="526">
        <f t="shared" ref="D13:I13" si="1">SUM(D10:D12)</f>
        <v>212.47085000000001</v>
      </c>
      <c r="E13" s="526">
        <f t="shared" si="1"/>
        <v>23</v>
      </c>
      <c r="F13" s="526">
        <f t="shared" si="1"/>
        <v>140.65170000000001</v>
      </c>
      <c r="G13" s="526">
        <f t="shared" si="1"/>
        <v>0</v>
      </c>
      <c r="H13" s="526">
        <f t="shared" si="1"/>
        <v>0</v>
      </c>
      <c r="I13" s="526">
        <f t="shared" si="1"/>
        <v>0</v>
      </c>
      <c r="J13" s="1015"/>
      <c r="K13" s="1030">
        <v>40.5</v>
      </c>
      <c r="L13" s="1031">
        <v>189.47085000000001</v>
      </c>
      <c r="M13" s="1031">
        <v>40.5</v>
      </c>
      <c r="N13" s="1031">
        <v>140.65170000000001</v>
      </c>
      <c r="O13" s="1031">
        <v>44.656999800000001</v>
      </c>
      <c r="P13" s="1031">
        <f t="shared" ref="P13:S13" si="2">SUM(P10:P12)</f>
        <v>0</v>
      </c>
      <c r="Q13" s="1031">
        <f t="shared" si="2"/>
        <v>42.530476</v>
      </c>
      <c r="R13" s="1032"/>
      <c r="S13" s="1027">
        <f t="shared" si="2"/>
        <v>9.8423870999999998</v>
      </c>
    </row>
    <row r="14" spans="1:20" x14ac:dyDescent="0.25">
      <c r="A14" s="42"/>
      <c r="B14" s="40"/>
    </row>
    <row r="16" spans="1:20" x14ac:dyDescent="0.25">
      <c r="G16" s="40">
        <f>9.579-9.123</f>
        <v>0.45600000000000129</v>
      </c>
    </row>
    <row r="17" spans="3:8" x14ac:dyDescent="0.25">
      <c r="D17" s="739">
        <f>110.475-91.426</f>
        <v>19.048999999999992</v>
      </c>
      <c r="E17" s="89">
        <f>E13-9.581</f>
        <v>13.419</v>
      </c>
    </row>
    <row r="18" spans="3:8" x14ac:dyDescent="0.25">
      <c r="C18" s="89">
        <f>167.276-D10</f>
        <v>25.399000000000001</v>
      </c>
    </row>
    <row r="20" spans="3:8" x14ac:dyDescent="0.25">
      <c r="F20" s="89">
        <f>F13-G23</f>
        <v>-34.973146999999983</v>
      </c>
    </row>
    <row r="23" spans="3:8" x14ac:dyDescent="0.25">
      <c r="G23" s="40">
        <v>175.62484699999999</v>
      </c>
      <c r="H23" s="40">
        <f>G23*0.05</f>
        <v>8.7812423499999994</v>
      </c>
    </row>
    <row r="24" spans="3:8" x14ac:dyDescent="0.25">
      <c r="G24" s="40">
        <v>95.997</v>
      </c>
    </row>
    <row r="27" spans="3:8" x14ac:dyDescent="0.25">
      <c r="G27" s="40">
        <f>G23-G24</f>
        <v>79.627846999999988</v>
      </c>
    </row>
    <row r="28" spans="3:8" x14ac:dyDescent="0.25">
      <c r="G28" s="89">
        <f>G27-F20</f>
        <v>114.60099399999997</v>
      </c>
    </row>
  </sheetData>
  <mergeCells count="20">
    <mergeCell ref="A10:B10"/>
    <mergeCell ref="A13:B13"/>
    <mergeCell ref="A4:J4"/>
    <mergeCell ref="A5:J5"/>
    <mergeCell ref="J7:J8"/>
    <mergeCell ref="A6:G6"/>
    <mergeCell ref="A7:A8"/>
    <mergeCell ref="B7:B8"/>
    <mergeCell ref="C7:E7"/>
    <mergeCell ref="F7:G7"/>
    <mergeCell ref="A11:B11"/>
    <mergeCell ref="H7:H8"/>
    <mergeCell ref="I7:I8"/>
    <mergeCell ref="A12:B12"/>
    <mergeCell ref="Q7:Q8"/>
    <mergeCell ref="P7:P8"/>
    <mergeCell ref="N7:O7"/>
    <mergeCell ref="K7:M7"/>
    <mergeCell ref="K6:S6"/>
    <mergeCell ref="R7:R8"/>
  </mergeCells>
  <printOptions horizontalCentered="1"/>
  <pageMargins left="0.82" right="0.3" top="0.32" bottom="0.33" header="0.17" footer="0.18"/>
  <pageSetup paperSize="9" scale="70" orientation="landscape" r:id="rId1"/>
  <drawing r:id="rId2"/>
  <legacyDrawing r:id="rId3"/>
  <oleObjects>
    <mc:AlternateContent xmlns:mc="http://schemas.openxmlformats.org/markup-compatibility/2006">
      <mc:Choice Requires="x14">
        <oleObject progId="Word.Picture.8" shapeId="11265" r:id="rId4">
          <objectPr defaultSize="0" autoPict="0" r:id="rId5">
            <anchor moveWithCells="1" sizeWithCells="1">
              <from>
                <xdr:col>0</xdr:col>
                <xdr:colOff>0</xdr:colOff>
                <xdr:row>1</xdr:row>
                <xdr:rowOff>0</xdr:rowOff>
              </from>
              <to>
                <xdr:col>0</xdr:col>
                <xdr:colOff>209550</xdr:colOff>
                <xdr:row>2</xdr:row>
                <xdr:rowOff>57150</xdr:rowOff>
              </to>
            </anchor>
          </objectPr>
        </oleObject>
      </mc:Choice>
      <mc:Fallback>
        <oleObject progId="Word.Picture.8" shapeId="11265"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Q43"/>
  <sheetViews>
    <sheetView topLeftCell="B2" zoomScale="85" zoomScaleNormal="85" zoomScaleSheetLayoutView="100" workbookViewId="0">
      <pane xSplit="1" ySplit="5" topLeftCell="C7" activePane="bottomRight" state="frozen"/>
      <selection activeCell="D29" sqref="D29"/>
      <selection pane="topRight" activeCell="D29" sqref="D29"/>
      <selection pane="bottomLeft" activeCell="D29" sqref="D29"/>
      <selection pane="bottomRight" activeCell="C16" sqref="C16"/>
    </sheetView>
  </sheetViews>
  <sheetFormatPr defaultColWidth="9.140625" defaultRowHeight="14.25" x14ac:dyDescent="0.25"/>
  <cols>
    <col min="1" max="1" width="4.85546875" style="18" bestFit="1" customWidth="1"/>
    <col min="2" max="2" width="42.5703125" style="18" bestFit="1" customWidth="1"/>
    <col min="3" max="3" width="17.28515625" style="128" customWidth="1"/>
    <col min="4" max="4" width="14.85546875" style="128" customWidth="1"/>
    <col min="5" max="5" width="20.28515625" style="128" customWidth="1"/>
    <col min="6" max="6" width="18.140625" style="128" customWidth="1"/>
    <col min="7" max="7" width="14.7109375" style="128" bestFit="1" customWidth="1"/>
    <col min="8" max="8" width="17.28515625" style="128" customWidth="1"/>
    <col min="9" max="9" width="28.7109375" style="18" customWidth="1"/>
    <col min="10" max="10" width="3.140625" style="18" customWidth="1"/>
    <col min="11" max="16384" width="9.140625" style="18"/>
  </cols>
  <sheetData>
    <row r="1" spans="1:17" ht="15" x14ac:dyDescent="0.25">
      <c r="A1" s="1328" t="s">
        <v>137</v>
      </c>
      <c r="B1" s="1328"/>
      <c r="C1" s="1328"/>
      <c r="D1" s="1328"/>
      <c r="E1" s="1328"/>
      <c r="F1" s="1328"/>
      <c r="G1" s="1328"/>
      <c r="H1" s="1328"/>
    </row>
    <row r="2" spans="1:17" ht="15.75" x14ac:dyDescent="0.25">
      <c r="A2" s="1"/>
      <c r="B2" s="1"/>
      <c r="C2" s="126"/>
      <c r="D2" s="126"/>
      <c r="E2" s="126"/>
      <c r="F2" s="126"/>
      <c r="G2" s="126"/>
      <c r="H2" s="127" t="str">
        <f>"MONTH - "&amp;Summary!$G$6</f>
        <v>MONTH - July 2025</v>
      </c>
    </row>
    <row r="3" spans="1:17" ht="15.75" x14ac:dyDescent="0.25">
      <c r="A3" s="1177" t="s">
        <v>241</v>
      </c>
      <c r="B3" s="1177"/>
      <c r="C3" s="1177"/>
      <c r="D3" s="1177"/>
      <c r="E3" s="1177"/>
      <c r="F3" s="1177"/>
      <c r="G3" s="1177"/>
      <c r="H3" s="1177"/>
    </row>
    <row r="4" spans="1:17" ht="15" x14ac:dyDescent="0.25">
      <c r="A4" s="1329" t="str">
        <f>'Anx J'!A6:T6</f>
        <v xml:space="preserve">PMU NLC INFRA DEV WORKS at Chahar Bagh (RUDA ) </v>
      </c>
      <c r="B4" s="1330"/>
      <c r="C4" s="1330"/>
      <c r="D4" s="1330"/>
      <c r="E4" s="1330"/>
      <c r="F4" s="1330"/>
      <c r="G4" s="1330"/>
      <c r="H4" s="1330"/>
    </row>
    <row r="5" spans="1:17" ht="10.5" customHeight="1" thickBot="1" x14ac:dyDescent="0.3"/>
    <row r="6" spans="1:17" ht="52.9" customHeight="1" thickTop="1" thickBot="1" x14ac:dyDescent="0.3">
      <c r="A6" s="3" t="s">
        <v>7</v>
      </c>
      <c r="B6" s="48" t="s">
        <v>135</v>
      </c>
      <c r="C6" s="129" t="s">
        <v>136</v>
      </c>
      <c r="D6" s="129" t="s">
        <v>220</v>
      </c>
      <c r="E6" s="129" t="s">
        <v>180</v>
      </c>
      <c r="F6" s="129" t="s">
        <v>179</v>
      </c>
      <c r="G6" s="129" t="s">
        <v>221</v>
      </c>
      <c r="H6" s="129" t="s">
        <v>178</v>
      </c>
      <c r="I6" s="195" t="s">
        <v>23</v>
      </c>
      <c r="J6" s="320"/>
    </row>
    <row r="7" spans="1:17" ht="11.45" customHeight="1" thickTop="1" x14ac:dyDescent="0.25">
      <c r="A7" s="42"/>
      <c r="B7" s="79"/>
      <c r="C7" s="203"/>
      <c r="D7" s="203"/>
      <c r="E7" s="203"/>
      <c r="F7" s="203"/>
      <c r="G7" s="203"/>
      <c r="H7" s="203"/>
      <c r="I7" s="195"/>
      <c r="J7" s="320"/>
    </row>
    <row r="8" spans="1:17" ht="20.25" customHeight="1" x14ac:dyDescent="0.25">
      <c r="A8" s="45">
        <v>1</v>
      </c>
      <c r="B8" s="653" t="s">
        <v>445</v>
      </c>
      <c r="C8" s="655">
        <v>9251500</v>
      </c>
      <c r="D8" s="654">
        <v>77095.833333333299</v>
      </c>
      <c r="E8" s="654">
        <f>77096+77096+77096+77096+77096</f>
        <v>385480</v>
      </c>
      <c r="F8" s="654">
        <f>539671.666666667+77096+77096+77096+77096+77096+77096+77096+77096+77096+77096+77096+77096+77095.8+77096+77096</f>
        <v>1696111.466666667</v>
      </c>
      <c r="G8" s="655">
        <v>0</v>
      </c>
      <c r="H8" s="655">
        <f>C8-F8</f>
        <v>7555388.5333333332</v>
      </c>
      <c r="I8" s="228"/>
      <c r="J8" s="320"/>
      <c r="K8" s="18">
        <v>77095.833333333299</v>
      </c>
      <c r="M8" s="18">
        <v>308384</v>
      </c>
      <c r="N8" s="18">
        <v>1619015.466666667</v>
      </c>
      <c r="O8" s="349">
        <f>E8-M8</f>
        <v>77096</v>
      </c>
      <c r="P8" s="349">
        <f>F8-N8</f>
        <v>77096</v>
      </c>
      <c r="Q8" s="349">
        <f>O8-P8</f>
        <v>0</v>
      </c>
    </row>
    <row r="9" spans="1:17" ht="20.25" customHeight="1" x14ac:dyDescent="0.25">
      <c r="A9" s="45">
        <v>1</v>
      </c>
      <c r="B9" s="653" t="s">
        <v>446</v>
      </c>
      <c r="C9" s="657"/>
      <c r="D9" s="654">
        <v>0</v>
      </c>
      <c r="E9" s="654"/>
      <c r="F9" s="654">
        <v>0</v>
      </c>
      <c r="G9" s="655">
        <v>0</v>
      </c>
      <c r="H9" s="655">
        <f t="shared" ref="H9:H32" si="0">C9-F9</f>
        <v>0</v>
      </c>
      <c r="I9" s="228"/>
      <c r="J9" s="320"/>
      <c r="K9" s="18">
        <v>0</v>
      </c>
      <c r="N9" s="18">
        <v>0</v>
      </c>
      <c r="O9" s="349">
        <f t="shared" ref="O9:O38" si="1">E9-M9</f>
        <v>0</v>
      </c>
      <c r="P9" s="349">
        <f t="shared" ref="P9:P38" si="2">F9-N9</f>
        <v>0</v>
      </c>
      <c r="Q9" s="349">
        <f t="shared" ref="Q9:Q38" si="3">O9-P9</f>
        <v>0</v>
      </c>
    </row>
    <row r="10" spans="1:17" ht="20.25" customHeight="1" x14ac:dyDescent="0.25">
      <c r="A10" s="45">
        <v>1</v>
      </c>
      <c r="B10" s="653" t="s">
        <v>447</v>
      </c>
      <c r="C10" s="655">
        <v>942603</v>
      </c>
      <c r="D10" s="654">
        <v>7855.0250000000005</v>
      </c>
      <c r="E10" s="654">
        <f>7855+7855+7855+7855+7855</f>
        <v>39275</v>
      </c>
      <c r="F10" s="654">
        <f>54985.05+7855+7855+7855+7855+7855+7855+7855+7855+7855+7855+7855+7855+7855.03+7855+7855</f>
        <v>172810.08</v>
      </c>
      <c r="G10" s="655">
        <v>0</v>
      </c>
      <c r="H10" s="655">
        <f t="shared" si="0"/>
        <v>769792.92</v>
      </c>
      <c r="I10" s="228"/>
      <c r="J10" s="320"/>
      <c r="K10" s="18">
        <v>7855.0250000000005</v>
      </c>
      <c r="M10" s="18">
        <v>31420</v>
      </c>
      <c r="N10" s="18">
        <v>164955.07999999999</v>
      </c>
      <c r="O10" s="349">
        <f t="shared" si="1"/>
        <v>7855</v>
      </c>
      <c r="P10" s="349">
        <f t="shared" si="2"/>
        <v>7855</v>
      </c>
      <c r="Q10" s="349">
        <f t="shared" si="3"/>
        <v>0</v>
      </c>
    </row>
    <row r="11" spans="1:17" ht="20.25" customHeight="1" x14ac:dyDescent="0.25">
      <c r="A11" s="45"/>
      <c r="B11" s="653" t="s">
        <v>437</v>
      </c>
      <c r="C11" s="655"/>
      <c r="D11" s="654">
        <v>0</v>
      </c>
      <c r="E11" s="654"/>
      <c r="F11" s="654">
        <v>0</v>
      </c>
      <c r="G11" s="655">
        <v>0</v>
      </c>
      <c r="H11" s="655">
        <f t="shared" si="0"/>
        <v>0</v>
      </c>
      <c r="I11" s="228"/>
      <c r="J11" s="320"/>
      <c r="K11" s="18">
        <v>0</v>
      </c>
      <c r="N11" s="18">
        <v>0</v>
      </c>
      <c r="O11" s="349">
        <f t="shared" si="1"/>
        <v>0</v>
      </c>
      <c r="P11" s="349">
        <f t="shared" si="2"/>
        <v>0</v>
      </c>
      <c r="Q11" s="349">
        <f t="shared" si="3"/>
        <v>0</v>
      </c>
    </row>
    <row r="12" spans="1:17" ht="20.25" customHeight="1" x14ac:dyDescent="0.25">
      <c r="A12" s="45">
        <v>1</v>
      </c>
      <c r="B12" s="653" t="s">
        <v>448</v>
      </c>
      <c r="C12" s="655">
        <v>3932000</v>
      </c>
      <c r="D12" s="654">
        <v>32766.666666666668</v>
      </c>
      <c r="E12" s="654">
        <f>32767+32767+32767+32766+32767</f>
        <v>163834</v>
      </c>
      <c r="F12" s="654">
        <f>229366.333333333+32767+32767+32767+32767+32767+32767+32767+32767+32767+32767+32767+32767+32767+32766+32767</f>
        <v>720870.33333333302</v>
      </c>
      <c r="G12" s="655">
        <v>0</v>
      </c>
      <c r="H12" s="655">
        <f t="shared" si="0"/>
        <v>3211129.666666667</v>
      </c>
      <c r="I12" s="228"/>
      <c r="J12" s="320"/>
      <c r="K12" s="18">
        <v>32766.666666666668</v>
      </c>
      <c r="M12" s="18">
        <v>131067</v>
      </c>
      <c r="N12" s="18">
        <v>688103.33333333302</v>
      </c>
      <c r="O12" s="349">
        <f t="shared" si="1"/>
        <v>32767</v>
      </c>
      <c r="P12" s="349">
        <f t="shared" si="2"/>
        <v>32767</v>
      </c>
      <c r="Q12" s="349">
        <f t="shared" si="3"/>
        <v>0</v>
      </c>
    </row>
    <row r="13" spans="1:17" ht="20.25" customHeight="1" x14ac:dyDescent="0.25">
      <c r="A13" s="45"/>
      <c r="B13" s="653" t="s">
        <v>449</v>
      </c>
      <c r="C13" s="655">
        <v>7922480</v>
      </c>
      <c r="D13" s="654">
        <v>66020.666666666672</v>
      </c>
      <c r="E13" s="654">
        <f>66021+66021+66021+66021+66021</f>
        <v>330105</v>
      </c>
      <c r="F13" s="654">
        <f>462145.333333333+66021+66021+66021+66021+66021+66021+66021+66021+66021+66021+66021+66021+66021+66021+66021</f>
        <v>1452460.333333333</v>
      </c>
      <c r="G13" s="655"/>
      <c r="H13" s="655">
        <f t="shared" si="0"/>
        <v>6470019.666666667</v>
      </c>
      <c r="I13" s="228"/>
      <c r="J13" s="320"/>
      <c r="K13" s="18">
        <v>66020.666666666672</v>
      </c>
      <c r="M13" s="18">
        <v>264084</v>
      </c>
      <c r="N13" s="18">
        <v>1386439.333333333</v>
      </c>
      <c r="O13" s="349">
        <f t="shared" si="1"/>
        <v>66021</v>
      </c>
      <c r="P13" s="349">
        <f t="shared" si="2"/>
        <v>66021</v>
      </c>
      <c r="Q13" s="349">
        <f t="shared" si="3"/>
        <v>0</v>
      </c>
    </row>
    <row r="14" spans="1:17" ht="20.25" customHeight="1" x14ac:dyDescent="0.25">
      <c r="A14" s="45"/>
      <c r="B14" s="653" t="s">
        <v>450</v>
      </c>
      <c r="C14" s="655"/>
      <c r="D14" s="654">
        <v>0</v>
      </c>
      <c r="E14" s="654"/>
      <c r="F14" s="654">
        <v>0</v>
      </c>
      <c r="G14" s="655"/>
      <c r="H14" s="655">
        <f t="shared" si="0"/>
        <v>0</v>
      </c>
      <c r="I14" s="228"/>
      <c r="J14" s="320"/>
      <c r="K14" s="18">
        <v>0</v>
      </c>
      <c r="N14" s="18">
        <v>0</v>
      </c>
      <c r="O14" s="349">
        <f t="shared" si="1"/>
        <v>0</v>
      </c>
      <c r="P14" s="349">
        <f t="shared" si="2"/>
        <v>0</v>
      </c>
      <c r="Q14" s="349">
        <f t="shared" si="3"/>
        <v>0</v>
      </c>
    </row>
    <row r="15" spans="1:17" ht="20.25" customHeight="1" x14ac:dyDescent="0.25">
      <c r="A15" s="45">
        <v>1</v>
      </c>
      <c r="B15" s="653" t="s">
        <v>451</v>
      </c>
      <c r="C15" s="655"/>
      <c r="D15" s="654">
        <v>0</v>
      </c>
      <c r="E15" s="654"/>
      <c r="F15" s="654">
        <v>0</v>
      </c>
      <c r="G15" s="655">
        <v>0</v>
      </c>
      <c r="H15" s="655">
        <f t="shared" si="0"/>
        <v>0</v>
      </c>
      <c r="I15" s="228"/>
      <c r="J15" s="320"/>
      <c r="K15" s="18">
        <v>0</v>
      </c>
      <c r="N15" s="18">
        <v>0</v>
      </c>
      <c r="O15" s="349">
        <f t="shared" si="1"/>
        <v>0</v>
      </c>
      <c r="P15" s="349">
        <f t="shared" si="2"/>
        <v>0</v>
      </c>
      <c r="Q15" s="349">
        <f t="shared" si="3"/>
        <v>0</v>
      </c>
    </row>
    <row r="16" spans="1:17" ht="20.25" customHeight="1" x14ac:dyDescent="0.25">
      <c r="A16" s="45"/>
      <c r="B16" s="653" t="s">
        <v>452</v>
      </c>
      <c r="C16" s="657">
        <v>168500</v>
      </c>
      <c r="D16" s="654">
        <v>1404.1666666666667</v>
      </c>
      <c r="E16" s="654">
        <f>1404+1404+1404+1404+1404</f>
        <v>7020</v>
      </c>
      <c r="F16" s="654">
        <f>9828.33333333333+1404+1404+1404+1404+1404+1404+1404+1404+1404+1404+1404+1404+1404+1404+1404</f>
        <v>30888.333333333328</v>
      </c>
      <c r="G16" s="655"/>
      <c r="H16" s="655">
        <f t="shared" si="0"/>
        <v>137611.66666666669</v>
      </c>
      <c r="I16" s="228"/>
      <c r="J16" s="320"/>
      <c r="K16" s="18">
        <v>1404.1666666666667</v>
      </c>
      <c r="M16" s="18">
        <v>5616</v>
      </c>
      <c r="N16" s="18">
        <v>29484.333333333328</v>
      </c>
      <c r="O16" s="349">
        <f t="shared" si="1"/>
        <v>1404</v>
      </c>
      <c r="P16" s="349">
        <f t="shared" si="2"/>
        <v>1404</v>
      </c>
      <c r="Q16" s="349">
        <f t="shared" si="3"/>
        <v>0</v>
      </c>
    </row>
    <row r="17" spans="1:17" ht="20.25" customHeight="1" x14ac:dyDescent="0.25">
      <c r="A17" s="45"/>
      <c r="B17" s="653" t="s">
        <v>453</v>
      </c>
      <c r="C17" s="657">
        <v>168500</v>
      </c>
      <c r="D17" s="654">
        <v>1404.1666666666667</v>
      </c>
      <c r="E17" s="654">
        <f>1404+1404+1404+1404+1404</f>
        <v>7020</v>
      </c>
      <c r="F17" s="654">
        <f>9828.33333333333+1404+1404+1404+1404+1404+1404+1404+1404+1404+1404+1404+1404+1404+1404+1404</f>
        <v>30888.333333333328</v>
      </c>
      <c r="G17" s="655"/>
      <c r="H17" s="655">
        <f t="shared" si="0"/>
        <v>137611.66666666669</v>
      </c>
      <c r="I17" s="228"/>
      <c r="J17" s="320"/>
      <c r="K17" s="18">
        <v>1404.1666666666667</v>
      </c>
      <c r="M17" s="18">
        <v>5616</v>
      </c>
      <c r="N17" s="18">
        <v>29484.333333333328</v>
      </c>
      <c r="O17" s="349">
        <f t="shared" si="1"/>
        <v>1404</v>
      </c>
      <c r="P17" s="349">
        <f t="shared" si="2"/>
        <v>1404</v>
      </c>
      <c r="Q17" s="349">
        <f t="shared" si="3"/>
        <v>0</v>
      </c>
    </row>
    <row r="18" spans="1:17" ht="20.25" customHeight="1" x14ac:dyDescent="0.25">
      <c r="A18" s="45"/>
      <c r="B18" s="653" t="s">
        <v>454</v>
      </c>
      <c r="C18" s="657">
        <v>168500</v>
      </c>
      <c r="D18" s="654">
        <v>1404.1666666666667</v>
      </c>
      <c r="E18" s="654">
        <f>1404+1404+1404+1404+1404</f>
        <v>7020</v>
      </c>
      <c r="F18" s="654">
        <f>9828.33333333333+1404+1404+1404+1404+1404+1404+1404+1404+1404+1404+1404+1404+1404+1404+1404</f>
        <v>30888.333333333328</v>
      </c>
      <c r="G18" s="655"/>
      <c r="H18" s="655">
        <f t="shared" si="0"/>
        <v>137611.66666666669</v>
      </c>
      <c r="I18" s="228"/>
      <c r="J18" s="320"/>
      <c r="K18" s="18">
        <v>1404.1666666666667</v>
      </c>
      <c r="M18" s="18">
        <v>5616</v>
      </c>
      <c r="N18" s="18">
        <v>29484.333333333328</v>
      </c>
      <c r="O18" s="349">
        <f t="shared" si="1"/>
        <v>1404</v>
      </c>
      <c r="P18" s="349">
        <f t="shared" si="2"/>
        <v>1404</v>
      </c>
      <c r="Q18" s="349">
        <f t="shared" si="3"/>
        <v>0</v>
      </c>
    </row>
    <row r="19" spans="1:17" ht="20.25" customHeight="1" x14ac:dyDescent="0.25">
      <c r="A19" s="45"/>
      <c r="B19" s="653" t="s">
        <v>443</v>
      </c>
      <c r="C19" s="655">
        <f>33000+33000+24000+45000+26500+33000+63000+33000+22000</f>
        <v>312500</v>
      </c>
      <c r="D19" s="654">
        <v>2604.1666666666665</v>
      </c>
      <c r="E19" s="654">
        <f>2604+2604+2604+2604+2604</f>
        <v>13020</v>
      </c>
      <c r="F19" s="654">
        <f>9828.33333333333+1404+1404+1404+1404+1404+1404+1404+1404+1404+1404+1404+1404+2604+2604+2604</f>
        <v>34488.333333333328</v>
      </c>
      <c r="G19" s="655"/>
      <c r="H19" s="655">
        <f t="shared" si="0"/>
        <v>278011.66666666669</v>
      </c>
      <c r="I19" s="412"/>
      <c r="J19" s="413"/>
      <c r="K19" s="18">
        <v>2604.1666666666665</v>
      </c>
      <c r="M19" s="18">
        <v>10416</v>
      </c>
      <c r="N19" s="18">
        <v>31884.333333333328</v>
      </c>
      <c r="O19" s="349">
        <f t="shared" si="1"/>
        <v>2604</v>
      </c>
      <c r="P19" s="349">
        <f t="shared" si="2"/>
        <v>2604</v>
      </c>
      <c r="Q19" s="349">
        <f t="shared" si="3"/>
        <v>0</v>
      </c>
    </row>
    <row r="20" spans="1:17" ht="20.25" customHeight="1" x14ac:dyDescent="0.25">
      <c r="A20" s="45"/>
      <c r="B20" s="653" t="s">
        <v>439</v>
      </c>
      <c r="C20" s="655"/>
      <c r="D20" s="654">
        <v>0</v>
      </c>
      <c r="E20" s="654"/>
      <c r="F20" s="654">
        <v>0</v>
      </c>
      <c r="G20" s="655"/>
      <c r="H20" s="655">
        <f t="shared" si="0"/>
        <v>0</v>
      </c>
      <c r="I20" s="228"/>
      <c r="J20" s="320"/>
      <c r="K20" s="18">
        <v>0</v>
      </c>
      <c r="N20" s="18">
        <v>0</v>
      </c>
      <c r="O20" s="349">
        <f t="shared" si="1"/>
        <v>0</v>
      </c>
      <c r="P20" s="349">
        <f t="shared" si="2"/>
        <v>0</v>
      </c>
      <c r="Q20" s="349">
        <f t="shared" si="3"/>
        <v>0</v>
      </c>
    </row>
    <row r="21" spans="1:17" ht="20.25" customHeight="1" x14ac:dyDescent="0.25">
      <c r="A21" s="45"/>
      <c r="B21" s="653" t="s">
        <v>440</v>
      </c>
      <c r="C21" s="658">
        <f>325690+214000</f>
        <v>539690</v>
      </c>
      <c r="D21" s="654">
        <v>4497.416666666667</v>
      </c>
      <c r="E21" s="654">
        <f>4497+4497+4497+4497+4497</f>
        <v>22485</v>
      </c>
      <c r="F21" s="654">
        <f>31479.8333333333+4497+4497+4497+4497+4497+4497+4497+4497+4497+4497+4497+4497+4497+4497+4497</f>
        <v>98934.833333333299</v>
      </c>
      <c r="G21" s="655"/>
      <c r="H21" s="655">
        <f t="shared" si="0"/>
        <v>440755.16666666669</v>
      </c>
      <c r="I21" s="228"/>
      <c r="J21" s="320"/>
      <c r="K21" s="18">
        <v>4497.416666666667</v>
      </c>
      <c r="M21" s="18">
        <v>17988</v>
      </c>
      <c r="N21" s="18">
        <v>94437.833333333299</v>
      </c>
      <c r="O21" s="349">
        <f t="shared" si="1"/>
        <v>4497</v>
      </c>
      <c r="P21" s="349">
        <f t="shared" si="2"/>
        <v>4497</v>
      </c>
      <c r="Q21" s="349">
        <f t="shared" si="3"/>
        <v>0</v>
      </c>
    </row>
    <row r="22" spans="1:17" ht="20.25" customHeight="1" x14ac:dyDescent="0.25">
      <c r="A22" s="45"/>
      <c r="B22" s="653" t="s">
        <v>455</v>
      </c>
      <c r="C22" s="658">
        <v>105007</v>
      </c>
      <c r="D22" s="654">
        <v>875.05833333333339</v>
      </c>
      <c r="E22" s="654">
        <f>875+875+875+875+875</f>
        <v>4375</v>
      </c>
      <c r="F22" s="654">
        <f>6125.11666666667+875+875+875+875+875+875+875+875+875+875+875+875+875+875+875</f>
        <v>19250.116666666669</v>
      </c>
      <c r="G22" s="655"/>
      <c r="H22" s="655">
        <f t="shared" si="0"/>
        <v>85756.883333333331</v>
      </c>
      <c r="I22" s="412"/>
      <c r="J22" s="413"/>
      <c r="K22" s="18">
        <v>875.05833333333339</v>
      </c>
      <c r="M22" s="18">
        <v>3500</v>
      </c>
      <c r="N22" s="18">
        <v>18375.116666666669</v>
      </c>
      <c r="O22" s="349">
        <f t="shared" si="1"/>
        <v>875</v>
      </c>
      <c r="P22" s="349">
        <f t="shared" si="2"/>
        <v>875</v>
      </c>
      <c r="Q22" s="349">
        <f t="shared" si="3"/>
        <v>0</v>
      </c>
    </row>
    <row r="23" spans="1:17" ht="20.25" customHeight="1" x14ac:dyDescent="0.25">
      <c r="A23" s="45"/>
      <c r="B23" s="653" t="s">
        <v>465</v>
      </c>
      <c r="C23" s="657">
        <f>555750+45000</f>
        <v>600750</v>
      </c>
      <c r="D23" s="654">
        <v>5006.25</v>
      </c>
      <c r="E23" s="654">
        <f>5006+5006+5006+5006+5006</f>
        <v>25030</v>
      </c>
      <c r="F23" s="654">
        <f>35042.5+5006+5006+5006+5006+5006+5006+5006+5006+5006+5006+5006+5006+5006+5006+5006</f>
        <v>110132.5</v>
      </c>
      <c r="G23" s="655"/>
      <c r="H23" s="655">
        <f t="shared" si="0"/>
        <v>490617.5</v>
      </c>
      <c r="I23" s="412"/>
      <c r="J23" s="413"/>
      <c r="K23" s="18">
        <v>5006.25</v>
      </c>
      <c r="M23" s="18">
        <v>20024</v>
      </c>
      <c r="N23" s="18">
        <v>105126.5</v>
      </c>
      <c r="O23" s="349">
        <f t="shared" si="1"/>
        <v>5006</v>
      </c>
      <c r="P23" s="349">
        <f t="shared" si="2"/>
        <v>5006</v>
      </c>
      <c r="Q23" s="349">
        <f t="shared" si="3"/>
        <v>0</v>
      </c>
    </row>
    <row r="24" spans="1:17" ht="20.25" customHeight="1" x14ac:dyDescent="0.25">
      <c r="A24" s="45"/>
      <c r="B24" s="656" t="s">
        <v>456</v>
      </c>
      <c r="C24" s="657">
        <f>921375+48563+5224</f>
        <v>975162</v>
      </c>
      <c r="D24" s="654">
        <v>8126.3499999999995</v>
      </c>
      <c r="E24" s="654">
        <f>8126+8126+8126+8126+8126</f>
        <v>40630</v>
      </c>
      <c r="F24" s="654">
        <f>56882.7+8126+8126+8126+8126+8126+8126+8126+8126+8126+8126+8126+8126+8126+8126+8126</f>
        <v>178772.7</v>
      </c>
      <c r="G24" s="655"/>
      <c r="H24" s="655">
        <f t="shared" si="0"/>
        <v>796389.3</v>
      </c>
      <c r="I24" s="228"/>
      <c r="J24" s="320"/>
      <c r="K24" s="18">
        <v>8126.3499999999995</v>
      </c>
      <c r="M24" s="18">
        <v>32504</v>
      </c>
      <c r="N24" s="18">
        <v>170646.7</v>
      </c>
      <c r="O24" s="349">
        <f t="shared" si="1"/>
        <v>8126</v>
      </c>
      <c r="P24" s="349">
        <f t="shared" si="2"/>
        <v>8126</v>
      </c>
      <c r="Q24" s="349">
        <f t="shared" si="3"/>
        <v>0</v>
      </c>
    </row>
    <row r="25" spans="1:17" ht="20.25" customHeight="1" x14ac:dyDescent="0.25">
      <c r="A25" s="45"/>
      <c r="B25" s="656" t="s">
        <v>466</v>
      </c>
      <c r="C25" s="657">
        <f>505950+48563</f>
        <v>554513</v>
      </c>
      <c r="D25" s="654">
        <v>4620.9416666666666</v>
      </c>
      <c r="E25" s="654">
        <f>4621+4621+4621+4621+4621</f>
        <v>23105</v>
      </c>
      <c r="F25" s="654">
        <f>32346.8833333333+4621+4621+4621+4621+4621+4621+4621+4621+4621+4621+4621+4621+4621+4621+4621</f>
        <v>101661.8833333333</v>
      </c>
      <c r="G25" s="655"/>
      <c r="H25" s="655">
        <f t="shared" si="0"/>
        <v>452851.1166666667</v>
      </c>
      <c r="I25" s="228"/>
      <c r="J25" s="320"/>
      <c r="K25" s="18">
        <v>4620.9416666666666</v>
      </c>
      <c r="M25" s="18">
        <v>18484</v>
      </c>
      <c r="N25" s="18">
        <v>97040.883333333302</v>
      </c>
      <c r="O25" s="349">
        <f t="shared" si="1"/>
        <v>4621</v>
      </c>
      <c r="P25" s="349">
        <f t="shared" si="2"/>
        <v>4621</v>
      </c>
      <c r="Q25" s="349">
        <f t="shared" si="3"/>
        <v>0</v>
      </c>
    </row>
    <row r="26" spans="1:17" ht="20.25" customHeight="1" x14ac:dyDescent="0.25">
      <c r="A26" s="45"/>
      <c r="B26" s="656" t="s">
        <v>467</v>
      </c>
      <c r="C26" s="657">
        <v>570521</v>
      </c>
      <c r="D26" s="654">
        <v>4754.3416666666662</v>
      </c>
      <c r="E26" s="654">
        <f>4754+4754+4752+4754+4754</f>
        <v>23768</v>
      </c>
      <c r="F26" s="654">
        <f>33278.6833333333+4754+4754+4754+4754+4754+4754+4754+4754+4754+4754+4754+4754+4754+4754+4754</f>
        <v>104588.68333333329</v>
      </c>
      <c r="G26" s="655"/>
      <c r="H26" s="655">
        <f t="shared" si="0"/>
        <v>465932.31666666671</v>
      </c>
      <c r="I26" s="228"/>
      <c r="J26" s="320"/>
      <c r="K26" s="18">
        <v>4754.3416666666662</v>
      </c>
      <c r="M26" s="18">
        <v>19014</v>
      </c>
      <c r="N26" s="18">
        <v>99834.683333333291</v>
      </c>
      <c r="O26" s="349">
        <f t="shared" si="1"/>
        <v>4754</v>
      </c>
      <c r="P26" s="349">
        <f t="shared" si="2"/>
        <v>4754</v>
      </c>
      <c r="Q26" s="349">
        <f t="shared" si="3"/>
        <v>0</v>
      </c>
    </row>
    <row r="27" spans="1:17" ht="20.25" customHeight="1" x14ac:dyDescent="0.25">
      <c r="A27" s="45"/>
      <c r="B27" s="656" t="s">
        <v>468</v>
      </c>
      <c r="C27" s="655"/>
      <c r="D27" s="654">
        <v>0</v>
      </c>
      <c r="E27" s="654"/>
      <c r="F27" s="654">
        <v>0</v>
      </c>
      <c r="G27" s="655"/>
      <c r="H27" s="655">
        <f t="shared" si="0"/>
        <v>0</v>
      </c>
      <c r="I27" s="228"/>
      <c r="J27" s="320"/>
      <c r="K27" s="18">
        <v>0</v>
      </c>
      <c r="N27" s="18">
        <v>0</v>
      </c>
      <c r="O27" s="349">
        <f t="shared" si="1"/>
        <v>0</v>
      </c>
      <c r="P27" s="349">
        <f t="shared" si="2"/>
        <v>0</v>
      </c>
      <c r="Q27" s="349">
        <f t="shared" si="3"/>
        <v>0</v>
      </c>
    </row>
    <row r="28" spans="1:17" ht="20.25" customHeight="1" x14ac:dyDescent="0.25">
      <c r="A28" s="45"/>
      <c r="B28" s="656" t="s">
        <v>468</v>
      </c>
      <c r="C28" s="655"/>
      <c r="D28" s="654">
        <v>0</v>
      </c>
      <c r="E28" s="654"/>
      <c r="F28" s="654">
        <v>0</v>
      </c>
      <c r="G28" s="655"/>
      <c r="H28" s="655">
        <f t="shared" si="0"/>
        <v>0</v>
      </c>
      <c r="I28" s="228"/>
      <c r="J28" s="320"/>
      <c r="K28" s="18">
        <v>0</v>
      </c>
      <c r="N28" s="18">
        <v>0</v>
      </c>
      <c r="O28" s="349">
        <f t="shared" si="1"/>
        <v>0</v>
      </c>
      <c r="P28" s="349">
        <f t="shared" si="2"/>
        <v>0</v>
      </c>
      <c r="Q28" s="349">
        <f t="shared" si="3"/>
        <v>0</v>
      </c>
    </row>
    <row r="29" spans="1:17" ht="20.25" customHeight="1" x14ac:dyDescent="0.25">
      <c r="A29" s="45"/>
      <c r="B29" s="656" t="s">
        <v>468</v>
      </c>
      <c r="C29" s="655">
        <v>1050000</v>
      </c>
      <c r="D29" s="654">
        <v>8750</v>
      </c>
      <c r="E29" s="654">
        <f>8750+8750+8750+8750+8750</f>
        <v>43750</v>
      </c>
      <c r="F29" s="654">
        <f>61250+8750+8750+8750+8750+8750+8750+8750+8750+8750+8750+8750+8750+8750+8750+8750</f>
        <v>192500</v>
      </c>
      <c r="G29" s="655"/>
      <c r="H29" s="655">
        <f t="shared" si="0"/>
        <v>857500</v>
      </c>
      <c r="I29" s="228"/>
      <c r="J29" s="320"/>
      <c r="K29" s="18">
        <v>8750</v>
      </c>
      <c r="M29" s="18">
        <v>35000</v>
      </c>
      <c r="N29" s="18">
        <v>183750</v>
      </c>
      <c r="O29" s="349">
        <f t="shared" si="1"/>
        <v>8750</v>
      </c>
      <c r="P29" s="349">
        <f t="shared" si="2"/>
        <v>8750</v>
      </c>
      <c r="Q29" s="349">
        <f t="shared" si="3"/>
        <v>0</v>
      </c>
    </row>
    <row r="30" spans="1:17" ht="20.25" customHeight="1" x14ac:dyDescent="0.25">
      <c r="A30" s="45"/>
      <c r="B30" s="656" t="s">
        <v>469</v>
      </c>
      <c r="C30" s="655">
        <v>1040000</v>
      </c>
      <c r="D30" s="654">
        <v>8666.6666666666661</v>
      </c>
      <c r="E30" s="654">
        <f>8667+8667+8667+8667+8667</f>
        <v>43335</v>
      </c>
      <c r="F30" s="654">
        <f>60668.3333333333+8667+8667+8667+8667+8667+8667+8667+8667+8667+8667+8667+8667+8667+8667+8667</f>
        <v>190673.33333333331</v>
      </c>
      <c r="G30" s="655"/>
      <c r="H30" s="655">
        <f t="shared" si="0"/>
        <v>849326.66666666674</v>
      </c>
      <c r="I30" s="228"/>
      <c r="J30" s="320"/>
      <c r="K30" s="18">
        <v>8666.6666666666661</v>
      </c>
      <c r="M30" s="18">
        <v>34668</v>
      </c>
      <c r="N30" s="18">
        <v>182006.33333333331</v>
      </c>
      <c r="O30" s="349">
        <f t="shared" si="1"/>
        <v>8667</v>
      </c>
      <c r="P30" s="349">
        <f t="shared" si="2"/>
        <v>8667</v>
      </c>
      <c r="Q30" s="349">
        <f t="shared" si="3"/>
        <v>0</v>
      </c>
    </row>
    <row r="31" spans="1:17" ht="20.25" customHeight="1" x14ac:dyDescent="0.25">
      <c r="A31" s="45"/>
      <c r="B31" s="653" t="s">
        <v>442</v>
      </c>
      <c r="C31" s="655">
        <f>202542+225764+221366+264294</f>
        <v>913966</v>
      </c>
      <c r="D31" s="654">
        <v>7616.3833333333341</v>
      </c>
      <c r="E31" s="654">
        <f>7616+7616+7616+7616+7616</f>
        <v>38080</v>
      </c>
      <c r="F31" s="654">
        <f>53312.7666666667+7616+7616+7616+7616+7616+7616+7616+7616+7616+7616+7616+7616+7616+7616+7616</f>
        <v>167552.76666666669</v>
      </c>
      <c r="G31" s="655"/>
      <c r="H31" s="655">
        <f t="shared" si="0"/>
        <v>746413.23333333328</v>
      </c>
      <c r="I31" s="228"/>
      <c r="J31" s="320"/>
      <c r="K31" s="18">
        <v>7616.3833333333341</v>
      </c>
      <c r="M31" s="18">
        <v>30464</v>
      </c>
      <c r="N31" s="18">
        <v>159936.76666666669</v>
      </c>
      <c r="O31" s="349">
        <f t="shared" si="1"/>
        <v>7616</v>
      </c>
      <c r="P31" s="349">
        <f t="shared" si="2"/>
        <v>7616</v>
      </c>
      <c r="Q31" s="349">
        <f t="shared" si="3"/>
        <v>0</v>
      </c>
    </row>
    <row r="32" spans="1:17" ht="20.25" customHeight="1" x14ac:dyDescent="0.25">
      <c r="A32" s="45"/>
      <c r="B32" s="653" t="s">
        <v>459</v>
      </c>
      <c r="C32" s="655">
        <f>219141+482613+44000</f>
        <v>745754</v>
      </c>
      <c r="D32" s="654">
        <v>6214.6166666666659</v>
      </c>
      <c r="E32" s="654">
        <f>6215+6215+6215+6215+6215</f>
        <v>31075</v>
      </c>
      <c r="F32" s="654">
        <f>34724+6215+6215+6215+6215+6215+6215+6215+6215+6215+6215+6215+6215+6215+6215+6215</f>
        <v>127949</v>
      </c>
      <c r="G32" s="655"/>
      <c r="H32" s="655">
        <f t="shared" si="0"/>
        <v>617805</v>
      </c>
      <c r="I32" s="228"/>
      <c r="J32" s="320"/>
      <c r="K32" s="18">
        <v>6214.6166666666659</v>
      </c>
      <c r="M32" s="18">
        <v>24860</v>
      </c>
      <c r="N32" s="18">
        <v>121734</v>
      </c>
      <c r="O32" s="349">
        <f t="shared" si="1"/>
        <v>6215</v>
      </c>
      <c r="P32" s="349">
        <f t="shared" si="2"/>
        <v>6215</v>
      </c>
      <c r="Q32" s="349">
        <f t="shared" si="3"/>
        <v>0</v>
      </c>
    </row>
    <row r="33" spans="1:17" ht="20.25" customHeight="1" x14ac:dyDescent="0.25">
      <c r="A33" s="45"/>
      <c r="B33" s="653" t="s">
        <v>460</v>
      </c>
      <c r="C33" s="655"/>
      <c r="D33" s="654">
        <v>0</v>
      </c>
      <c r="E33" s="654"/>
      <c r="F33" s="654">
        <v>0</v>
      </c>
      <c r="G33" s="655"/>
      <c r="H33" s="655"/>
      <c r="I33" s="228"/>
      <c r="J33" s="320"/>
      <c r="K33" s="18">
        <v>0</v>
      </c>
      <c r="N33" s="18">
        <v>0</v>
      </c>
      <c r="O33" s="349">
        <f t="shared" si="1"/>
        <v>0</v>
      </c>
      <c r="P33" s="349">
        <f t="shared" si="2"/>
        <v>0</v>
      </c>
      <c r="Q33" s="349">
        <f t="shared" si="3"/>
        <v>0</v>
      </c>
    </row>
    <row r="34" spans="1:17" ht="20.25" customHeight="1" x14ac:dyDescent="0.25">
      <c r="A34" s="45"/>
      <c r="B34" s="653" t="s">
        <v>532</v>
      </c>
      <c r="C34" s="655">
        <f>33340+28000</f>
        <v>61340</v>
      </c>
      <c r="D34" s="654">
        <v>511.16666666666669</v>
      </c>
      <c r="E34" s="654">
        <f>511+511+511+511+511</f>
        <v>2555</v>
      </c>
      <c r="F34" s="654">
        <f>511+511+511+511+511+511+511+511+511+511+511+511+511+511+511+511</f>
        <v>8176</v>
      </c>
      <c r="G34" s="655"/>
      <c r="H34" s="655"/>
      <c r="I34" s="228"/>
      <c r="J34" s="320"/>
      <c r="K34" s="18">
        <v>511.16666666666669</v>
      </c>
      <c r="M34" s="18">
        <v>2044</v>
      </c>
      <c r="N34" s="18">
        <v>7665</v>
      </c>
      <c r="O34" s="349">
        <f t="shared" si="1"/>
        <v>511</v>
      </c>
      <c r="P34" s="349">
        <f t="shared" si="2"/>
        <v>511</v>
      </c>
      <c r="Q34" s="349">
        <f t="shared" si="3"/>
        <v>0</v>
      </c>
    </row>
    <row r="35" spans="1:17" ht="20.25" customHeight="1" x14ac:dyDescent="0.25">
      <c r="A35" s="45"/>
      <c r="B35" s="653" t="s">
        <v>533</v>
      </c>
      <c r="C35" s="655">
        <v>26000</v>
      </c>
      <c r="D35" s="654">
        <v>216.66666666666666</v>
      </c>
      <c r="E35" s="654">
        <f>217+217+217+217+217</f>
        <v>1085</v>
      </c>
      <c r="F35" s="654">
        <f>217+217+217+217+217+217+217+217+217+217+217+217+217+217+217+217</f>
        <v>3472</v>
      </c>
      <c r="G35" s="655"/>
      <c r="H35" s="655"/>
      <c r="I35" s="228"/>
      <c r="J35" s="320"/>
      <c r="K35" s="18">
        <v>216.66666666666666</v>
      </c>
      <c r="M35" s="18">
        <v>868</v>
      </c>
      <c r="N35" s="18">
        <v>3255</v>
      </c>
      <c r="O35" s="349">
        <f t="shared" si="1"/>
        <v>217</v>
      </c>
      <c r="P35" s="349">
        <f t="shared" si="2"/>
        <v>217</v>
      </c>
      <c r="Q35" s="349">
        <f t="shared" si="3"/>
        <v>0</v>
      </c>
    </row>
    <row r="36" spans="1:17" ht="20.25" customHeight="1" x14ac:dyDescent="0.25">
      <c r="A36" s="45"/>
      <c r="B36" s="653" t="s">
        <v>524</v>
      </c>
      <c r="C36" s="655">
        <v>0</v>
      </c>
      <c r="D36" s="654">
        <v>0</v>
      </c>
      <c r="E36" s="654"/>
      <c r="F36" s="654">
        <f>13417+13417+13417+13417+13417+13417+13417+13417-107336</f>
        <v>0</v>
      </c>
      <c r="G36" s="655"/>
      <c r="H36" s="655"/>
      <c r="I36" s="228"/>
      <c r="J36" s="320"/>
      <c r="K36" s="18">
        <v>0</v>
      </c>
      <c r="N36" s="18">
        <v>0</v>
      </c>
      <c r="O36" s="349">
        <f t="shared" si="1"/>
        <v>0</v>
      </c>
      <c r="P36" s="349">
        <f t="shared" si="2"/>
        <v>0</v>
      </c>
      <c r="Q36" s="349">
        <f t="shared" si="3"/>
        <v>0</v>
      </c>
    </row>
    <row r="37" spans="1:17" ht="20.25" customHeight="1" x14ac:dyDescent="0.25">
      <c r="A37" s="45"/>
      <c r="B37" s="653" t="s">
        <v>560</v>
      </c>
      <c r="C37" s="655">
        <v>147900</v>
      </c>
      <c r="D37" s="654">
        <v>1232.5</v>
      </c>
      <c r="E37" s="654">
        <f>1233+1233+1233+1233+1233</f>
        <v>6165</v>
      </c>
      <c r="F37" s="654">
        <f>1233+1233+1233+1233+1233+1233+1233+1233+1233+1233+1233+1233</f>
        <v>14796</v>
      </c>
      <c r="G37" s="655"/>
      <c r="H37" s="655"/>
      <c r="I37" s="228"/>
      <c r="J37" s="320"/>
      <c r="K37" s="18">
        <v>1232.5</v>
      </c>
      <c r="M37" s="18">
        <v>4932</v>
      </c>
      <c r="N37" s="18">
        <v>13563</v>
      </c>
      <c r="O37" s="349">
        <f t="shared" si="1"/>
        <v>1233</v>
      </c>
      <c r="P37" s="349">
        <f t="shared" si="2"/>
        <v>1233</v>
      </c>
      <c r="Q37" s="349">
        <f t="shared" si="3"/>
        <v>0</v>
      </c>
    </row>
    <row r="38" spans="1:17" ht="20.25" customHeight="1" x14ac:dyDescent="0.25">
      <c r="A38" s="45"/>
      <c r="B38" s="653" t="s">
        <v>618</v>
      </c>
      <c r="C38" s="655">
        <v>219901</v>
      </c>
      <c r="D38" s="654">
        <v>1832.5083333333332</v>
      </c>
      <c r="E38" s="654">
        <f>1833+1833+1833+1833+1833</f>
        <v>9165</v>
      </c>
      <c r="F38" s="654">
        <f>1833+1833+1833+1833+1833+1833+1833+1833+1833+1833+1833</f>
        <v>20163</v>
      </c>
      <c r="G38" s="655"/>
      <c r="H38" s="655"/>
      <c r="I38" s="228"/>
      <c r="J38" s="320"/>
      <c r="K38" s="18">
        <v>1832.5083333333332</v>
      </c>
      <c r="M38" s="18">
        <v>7332</v>
      </c>
      <c r="N38" s="18">
        <v>18330</v>
      </c>
      <c r="O38" s="349">
        <f t="shared" si="1"/>
        <v>1833</v>
      </c>
      <c r="P38" s="349">
        <f t="shared" si="2"/>
        <v>1833</v>
      </c>
      <c r="Q38" s="349">
        <f t="shared" si="3"/>
        <v>0</v>
      </c>
    </row>
    <row r="39" spans="1:17" ht="20.25" customHeight="1" x14ac:dyDescent="0.25">
      <c r="A39" s="732"/>
      <c r="B39" s="653" t="s">
        <v>670</v>
      </c>
      <c r="C39" s="655">
        <v>91500</v>
      </c>
      <c r="D39" s="654">
        <v>0</v>
      </c>
      <c r="E39" s="654"/>
      <c r="F39" s="654"/>
      <c r="G39" s="655"/>
      <c r="H39" s="655"/>
      <c r="I39" s="228"/>
      <c r="J39" s="320"/>
      <c r="K39" s="18">
        <v>0</v>
      </c>
    </row>
    <row r="40" spans="1:17" ht="20.25" customHeight="1" x14ac:dyDescent="0.25">
      <c r="A40" s="45"/>
      <c r="B40" s="339"/>
      <c r="C40" s="659">
        <f>SUM(C8:C39)</f>
        <v>30508587</v>
      </c>
      <c r="D40" s="659">
        <f>SUM(D8:D39)</f>
        <v>253475.72499999992</v>
      </c>
      <c r="E40" s="659">
        <f>SUM(E8:E38)</f>
        <v>1267377</v>
      </c>
      <c r="F40" s="659">
        <f>SUM(F8:F38)</f>
        <v>5508028.3633333333</v>
      </c>
      <c r="G40" s="659">
        <f>SUM(G8:G38)</f>
        <v>0</v>
      </c>
      <c r="H40" s="659">
        <f>SUM(H8:H38)</f>
        <v>24500524.636666678</v>
      </c>
      <c r="I40" s="228"/>
      <c r="J40" s="320"/>
    </row>
    <row r="41" spans="1:17" ht="13.5" customHeight="1" x14ac:dyDescent="0.25">
      <c r="A41" s="45"/>
      <c r="B41" s="198"/>
      <c r="C41" s="80"/>
      <c r="D41" s="80"/>
      <c r="E41" s="80"/>
      <c r="F41" s="80"/>
      <c r="G41" s="80"/>
      <c r="H41" s="80"/>
      <c r="I41" s="228"/>
      <c r="J41" s="320"/>
    </row>
    <row r="42" spans="1:17" ht="30.75" customHeight="1" x14ac:dyDescent="0.25">
      <c r="A42" s="1194" t="s">
        <v>50</v>
      </c>
      <c r="B42" s="1194"/>
      <c r="C42" s="266">
        <f t="shared" ref="C42:H42" si="4">C40/1000000</f>
        <v>30.508586999999999</v>
      </c>
      <c r="D42" s="266">
        <f t="shared" si="4"/>
        <v>0.25347572499999993</v>
      </c>
      <c r="E42" s="266">
        <f t="shared" si="4"/>
        <v>1.267377</v>
      </c>
      <c r="F42" s="266">
        <f t="shared" si="4"/>
        <v>5.5080283633333336</v>
      </c>
      <c r="G42" s="266">
        <f t="shared" si="4"/>
        <v>0</v>
      </c>
      <c r="H42" s="266">
        <f t="shared" si="4"/>
        <v>24.500524636666679</v>
      </c>
      <c r="I42" s="125"/>
      <c r="J42" s="244"/>
    </row>
    <row r="43" spans="1:17" ht="15" x14ac:dyDescent="0.25">
      <c r="B43" s="26"/>
    </row>
  </sheetData>
  <mergeCells count="4">
    <mergeCell ref="A42:B42"/>
    <mergeCell ref="A1:H1"/>
    <mergeCell ref="A3:H3"/>
    <mergeCell ref="A4:H4"/>
  </mergeCells>
  <printOptions horizontalCentered="1"/>
  <pageMargins left="0.82" right="0.3" top="0.59" bottom="0.33" header="0.17" footer="0.18"/>
  <pageSetup paperSize="9" scale="71" orientation="landscape" r:id="rId1"/>
  <drawing r:id="rId2"/>
  <legacyDrawing r:id="rId3"/>
  <oleObjects>
    <mc:AlternateContent xmlns:mc="http://schemas.openxmlformats.org/markup-compatibility/2006">
      <mc:Choice Requires="x14">
        <oleObject progId="Word.Picture.8" shapeId="12289" r:id="rId4">
          <objectPr defaultSize="0" autoPict="0" r:id="rId5">
            <anchor moveWithCells="1" sizeWithCells="1">
              <from>
                <xdr:col>0</xdr:col>
                <xdr:colOff>0</xdr:colOff>
                <xdr:row>0</xdr:row>
                <xdr:rowOff>0</xdr:rowOff>
              </from>
              <to>
                <xdr:col>0</xdr:col>
                <xdr:colOff>190500</xdr:colOff>
                <xdr:row>1</xdr:row>
                <xdr:rowOff>47625</xdr:rowOff>
              </to>
            </anchor>
          </objectPr>
        </oleObject>
      </mc:Choice>
      <mc:Fallback>
        <oleObject progId="Word.Picture.8" shapeId="12289"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K55"/>
  <sheetViews>
    <sheetView view="pageBreakPreview" topLeftCell="A10" zoomScale="85" zoomScaleNormal="85" zoomScaleSheetLayoutView="85" workbookViewId="0">
      <selection activeCell="G31" sqref="G31"/>
    </sheetView>
  </sheetViews>
  <sheetFormatPr defaultColWidth="9.140625" defaultRowHeight="14.25" x14ac:dyDescent="0.25"/>
  <cols>
    <col min="1" max="1" width="4.85546875" style="20" bestFit="1" customWidth="1"/>
    <col min="2" max="2" width="12.5703125" style="18" customWidth="1"/>
    <col min="3" max="3" width="8.85546875" style="18" customWidth="1"/>
    <col min="4" max="4" width="15.7109375" style="18" customWidth="1"/>
    <col min="5" max="5" width="34.42578125" style="18" customWidth="1"/>
    <col min="6" max="6" width="13.140625" style="18" customWidth="1"/>
    <col min="7" max="7" width="17.7109375" style="18" customWidth="1"/>
    <col min="8" max="8" width="9.140625" style="18"/>
    <col min="9" max="9" width="12.42578125" style="18" customWidth="1"/>
    <col min="10" max="10" width="9.140625" style="18"/>
    <col min="11" max="11" width="14.5703125" style="18" bestFit="1" customWidth="1"/>
    <col min="12" max="16384" width="9.140625" style="18"/>
  </cols>
  <sheetData>
    <row r="1" spans="1:11" ht="15" x14ac:dyDescent="0.25">
      <c r="A1" s="1328" t="s">
        <v>138</v>
      </c>
      <c r="B1" s="1328"/>
      <c r="C1" s="1328"/>
      <c r="D1" s="1328"/>
      <c r="E1" s="1328"/>
      <c r="F1" s="1328"/>
      <c r="G1" s="1328"/>
    </row>
    <row r="2" spans="1:11" ht="15.75" x14ac:dyDescent="0.25">
      <c r="A2" s="1"/>
      <c r="B2" s="1"/>
      <c r="C2" s="1"/>
      <c r="D2" s="1"/>
      <c r="E2" s="1"/>
      <c r="F2" s="1"/>
      <c r="G2" s="103" t="str">
        <f>"MONTH - "&amp;Summary!$G$6</f>
        <v>MONTH - July 2025</v>
      </c>
    </row>
    <row r="3" spans="1:11" ht="15.75" x14ac:dyDescent="0.25">
      <c r="A3" s="1177" t="s">
        <v>139</v>
      </c>
      <c r="B3" s="1177"/>
      <c r="C3" s="1177"/>
      <c r="D3" s="1177"/>
      <c r="E3" s="1177"/>
      <c r="F3" s="1177"/>
      <c r="G3" s="1177"/>
    </row>
    <row r="4" spans="1:11" ht="15.75" x14ac:dyDescent="0.25">
      <c r="A4" s="1331"/>
      <c r="B4" s="1177"/>
      <c r="C4" s="1177"/>
      <c r="D4" s="1177"/>
      <c r="E4" s="1177"/>
      <c r="F4" s="1177"/>
      <c r="G4" s="1177"/>
    </row>
    <row r="5" spans="1:11" ht="15.75" x14ac:dyDescent="0.25">
      <c r="A5" s="1331" t="str">
        <f>'Anx J'!A6:T6</f>
        <v xml:space="preserve">PMU NLC INFRA DEV WORKS at Chahar Bagh (RUDA ) </v>
      </c>
      <c r="B5" s="1177"/>
      <c r="C5" s="1177"/>
      <c r="D5" s="1177"/>
      <c r="E5" s="1177"/>
      <c r="F5" s="1177"/>
      <c r="G5" s="1177"/>
    </row>
    <row r="6" spans="1:11" ht="15" thickBot="1" x14ac:dyDescent="0.3">
      <c r="A6" s="18"/>
    </row>
    <row r="7" spans="1:11" ht="15.75" thickBot="1" x14ac:dyDescent="0.3">
      <c r="A7" s="19">
        <v>1</v>
      </c>
      <c r="B7" s="81" t="s">
        <v>234</v>
      </c>
      <c r="G7" s="159" t="s">
        <v>145</v>
      </c>
    </row>
    <row r="8" spans="1:11" ht="15" x14ac:dyDescent="0.25">
      <c r="A8" s="19"/>
      <c r="B8" s="81"/>
      <c r="G8" s="19"/>
    </row>
    <row r="9" spans="1:11" ht="19.5" customHeight="1" x14ac:dyDescent="0.25">
      <c r="C9" s="18" t="s">
        <v>81</v>
      </c>
      <c r="D9" s="18" t="s">
        <v>227</v>
      </c>
      <c r="F9" s="18" t="s">
        <v>140</v>
      </c>
      <c r="G9" s="121">
        <f>'Anx F Contr '!N322</f>
        <v>18.316087644</v>
      </c>
      <c r="I9" s="23"/>
    </row>
    <row r="10" spans="1:11" ht="19.5" customHeight="1" x14ac:dyDescent="0.25">
      <c r="D10" s="18" t="s">
        <v>228</v>
      </c>
      <c r="G10" s="242">
        <f>'Anx E'!N79-'Anx F Contr '!E322</f>
        <v>17.056366111508453</v>
      </c>
      <c r="I10" s="23"/>
    </row>
    <row r="11" spans="1:11" ht="19.5" customHeight="1" x14ac:dyDescent="0.25">
      <c r="C11" s="18" t="s">
        <v>86</v>
      </c>
      <c r="D11" s="18" t="s">
        <v>153</v>
      </c>
      <c r="F11" s="18" t="s">
        <v>140</v>
      </c>
      <c r="G11" s="242">
        <f>'Anx F Contr '!F322</f>
        <v>4.1380526500000006</v>
      </c>
      <c r="I11" s="99"/>
    </row>
    <row r="12" spans="1:11" ht="19.5" customHeight="1" x14ac:dyDescent="0.25">
      <c r="C12" s="18" t="s">
        <v>87</v>
      </c>
      <c r="D12" s="18" t="s">
        <v>225</v>
      </c>
      <c r="F12" s="18" t="s">
        <v>140</v>
      </c>
      <c r="G12" s="243">
        <v>0</v>
      </c>
      <c r="I12" s="99"/>
      <c r="J12" s="99"/>
      <c r="K12" s="18" t="s">
        <v>438</v>
      </c>
    </row>
    <row r="13" spans="1:11" ht="19.5" customHeight="1" x14ac:dyDescent="0.25">
      <c r="C13" s="18" t="s">
        <v>89</v>
      </c>
      <c r="D13" s="18" t="s">
        <v>235</v>
      </c>
      <c r="F13" s="18" t="s">
        <v>140</v>
      </c>
      <c r="G13" s="242">
        <v>52.847999999999999</v>
      </c>
      <c r="I13" s="99"/>
      <c r="K13" s="128">
        <f>506355</f>
        <v>506355</v>
      </c>
    </row>
    <row r="14" spans="1:11" ht="19.5" customHeight="1" thickBot="1" x14ac:dyDescent="0.3">
      <c r="D14" s="26" t="s">
        <v>143</v>
      </c>
      <c r="G14" s="226">
        <f>SUM(G9:G13)</f>
        <v>92.35850640550845</v>
      </c>
      <c r="I14" s="99"/>
      <c r="K14" s="128">
        <f>2558858</f>
        <v>2558858</v>
      </c>
    </row>
    <row r="15" spans="1:11" ht="15" x14ac:dyDescent="0.25">
      <c r="D15" s="26"/>
      <c r="G15" s="110"/>
      <c r="K15" s="128">
        <f>1614311</f>
        <v>1614311</v>
      </c>
    </row>
    <row r="16" spans="1:11" ht="15" x14ac:dyDescent="0.25">
      <c r="D16" s="26"/>
      <c r="G16" s="110"/>
      <c r="K16" s="25">
        <f>SUM(K13:K15)</f>
        <v>4679524</v>
      </c>
    </row>
    <row r="17" spans="1:11" ht="15" x14ac:dyDescent="0.25">
      <c r="A17" s="19">
        <v>2</v>
      </c>
      <c r="B17" s="81" t="s">
        <v>154</v>
      </c>
      <c r="G17" s="109"/>
      <c r="K17" s="25">
        <f>22.66-4.68</f>
        <v>17.98</v>
      </c>
    </row>
    <row r="18" spans="1:11" ht="21" customHeight="1" x14ac:dyDescent="0.25">
      <c r="C18" s="18" t="s">
        <v>81</v>
      </c>
      <c r="D18" s="18" t="s">
        <v>222</v>
      </c>
      <c r="F18" s="18" t="s">
        <v>140</v>
      </c>
      <c r="G18" s="838">
        <f>'Anx J'!O10+'Anx J'!O11-'Anx J'!J29</f>
        <v>-1.3849999999706597E-3</v>
      </c>
    </row>
    <row r="19" spans="1:11" ht="21" customHeight="1" x14ac:dyDescent="0.25">
      <c r="C19" s="18" t="s">
        <v>86</v>
      </c>
      <c r="D19" s="18" t="s">
        <v>434</v>
      </c>
      <c r="F19" s="18" t="s">
        <v>140</v>
      </c>
      <c r="G19" s="696">
        <v>0</v>
      </c>
    </row>
    <row r="20" spans="1:11" ht="21" customHeight="1" x14ac:dyDescent="0.25">
      <c r="C20" s="18" t="s">
        <v>575</v>
      </c>
      <c r="D20" s="18" t="s">
        <v>706</v>
      </c>
      <c r="G20" s="696">
        <v>0</v>
      </c>
    </row>
    <row r="21" spans="1:11" ht="21" customHeight="1" x14ac:dyDescent="0.25">
      <c r="C21" s="18" t="s">
        <v>577</v>
      </c>
      <c r="D21" s="18" t="s">
        <v>707</v>
      </c>
      <c r="G21" s="696">
        <v>0</v>
      </c>
    </row>
    <row r="22" spans="1:11" ht="21" customHeight="1" x14ac:dyDescent="0.25">
      <c r="D22" s="18" t="s">
        <v>685</v>
      </c>
      <c r="G22" s="696">
        <v>0</v>
      </c>
    </row>
    <row r="23" spans="1:11" ht="21" customHeight="1" thickBot="1" x14ac:dyDescent="0.3">
      <c r="A23" s="19"/>
      <c r="B23" s="81"/>
      <c r="D23" s="1332" t="s">
        <v>143</v>
      </c>
      <c r="E23" s="1332"/>
      <c r="G23" s="226">
        <f>SUM(G18:G19)+G22+G20+G21</f>
        <v>-1.3849999999706597E-3</v>
      </c>
      <c r="I23" s="99"/>
    </row>
    <row r="24" spans="1:11" ht="15" x14ac:dyDescent="0.25">
      <c r="A24" s="19"/>
      <c r="B24" s="81"/>
      <c r="G24" s="322"/>
    </row>
    <row r="25" spans="1:11" ht="15.75" thickBot="1" x14ac:dyDescent="0.3">
      <c r="D25" s="26" t="s">
        <v>146</v>
      </c>
      <c r="G25" s="340">
        <f>G23+G14</f>
        <v>92.357121405508479</v>
      </c>
    </row>
    <row r="28" spans="1:11" x14ac:dyDescent="0.25">
      <c r="G28" s="25"/>
    </row>
    <row r="47" spans="4:5" x14ac:dyDescent="0.25">
      <c r="D47" s="18">
        <f>0.024+0.045+0.019+0.003+0.002</f>
        <v>9.3000000000000013E-2</v>
      </c>
      <c r="E47" s="18">
        <f>0.024+0.045+0.019+0.003+0.002</f>
        <v>9.3000000000000013E-2</v>
      </c>
    </row>
    <row r="51" spans="4:5" x14ac:dyDescent="0.25">
      <c r="D51" s="18">
        <f>0.001+0.004+0.012</f>
        <v>1.7000000000000001E-2</v>
      </c>
      <c r="E51" s="18">
        <f>0.001+0.004+0.012</f>
        <v>1.7000000000000001E-2</v>
      </c>
    </row>
    <row r="55" spans="4:5" x14ac:dyDescent="0.25">
      <c r="D55" s="18">
        <f>0.006+0.001+0.002+0.001+0.004</f>
        <v>1.4000000000000002E-2</v>
      </c>
      <c r="E55" s="18">
        <f>0.006+0.001+0.002+0.001+0.004</f>
        <v>1.4000000000000002E-2</v>
      </c>
    </row>
  </sheetData>
  <mergeCells count="5">
    <mergeCell ref="A1:G1"/>
    <mergeCell ref="A3:G3"/>
    <mergeCell ref="A4:G4"/>
    <mergeCell ref="A5:G5"/>
    <mergeCell ref="D23:E23"/>
  </mergeCells>
  <printOptions horizontalCentered="1"/>
  <pageMargins left="0.82" right="0.3" top="0.57999999999999996" bottom="0.33" header="0.17" footer="0.18"/>
  <pageSetup paperSize="9" orientation="landscape" r:id="rId1"/>
  <headerFooter alignWithMargins="0"/>
  <drawing r:id="rId2"/>
  <legacyDrawing r:id="rId3"/>
  <oleObjects>
    <mc:AlternateContent xmlns:mc="http://schemas.openxmlformats.org/markup-compatibility/2006">
      <mc:Choice Requires="x14">
        <oleObject progId="Word.Picture.8" shapeId="13313" r:id="rId4">
          <objectPr defaultSize="0" autoPict="0" r:id="rId5">
            <anchor moveWithCells="1" sizeWithCells="1">
              <from>
                <xdr:col>0</xdr:col>
                <xdr:colOff>0</xdr:colOff>
                <xdr:row>0</xdr:row>
                <xdr:rowOff>0</xdr:rowOff>
              </from>
              <to>
                <xdr:col>1</xdr:col>
                <xdr:colOff>95250</xdr:colOff>
                <xdr:row>2</xdr:row>
                <xdr:rowOff>171450</xdr:rowOff>
              </to>
            </anchor>
          </objectPr>
        </oleObject>
      </mc:Choice>
      <mc:Fallback>
        <oleObject progId="Word.Picture.8" shapeId="13313"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W55"/>
  <sheetViews>
    <sheetView view="pageBreakPreview" topLeftCell="A17" zoomScaleNormal="85" zoomScaleSheetLayoutView="100" workbookViewId="0">
      <selection activeCell="D45" sqref="D45"/>
    </sheetView>
  </sheetViews>
  <sheetFormatPr defaultColWidth="9.140625" defaultRowHeight="14.25" x14ac:dyDescent="0.25"/>
  <cols>
    <col min="1" max="1" width="12.42578125" style="42" customWidth="1"/>
    <col min="2" max="2" width="36.28515625" style="42" customWidth="1"/>
    <col min="3" max="3" width="14.28515625" style="42" customWidth="1"/>
    <col min="4" max="4" width="17.140625" style="42" customWidth="1"/>
    <col min="5" max="5" width="10.7109375" style="42" customWidth="1"/>
    <col min="6" max="6" width="18.28515625" style="42" customWidth="1"/>
    <col min="7" max="7" width="8.42578125" style="42" customWidth="1"/>
    <col min="8" max="8" width="13.5703125" style="42" bestFit="1" customWidth="1"/>
    <col min="9" max="9" width="13.140625" style="42" bestFit="1" customWidth="1"/>
    <col min="10" max="10" width="9.140625" style="42"/>
    <col min="11" max="11" width="9.42578125" style="42" bestFit="1" customWidth="1"/>
    <col min="12" max="14" width="9.140625" style="42"/>
    <col min="15" max="15" width="9.42578125" style="42" bestFit="1" customWidth="1"/>
    <col min="16" max="17" width="9.140625" style="42"/>
    <col min="18" max="18" width="9.42578125" style="42" bestFit="1" customWidth="1"/>
    <col min="19" max="16384" width="9.140625" style="42"/>
  </cols>
  <sheetData>
    <row r="1" spans="1:23" ht="15" x14ac:dyDescent="0.25">
      <c r="A1" s="1211" t="s">
        <v>141</v>
      </c>
      <c r="B1" s="1211"/>
      <c r="C1" s="1211"/>
      <c r="D1" s="1211"/>
      <c r="E1" s="1211"/>
      <c r="F1" s="1211"/>
      <c r="G1" s="1211"/>
    </row>
    <row r="2" spans="1:23" ht="15.75" x14ac:dyDescent="0.25">
      <c r="A2" s="98"/>
      <c r="B2" s="98"/>
      <c r="C2" s="98"/>
      <c r="D2" s="98"/>
      <c r="E2" s="98"/>
      <c r="F2" s="98"/>
      <c r="G2" s="103" t="str">
        <f>'Anx M'!G2</f>
        <v>MONTH - July 2025</v>
      </c>
    </row>
    <row r="3" spans="1:23" s="47" customFormat="1" ht="16.5" customHeight="1" x14ac:dyDescent="0.25">
      <c r="A3" s="1177" t="s">
        <v>161</v>
      </c>
      <c r="B3" s="1177"/>
      <c r="C3" s="1177"/>
      <c r="D3" s="1177"/>
      <c r="E3" s="1177"/>
      <c r="F3" s="1177"/>
      <c r="G3" s="1177"/>
    </row>
    <row r="4" spans="1:23" s="47" customFormat="1" ht="15.75" customHeight="1" x14ac:dyDescent="0.25">
      <c r="A4" s="1333" t="str">
        <f>'Anx M'!A5:G5</f>
        <v xml:space="preserve">PMU NLC INFRA DEV WORKS at Chahar Bagh (RUDA ) </v>
      </c>
      <c r="B4" s="1179"/>
      <c r="C4" s="1179"/>
      <c r="D4" s="1179"/>
      <c r="E4" s="1179"/>
      <c r="F4" s="1179"/>
      <c r="G4" s="1179"/>
    </row>
    <row r="5" spans="1:23" s="47" customFormat="1" ht="15" x14ac:dyDescent="0.25">
      <c r="A5" s="21" t="s">
        <v>162</v>
      </c>
      <c r="B5" s="21"/>
      <c r="C5" s="106">
        <f>C41</f>
        <v>3171.2449999999999</v>
      </c>
      <c r="D5" s="21" t="s">
        <v>203</v>
      </c>
      <c r="E5" s="21"/>
      <c r="F5" s="21"/>
      <c r="G5" s="21"/>
      <c r="H5" s="21"/>
    </row>
    <row r="6" spans="1:23" s="47" customFormat="1" ht="15" x14ac:dyDescent="0.25">
      <c r="A6" s="21" t="s">
        <v>201</v>
      </c>
      <c r="B6" s="21"/>
      <c r="C6" s="106">
        <f>'Anx D'!D118</f>
        <v>3255.7098784917184</v>
      </c>
      <c r="D6" s="21" t="s">
        <v>203</v>
      </c>
      <c r="E6" s="21"/>
      <c r="F6" s="21"/>
      <c r="G6" s="21"/>
      <c r="H6" s="21"/>
    </row>
    <row r="7" spans="1:23" s="47" customFormat="1" ht="15" x14ac:dyDescent="0.25">
      <c r="A7" s="21" t="s">
        <v>202</v>
      </c>
      <c r="B7" s="21"/>
      <c r="C7" s="118">
        <f>'Anx A'!E29</f>
        <v>3501.3231219500003</v>
      </c>
      <c r="D7" s="21" t="s">
        <v>203</v>
      </c>
      <c r="E7" s="21"/>
      <c r="F7" s="21"/>
      <c r="G7" s="21"/>
      <c r="H7" s="21"/>
    </row>
    <row r="8" spans="1:23" s="47" customFormat="1" ht="15" x14ac:dyDescent="0.25">
      <c r="A8" s="21" t="s">
        <v>163</v>
      </c>
      <c r="B8" s="21"/>
      <c r="C8" s="147">
        <f>C5-C6</f>
        <v>-84.464878491718537</v>
      </c>
      <c r="D8" s="21" t="s">
        <v>203</v>
      </c>
      <c r="E8" s="21"/>
      <c r="F8" s="21"/>
      <c r="G8" s="21"/>
      <c r="H8" s="21"/>
      <c r="K8" s="247"/>
    </row>
    <row r="9" spans="1:23" s="47" customFormat="1" ht="15.75" thickBot="1" x14ac:dyDescent="0.3">
      <c r="A9" s="21" t="s">
        <v>164</v>
      </c>
      <c r="B9" s="21"/>
      <c r="C9" s="118">
        <f>'Anx A'!H19-'Anx A'!E29</f>
        <v>61.874878049999552</v>
      </c>
      <c r="D9" s="21" t="s">
        <v>203</v>
      </c>
      <c r="E9" s="21"/>
      <c r="F9" s="21"/>
      <c r="G9" s="2" t="s">
        <v>165</v>
      </c>
      <c r="H9" s="21"/>
    </row>
    <row r="10" spans="1:23" ht="18" customHeight="1" thickTop="1" thickBot="1" x14ac:dyDescent="0.3">
      <c r="A10" s="1213" t="s">
        <v>7</v>
      </c>
      <c r="B10" s="1213" t="s">
        <v>31</v>
      </c>
      <c r="C10" s="1213" t="s">
        <v>166</v>
      </c>
      <c r="D10" s="1214" t="s">
        <v>167</v>
      </c>
      <c r="E10" s="1336"/>
      <c r="F10" s="1214" t="s">
        <v>168</v>
      </c>
      <c r="G10" s="1336"/>
    </row>
    <row r="11" spans="1:23" ht="30" customHeight="1" thickTop="1" thickBot="1" x14ac:dyDescent="0.3">
      <c r="A11" s="1213"/>
      <c r="B11" s="1213"/>
      <c r="C11" s="1213"/>
      <c r="D11" s="50" t="s">
        <v>169</v>
      </c>
      <c r="E11" s="50" t="s">
        <v>35</v>
      </c>
      <c r="F11" s="50" t="s">
        <v>169</v>
      </c>
      <c r="G11" s="50" t="s">
        <v>35</v>
      </c>
      <c r="W11" s="42">
        <f>1734.34+31.6+27.61+19.55+24.27+126.13+21.94+281.58</f>
        <v>2267.0199999999995</v>
      </c>
    </row>
    <row r="12" spans="1:23" ht="12" customHeight="1" thickTop="1" x14ac:dyDescent="0.25">
      <c r="A12" s="1334" t="s">
        <v>36</v>
      </c>
      <c r="B12" s="1335"/>
      <c r="C12" s="163"/>
      <c r="D12" s="164"/>
      <c r="E12" s="51"/>
      <c r="F12" s="164"/>
      <c r="G12" s="51"/>
    </row>
    <row r="13" spans="1:23" ht="12" customHeight="1" x14ac:dyDescent="0.25">
      <c r="A13" s="52">
        <v>1</v>
      </c>
      <c r="B13" s="53" t="s">
        <v>170</v>
      </c>
      <c r="C13" s="165"/>
      <c r="D13" s="59"/>
      <c r="E13" s="54"/>
      <c r="F13" s="60"/>
      <c r="G13" s="54"/>
      <c r="I13" s="131"/>
      <c r="N13" s="42">
        <v>511.55099999999999</v>
      </c>
    </row>
    <row r="14" spans="1:23" x14ac:dyDescent="0.25">
      <c r="A14" s="52"/>
      <c r="B14" s="56" t="s">
        <v>252</v>
      </c>
      <c r="C14" s="166">
        <v>1183.25</v>
      </c>
      <c r="D14" s="166">
        <f>'Anx D'!D11</f>
        <v>1722.6836245773763</v>
      </c>
      <c r="E14" s="166">
        <v>0</v>
      </c>
      <c r="F14" s="166">
        <v>0</v>
      </c>
      <c r="G14" s="168"/>
      <c r="I14" s="131"/>
      <c r="L14" s="42">
        <f>523.551-369.084-80.62+5.115+15.346</f>
        <v>94.308000000000035</v>
      </c>
      <c r="N14" s="42">
        <f>+N13-369.084-80.62-5.115-15.346</f>
        <v>41.385999999999981</v>
      </c>
    </row>
    <row r="15" spans="1:23" ht="12" customHeight="1" x14ac:dyDescent="0.25">
      <c r="A15" s="52"/>
      <c r="B15" s="56" t="s">
        <v>266</v>
      </c>
      <c r="C15" s="166">
        <v>0</v>
      </c>
      <c r="D15" s="166">
        <v>0</v>
      </c>
      <c r="E15" s="166">
        <v>0</v>
      </c>
      <c r="F15" s="166">
        <f t="shared" ref="F15:F26" si="0">C15-D15</f>
        <v>0</v>
      </c>
      <c r="G15" s="168"/>
      <c r="I15" s="131"/>
      <c r="L15" s="42">
        <v>523.55100000000004</v>
      </c>
      <c r="R15" s="42">
        <f>59.21+19.55</f>
        <v>78.760000000000005</v>
      </c>
    </row>
    <row r="16" spans="1:23" ht="12" customHeight="1" x14ac:dyDescent="0.25">
      <c r="A16" s="52">
        <v>2</v>
      </c>
      <c r="B16" s="53" t="s">
        <v>147</v>
      </c>
      <c r="C16" s="166">
        <v>1346.3969999999999</v>
      </c>
      <c r="D16" s="166">
        <f>'Anx D'!D18+'Anx D'!D19+'Anx D'!D20</f>
        <v>375.99441011150827</v>
      </c>
      <c r="E16" s="166">
        <v>0</v>
      </c>
      <c r="F16" s="166">
        <v>0</v>
      </c>
      <c r="G16" s="168"/>
      <c r="L16" s="42">
        <f>369.084+80.62+5.115+15.346</f>
        <v>470.16500000000002</v>
      </c>
    </row>
    <row r="17" spans="1:21" ht="12" customHeight="1" x14ac:dyDescent="0.25">
      <c r="A17" s="57">
        <v>3</v>
      </c>
      <c r="B17" s="58" t="s">
        <v>142</v>
      </c>
      <c r="C17" s="166">
        <v>0</v>
      </c>
      <c r="D17" s="166">
        <v>0</v>
      </c>
      <c r="E17" s="166">
        <v>0</v>
      </c>
      <c r="F17" s="166">
        <f t="shared" si="0"/>
        <v>0</v>
      </c>
      <c r="G17" s="169"/>
      <c r="L17" s="42">
        <f>+L16-7.381</f>
        <v>462.78399999999999</v>
      </c>
      <c r="U17" s="42">
        <v>511.55099999999999</v>
      </c>
    </row>
    <row r="18" spans="1:21" ht="12" customHeight="1" x14ac:dyDescent="0.25">
      <c r="A18" s="55"/>
      <c r="B18" s="56" t="s">
        <v>265</v>
      </c>
      <c r="C18" s="166">
        <v>260</v>
      </c>
      <c r="D18" s="166">
        <f>'Anx D'!D24+'Anx D'!D28</f>
        <v>261.79311799999999</v>
      </c>
      <c r="E18" s="166">
        <v>0</v>
      </c>
      <c r="F18" s="166">
        <v>0</v>
      </c>
      <c r="G18" s="168"/>
      <c r="U18" s="42">
        <f>369.084+80.62+5.115+15.346</f>
        <v>470.16500000000002</v>
      </c>
    </row>
    <row r="19" spans="1:21" ht="12" customHeight="1" x14ac:dyDescent="0.25">
      <c r="A19" s="55"/>
      <c r="B19" s="56" t="s">
        <v>37</v>
      </c>
      <c r="C19" s="166">
        <v>0</v>
      </c>
      <c r="D19" s="166">
        <f>'Anx D'!D25</f>
        <v>10.637197</v>
      </c>
      <c r="E19" s="166">
        <v>0</v>
      </c>
      <c r="F19" s="166">
        <v>0</v>
      </c>
      <c r="G19" s="168"/>
    </row>
    <row r="20" spans="1:21" ht="12" customHeight="1" x14ac:dyDescent="0.25">
      <c r="A20" s="61"/>
      <c r="B20" s="62"/>
      <c r="C20" s="166">
        <v>0</v>
      </c>
      <c r="D20" s="166">
        <v>0</v>
      </c>
      <c r="E20" s="166">
        <v>0</v>
      </c>
      <c r="F20" s="166">
        <f t="shared" si="0"/>
        <v>0</v>
      </c>
      <c r="G20" s="170"/>
      <c r="O20" s="42">
        <v>1346.5309999999999</v>
      </c>
      <c r="R20" s="42">
        <v>1306.0309999999999</v>
      </c>
      <c r="U20" s="42">
        <f>+U17-U18</f>
        <v>41.385999999999967</v>
      </c>
    </row>
    <row r="21" spans="1:21" ht="12" customHeight="1" x14ac:dyDescent="0.25">
      <c r="A21" s="57">
        <v>4</v>
      </c>
      <c r="B21" s="53" t="s">
        <v>117</v>
      </c>
      <c r="C21" s="166">
        <v>0</v>
      </c>
      <c r="D21" s="166">
        <v>0</v>
      </c>
      <c r="E21" s="166">
        <v>0</v>
      </c>
      <c r="F21" s="166">
        <f t="shared" si="0"/>
        <v>0</v>
      </c>
      <c r="G21" s="168"/>
      <c r="O21" s="42">
        <f>+O20-R21</f>
        <v>159.48099999999999</v>
      </c>
      <c r="R21" s="42">
        <f>894.761+240.048+13.06+39.181</f>
        <v>1187.05</v>
      </c>
    </row>
    <row r="22" spans="1:21" ht="12" customHeight="1" x14ac:dyDescent="0.25">
      <c r="A22" s="55"/>
      <c r="B22" s="56" t="s">
        <v>267</v>
      </c>
      <c r="C22" s="166">
        <v>36.54</v>
      </c>
      <c r="D22" s="166">
        <v>0</v>
      </c>
      <c r="E22" s="166">
        <v>0</v>
      </c>
      <c r="F22" s="166">
        <v>0</v>
      </c>
      <c r="G22" s="168"/>
      <c r="I22" s="42">
        <f>3.6*5</f>
        <v>18</v>
      </c>
      <c r="R22" s="42">
        <f>+R20-R21</f>
        <v>118.98099999999999</v>
      </c>
    </row>
    <row r="23" spans="1:21" ht="12" customHeight="1" x14ac:dyDescent="0.25">
      <c r="A23" s="55"/>
      <c r="B23" s="56" t="s">
        <v>68</v>
      </c>
      <c r="C23" s="166">
        <v>0</v>
      </c>
      <c r="D23" s="166">
        <v>0</v>
      </c>
      <c r="E23" s="166">
        <v>0</v>
      </c>
      <c r="F23" s="166">
        <f t="shared" si="0"/>
        <v>0</v>
      </c>
      <c r="G23" s="168"/>
    </row>
    <row r="24" spans="1:21" ht="12" customHeight="1" x14ac:dyDescent="0.25">
      <c r="A24" s="55"/>
      <c r="B24" s="56" t="s">
        <v>171</v>
      </c>
      <c r="C24" s="166">
        <v>0</v>
      </c>
      <c r="D24" s="166">
        <f>'Anx D'!D30</f>
        <v>23.985141999999993</v>
      </c>
      <c r="E24" s="166">
        <v>0</v>
      </c>
      <c r="F24" s="166">
        <v>0</v>
      </c>
      <c r="G24" s="168"/>
    </row>
    <row r="25" spans="1:21" ht="12" customHeight="1" x14ac:dyDescent="0.25">
      <c r="A25" s="57">
        <v>5</v>
      </c>
      <c r="B25" s="53" t="s">
        <v>67</v>
      </c>
      <c r="C25" s="166">
        <v>0</v>
      </c>
      <c r="D25" s="166">
        <v>0</v>
      </c>
      <c r="E25" s="166">
        <v>0</v>
      </c>
      <c r="F25" s="166">
        <f t="shared" si="0"/>
        <v>0</v>
      </c>
      <c r="G25" s="168"/>
    </row>
    <row r="26" spans="1:21" ht="12" customHeight="1" x14ac:dyDescent="0.25">
      <c r="A26" s="55"/>
      <c r="B26" s="56" t="s">
        <v>172</v>
      </c>
      <c r="C26" s="166">
        <v>0</v>
      </c>
      <c r="D26" s="166">
        <v>0</v>
      </c>
      <c r="E26" s="166">
        <v>0</v>
      </c>
      <c r="F26" s="166">
        <f t="shared" si="0"/>
        <v>0</v>
      </c>
      <c r="G26" s="168"/>
    </row>
    <row r="27" spans="1:21" ht="12" customHeight="1" x14ac:dyDescent="0.25">
      <c r="A27" s="55"/>
      <c r="B27" s="56" t="s">
        <v>471</v>
      </c>
      <c r="C27" s="166">
        <v>12.103</v>
      </c>
      <c r="D27" s="166">
        <f>'Anx D'!D61</f>
        <v>12.103</v>
      </c>
      <c r="E27" s="166">
        <v>0</v>
      </c>
      <c r="F27" s="166">
        <v>0</v>
      </c>
      <c r="G27" s="168"/>
    </row>
    <row r="28" spans="1:21" ht="12" customHeight="1" x14ac:dyDescent="0.25">
      <c r="A28" s="55"/>
      <c r="B28" s="56" t="s">
        <v>173</v>
      </c>
      <c r="C28" s="166"/>
      <c r="D28" s="1012">
        <f>258.254-249.952-1.241+1.162+14.148+47.298-4.118</f>
        <v>65.55100000000003</v>
      </c>
      <c r="E28" s="166"/>
      <c r="F28" s="166">
        <v>0</v>
      </c>
      <c r="G28" s="168"/>
    </row>
    <row r="29" spans="1:21" ht="12" customHeight="1" x14ac:dyDescent="0.25">
      <c r="A29" s="55"/>
      <c r="B29" s="56" t="s">
        <v>472</v>
      </c>
      <c r="C29" s="166">
        <v>169.67599999999999</v>
      </c>
      <c r="D29" s="166">
        <f>'Anx D'!D69</f>
        <v>157.13984995000004</v>
      </c>
      <c r="E29" s="166">
        <v>0</v>
      </c>
      <c r="F29" s="166">
        <v>0</v>
      </c>
      <c r="G29" s="168"/>
    </row>
    <row r="30" spans="1:21" ht="12" customHeight="1" thickBot="1" x14ac:dyDescent="0.3">
      <c r="A30" s="61"/>
      <c r="B30" s="62" t="s">
        <v>473</v>
      </c>
      <c r="C30" s="166">
        <v>33.93</v>
      </c>
      <c r="D30" s="166">
        <f>'Anx D'!D62</f>
        <v>31.049518489500006</v>
      </c>
      <c r="E30" s="166">
        <v>0</v>
      </c>
      <c r="F30" s="166">
        <v>0</v>
      </c>
      <c r="G30" s="168"/>
      <c r="I30" s="42">
        <f>2590.308-2472.217</f>
        <v>118.09099999999989</v>
      </c>
    </row>
    <row r="31" spans="1:21" ht="12" customHeight="1" thickTop="1" thickBot="1" x14ac:dyDescent="0.3">
      <c r="A31" s="63"/>
      <c r="B31" s="132" t="s">
        <v>40</v>
      </c>
      <c r="C31" s="83">
        <f>SUM(C13:C30)</f>
        <v>3041.8959999999997</v>
      </c>
      <c r="D31" s="83">
        <f>SUM(D13:D30)</f>
        <v>2660.9368601283845</v>
      </c>
      <c r="E31" s="660">
        <f>D31/C31</f>
        <v>0.87476260205095269</v>
      </c>
      <c r="F31" s="83">
        <f>C31-D31</f>
        <v>380.95913987161521</v>
      </c>
      <c r="G31" s="660">
        <f>F31/C31</f>
        <v>0.12523739794904731</v>
      </c>
      <c r="H31" s="108"/>
    </row>
    <row r="32" spans="1:21" ht="12" customHeight="1" thickTop="1" x14ac:dyDescent="0.25">
      <c r="A32" s="1209" t="s">
        <v>38</v>
      </c>
      <c r="B32" s="1210"/>
      <c r="C32" s="163"/>
      <c r="D32" s="164"/>
      <c r="E32" s="51"/>
      <c r="F32" s="164"/>
      <c r="G32" s="54"/>
      <c r="H32" s="49"/>
      <c r="I32" s="49"/>
    </row>
    <row r="33" spans="1:13" ht="12" customHeight="1" x14ac:dyDescent="0.25">
      <c r="A33" s="57">
        <v>1</v>
      </c>
      <c r="B33" s="58" t="s">
        <v>18</v>
      </c>
      <c r="C33" s="273">
        <v>0</v>
      </c>
      <c r="D33" s="164">
        <v>0</v>
      </c>
      <c r="E33" s="51"/>
      <c r="F33" s="164">
        <v>0</v>
      </c>
      <c r="G33" s="54"/>
    </row>
    <row r="34" spans="1:13" ht="12" customHeight="1" x14ac:dyDescent="0.25">
      <c r="A34" s="55"/>
      <c r="B34" s="56" t="s">
        <v>20</v>
      </c>
      <c r="C34" s="273">
        <v>0</v>
      </c>
      <c r="D34" s="164">
        <v>0</v>
      </c>
      <c r="E34" s="51"/>
      <c r="F34" s="164">
        <v>0</v>
      </c>
      <c r="G34" s="168"/>
    </row>
    <row r="35" spans="1:13" ht="12" customHeight="1" x14ac:dyDescent="0.25">
      <c r="A35" s="55"/>
      <c r="B35" s="56" t="s">
        <v>21</v>
      </c>
      <c r="C35" s="273">
        <v>82.477000000000004</v>
      </c>
      <c r="D35" s="164">
        <f>'Anx D'!D76</f>
        <v>147.58800000000002</v>
      </c>
      <c r="E35" s="51"/>
      <c r="F35" s="164">
        <v>0</v>
      </c>
      <c r="G35" s="168"/>
      <c r="I35" s="42">
        <f>8.53/111.272</f>
        <v>7.6658997771227255E-2</v>
      </c>
    </row>
    <row r="36" spans="1:13" ht="12" customHeight="1" x14ac:dyDescent="0.25">
      <c r="A36" s="52">
        <v>2</v>
      </c>
      <c r="B36" s="53" t="s">
        <v>268</v>
      </c>
      <c r="C36" s="273">
        <v>0</v>
      </c>
      <c r="D36" s="164">
        <v>0</v>
      </c>
      <c r="E36" s="51"/>
      <c r="F36" s="164">
        <v>0</v>
      </c>
      <c r="G36" s="54"/>
      <c r="K36" s="210"/>
    </row>
    <row r="37" spans="1:13" ht="12" customHeight="1" x14ac:dyDescent="0.25">
      <c r="A37" s="55"/>
      <c r="B37" s="62" t="s">
        <v>197</v>
      </c>
      <c r="C37" s="273">
        <v>6</v>
      </c>
      <c r="D37" s="164">
        <f>'Anx D'!D79+'Anx D'!D80</f>
        <v>2.378549</v>
      </c>
      <c r="E37" s="51"/>
      <c r="F37" s="164">
        <v>0</v>
      </c>
      <c r="G37" s="168"/>
    </row>
    <row r="38" spans="1:13" ht="12" customHeight="1" x14ac:dyDescent="0.25">
      <c r="A38" s="55"/>
      <c r="B38" s="56" t="s">
        <v>272</v>
      </c>
      <c r="C38" s="273">
        <f>0.48+0.36+4.8+0.36+0.24</f>
        <v>6.24</v>
      </c>
      <c r="D38" s="164">
        <f>'Anx D'!D60</f>
        <v>7.5340283633333343</v>
      </c>
      <c r="E38" s="51"/>
      <c r="F38" s="164">
        <v>0</v>
      </c>
      <c r="G38" s="54"/>
    </row>
    <row r="39" spans="1:13" ht="12" customHeight="1" thickBot="1" x14ac:dyDescent="0.3">
      <c r="A39" s="55"/>
      <c r="B39" s="62" t="s">
        <v>173</v>
      </c>
      <c r="C39" s="273">
        <f>111.272-64.4-6-6.24</f>
        <v>34.631999999999998</v>
      </c>
      <c r="D39" s="1011">
        <f>72.461-D35-D37</f>
        <v>-77.50554900000003</v>
      </c>
      <c r="E39" s="51"/>
      <c r="F39" s="164">
        <v>0</v>
      </c>
      <c r="G39" s="168"/>
    </row>
    <row r="40" spans="1:13" ht="12" customHeight="1" thickTop="1" thickBot="1" x14ac:dyDescent="0.3">
      <c r="A40" s="63"/>
      <c r="B40" s="130" t="s">
        <v>39</v>
      </c>
      <c r="C40" s="167">
        <f>SUM(C33:C39)</f>
        <v>129.34899999999999</v>
      </c>
      <c r="D40" s="167">
        <f>SUM(D33:D39)</f>
        <v>79.995028363333319</v>
      </c>
      <c r="E40" s="660">
        <f>D40/C40</f>
        <v>0.61844334601220985</v>
      </c>
      <c r="F40" s="167">
        <f>C40-D40</f>
        <v>49.353971636666671</v>
      </c>
      <c r="G40" s="680">
        <f>F40/C40</f>
        <v>0.38155665398779021</v>
      </c>
    </row>
    <row r="41" spans="1:13" ht="12" customHeight="1" thickTop="1" thickBot="1" x14ac:dyDescent="0.3">
      <c r="A41" s="65"/>
      <c r="B41" s="132" t="s">
        <v>174</v>
      </c>
      <c r="C41" s="83">
        <f>C31+C40</f>
        <v>3171.2449999999999</v>
      </c>
      <c r="D41" s="83">
        <f>D40+D31</f>
        <v>2740.9318884917179</v>
      </c>
      <c r="E41" s="661">
        <f>E40+E31</f>
        <v>1.4932059480631625</v>
      </c>
      <c r="F41" s="83">
        <f>F40+F31</f>
        <v>430.31311150828185</v>
      </c>
      <c r="G41" s="660">
        <f>G40+G31</f>
        <v>0.50679405193683746</v>
      </c>
    </row>
    <row r="42" spans="1:13" ht="6.75" customHeight="1" thickTop="1" x14ac:dyDescent="0.25">
      <c r="A42" s="46"/>
      <c r="B42" s="152"/>
      <c r="C42" s="173"/>
      <c r="D42" s="174"/>
      <c r="E42" s="175"/>
      <c r="F42" s="174"/>
      <c r="G42" s="175"/>
    </row>
    <row r="43" spans="1:13" x14ac:dyDescent="0.25">
      <c r="B43" s="21" t="s">
        <v>175</v>
      </c>
      <c r="C43" s="118"/>
      <c r="D43" s="1013">
        <v>3563.1950000000002</v>
      </c>
      <c r="E43" s="20" t="s">
        <v>204</v>
      </c>
      <c r="F43" s="162"/>
      <c r="G43" s="20"/>
      <c r="H43" s="20"/>
      <c r="I43" s="20"/>
      <c r="J43" s="20"/>
      <c r="K43" s="20"/>
      <c r="L43" s="20"/>
      <c r="M43" s="20"/>
    </row>
    <row r="44" spans="1:13" x14ac:dyDescent="0.25">
      <c r="B44" s="21" t="s">
        <v>176</v>
      </c>
      <c r="C44" s="118"/>
      <c r="D44" s="180">
        <v>3001.5709999999999</v>
      </c>
      <c r="E44" s="20" t="s">
        <v>204</v>
      </c>
      <c r="F44" s="20"/>
      <c r="G44" s="20"/>
      <c r="H44" s="20"/>
      <c r="I44" s="20">
        <f>+D43*1%</f>
        <v>35.631950000000003</v>
      </c>
      <c r="J44" s="20"/>
      <c r="K44" s="20">
        <f>2306.202+121.16</f>
        <v>2427.3620000000001</v>
      </c>
      <c r="L44" s="20">
        <f>2160.59+107.44</f>
        <v>2268.0300000000002</v>
      </c>
      <c r="M44" s="20">
        <v>2427.36</v>
      </c>
    </row>
    <row r="45" spans="1:13" x14ac:dyDescent="0.25">
      <c r="B45" s="21" t="s">
        <v>271</v>
      </c>
      <c r="C45" s="118"/>
      <c r="D45" s="180">
        <v>169.67599999999999</v>
      </c>
      <c r="E45" s="20" t="s">
        <v>204</v>
      </c>
      <c r="F45" s="20"/>
      <c r="G45" s="20"/>
      <c r="H45" s="20"/>
      <c r="I45" s="20"/>
      <c r="J45" s="20"/>
      <c r="K45" s="20"/>
      <c r="L45" s="20">
        <f>+L44+93.72</f>
        <v>2361.75</v>
      </c>
      <c r="M45" s="20">
        <f>+M44*5%</f>
        <v>121.36800000000001</v>
      </c>
    </row>
    <row r="46" spans="1:13" x14ac:dyDescent="0.25">
      <c r="B46" s="21" t="s">
        <v>63</v>
      </c>
      <c r="C46" s="118"/>
      <c r="D46" s="172">
        <v>0</v>
      </c>
      <c r="E46" s="20" t="s">
        <v>204</v>
      </c>
      <c r="F46" s="20"/>
      <c r="G46" s="20"/>
      <c r="H46" s="20"/>
      <c r="I46" s="20"/>
      <c r="J46" s="20"/>
      <c r="K46" s="20"/>
      <c r="L46" s="20"/>
      <c r="M46" s="20">
        <f>+M44+M45</f>
        <v>2548.7280000000001</v>
      </c>
    </row>
    <row r="47" spans="1:13" x14ac:dyDescent="0.25">
      <c r="B47" s="21" t="s">
        <v>177</v>
      </c>
      <c r="C47" s="118"/>
      <c r="D47" s="171">
        <f>D43-D44+D46-D45</f>
        <v>391.94800000000026</v>
      </c>
      <c r="E47" s="20" t="s">
        <v>204</v>
      </c>
      <c r="F47" s="20"/>
      <c r="G47" s="20"/>
      <c r="H47" s="20"/>
      <c r="I47" s="20"/>
      <c r="J47" s="20"/>
      <c r="K47" s="20"/>
      <c r="L47" s="20"/>
      <c r="M47" s="20"/>
    </row>
    <row r="48" spans="1:13" x14ac:dyDescent="0.25">
      <c r="B48" s="176" t="s">
        <v>200</v>
      </c>
      <c r="C48" s="151"/>
      <c r="D48" s="210">
        <f>D47/D43</f>
        <v>0.10999903176783764</v>
      </c>
      <c r="I48" s="42">
        <v>3034.2159999999999</v>
      </c>
    </row>
    <row r="49" spans="3:9" x14ac:dyDescent="0.25">
      <c r="C49" s="151"/>
      <c r="D49" s="151"/>
      <c r="I49" s="42">
        <v>2701.58</v>
      </c>
    </row>
    <row r="50" spans="3:9" x14ac:dyDescent="0.25">
      <c r="C50" s="151"/>
      <c r="D50" s="151"/>
      <c r="I50" s="42">
        <f>I48-I49</f>
        <v>332.63599999999997</v>
      </c>
    </row>
    <row r="51" spans="3:9" x14ac:dyDescent="0.25">
      <c r="C51" s="151"/>
      <c r="D51" s="151"/>
    </row>
    <row r="52" spans="3:9" x14ac:dyDescent="0.25">
      <c r="C52" s="151"/>
      <c r="D52" s="151"/>
      <c r="E52" s="108"/>
    </row>
    <row r="53" spans="3:9" x14ac:dyDescent="0.25">
      <c r="C53" s="151"/>
      <c r="D53" s="151"/>
      <c r="E53" s="49"/>
    </row>
    <row r="54" spans="3:9" x14ac:dyDescent="0.25">
      <c r="C54" s="151"/>
      <c r="D54" s="151"/>
    </row>
    <row r="55" spans="3:9" x14ac:dyDescent="0.25">
      <c r="C55" s="151"/>
      <c r="D55" s="151"/>
    </row>
  </sheetData>
  <mergeCells count="10">
    <mergeCell ref="A1:G1"/>
    <mergeCell ref="A3:G3"/>
    <mergeCell ref="A4:G4"/>
    <mergeCell ref="A12:B12"/>
    <mergeCell ref="A32:B32"/>
    <mergeCell ref="A10:A11"/>
    <mergeCell ref="B10:B11"/>
    <mergeCell ref="F10:G10"/>
    <mergeCell ref="C10:C11"/>
    <mergeCell ref="D10:E10"/>
  </mergeCells>
  <printOptions horizontalCentered="1"/>
  <pageMargins left="0.49" right="0.3" top="0.25" bottom="0.28000000000000003" header="0.17" footer="0.18"/>
  <pageSetup paperSize="9" scale="83" orientation="landscape" r:id="rId1"/>
  <headerFooter alignWithMargins="0"/>
  <drawing r:id="rId2"/>
  <legacyDrawing r:id="rId3"/>
  <oleObjects>
    <mc:AlternateContent xmlns:mc="http://schemas.openxmlformats.org/markup-compatibility/2006">
      <mc:Choice Requires="x14">
        <oleObject progId="Word.Picture.8" shapeId="14340" r:id="rId4">
          <objectPr defaultSize="0" autoPict="0" r:id="rId5">
            <anchor moveWithCells="1" sizeWithCells="1">
              <from>
                <xdr:col>0</xdr:col>
                <xdr:colOff>0</xdr:colOff>
                <xdr:row>0</xdr:row>
                <xdr:rowOff>0</xdr:rowOff>
              </from>
              <to>
                <xdr:col>0</xdr:col>
                <xdr:colOff>285750</xdr:colOff>
                <xdr:row>2</xdr:row>
                <xdr:rowOff>9525</xdr:rowOff>
              </to>
            </anchor>
          </objectPr>
        </oleObject>
      </mc:Choice>
      <mc:Fallback>
        <oleObject progId="Word.Picture.8" shapeId="14340" r:id="rId4"/>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5"/>
  <sheetViews>
    <sheetView view="pageBreakPreview" topLeftCell="A8" zoomScaleNormal="85" zoomScaleSheetLayoutView="100" workbookViewId="0">
      <selection activeCell="B19" sqref="B19"/>
    </sheetView>
  </sheetViews>
  <sheetFormatPr defaultColWidth="9.140625" defaultRowHeight="14.25" x14ac:dyDescent="0.25"/>
  <cols>
    <col min="1" max="1" width="4.85546875" style="42" customWidth="1"/>
    <col min="2" max="2" width="40.28515625" style="40" customWidth="1"/>
    <col min="3" max="3" width="13.5703125" style="40" customWidth="1"/>
    <col min="4" max="4" width="15.28515625" style="40" customWidth="1"/>
    <col min="5" max="5" width="14" style="40" customWidth="1"/>
    <col min="6" max="6" width="12.42578125" style="40" customWidth="1"/>
    <col min="7" max="9" width="9.140625" style="40"/>
    <col min="10" max="10" width="9.5703125" style="40" bestFit="1" customWidth="1"/>
    <col min="11" max="16384" width="9.140625" style="40"/>
  </cols>
  <sheetData>
    <row r="1" spans="1:11" ht="15" x14ac:dyDescent="0.25">
      <c r="E1" s="98" t="s">
        <v>598</v>
      </c>
    </row>
    <row r="2" spans="1:11" ht="15.75" x14ac:dyDescent="0.25">
      <c r="E2" s="103" t="str">
        <f>'Anx N'!G2</f>
        <v>MONTH - July 2025</v>
      </c>
    </row>
    <row r="4" spans="1:11" ht="15.75" x14ac:dyDescent="0.25">
      <c r="A4" s="103"/>
      <c r="B4" s="103"/>
      <c r="C4" s="103"/>
      <c r="D4" s="103"/>
      <c r="E4" s="103"/>
    </row>
    <row r="5" spans="1:11" ht="15.75" x14ac:dyDescent="0.25">
      <c r="A5" s="1179" t="s">
        <v>599</v>
      </c>
      <c r="B5" s="1179"/>
      <c r="C5" s="1179"/>
      <c r="D5" s="1179"/>
      <c r="E5" s="1179"/>
    </row>
    <row r="6" spans="1:11" ht="15" x14ac:dyDescent="0.25">
      <c r="A6" s="1337" t="str">
        <f>'Anx N'!A4:G4</f>
        <v xml:space="preserve">PMU NLC INFRA DEV WORKS at Chahar Bagh (RUDA ) </v>
      </c>
      <c r="B6" s="1337"/>
      <c r="C6" s="1337"/>
      <c r="D6" s="1337"/>
      <c r="E6" s="1337"/>
    </row>
    <row r="7" spans="1:11" ht="15" thickBot="1" x14ac:dyDescent="0.3">
      <c r="A7" s="46"/>
      <c r="B7" s="46"/>
      <c r="C7" s="46"/>
      <c r="D7" s="46"/>
      <c r="E7" s="46"/>
    </row>
    <row r="8" spans="1:11" s="42" customFormat="1" ht="15.75" thickTop="1" thickBot="1" x14ac:dyDescent="0.3">
      <c r="A8" s="1338" t="s">
        <v>7</v>
      </c>
      <c r="B8" s="1338" t="s">
        <v>8</v>
      </c>
      <c r="C8" s="1339" t="s">
        <v>600</v>
      </c>
      <c r="D8" s="1340"/>
      <c r="E8" s="1340"/>
    </row>
    <row r="9" spans="1:11" s="42" customFormat="1" ht="40.5" customHeight="1" thickTop="1" thickBot="1" x14ac:dyDescent="0.3">
      <c r="A9" s="1338"/>
      <c r="B9" s="1338"/>
      <c r="C9" s="3" t="s">
        <v>17</v>
      </c>
      <c r="D9" s="3" t="s">
        <v>601</v>
      </c>
      <c r="E9" s="701" t="s">
        <v>181</v>
      </c>
    </row>
    <row r="10" spans="1:11" ht="20.25" customHeight="1" thickTop="1" x14ac:dyDescent="0.25">
      <c r="A10" s="702">
        <v>1</v>
      </c>
      <c r="B10" s="43" t="s">
        <v>602</v>
      </c>
      <c r="C10" s="703">
        <v>0</v>
      </c>
      <c r="D10" s="703">
        <v>0</v>
      </c>
      <c r="E10" s="703">
        <v>0</v>
      </c>
    </row>
    <row r="11" spans="1:11" ht="20.25" customHeight="1" x14ac:dyDescent="0.25">
      <c r="A11" s="702">
        <v>2</v>
      </c>
      <c r="B11" s="43" t="s">
        <v>603</v>
      </c>
      <c r="C11" s="706"/>
      <c r="D11" s="706">
        <f>0.087+0.013+0.008+0.005+0.003+0.009+0.006+0.005+0.0155+0.012246+0.00915512+0.01238465+0.01401478+0.02599+0.00669+0.002</f>
        <v>0.23398054999999998</v>
      </c>
      <c r="E11" s="706">
        <v>0</v>
      </c>
      <c r="F11" s="704"/>
      <c r="J11" s="40">
        <f>25985/1000000</f>
        <v>2.5985000000000001E-2</v>
      </c>
    </row>
    <row r="12" spans="1:11" ht="20.25" customHeight="1" x14ac:dyDescent="0.25">
      <c r="A12" s="702">
        <f>A11+1</f>
        <v>3</v>
      </c>
      <c r="B12" s="43" t="s">
        <v>604</v>
      </c>
      <c r="C12" s="706"/>
      <c r="D12" s="706"/>
      <c r="E12" s="706"/>
      <c r="F12" s="89"/>
    </row>
    <row r="13" spans="1:11" ht="20.25" customHeight="1" x14ac:dyDescent="0.25">
      <c r="A13" s="705">
        <f>A12+1</f>
        <v>4</v>
      </c>
      <c r="B13" s="43" t="s">
        <v>605</v>
      </c>
      <c r="C13" s="706">
        <v>0</v>
      </c>
      <c r="D13" s="706">
        <f>+C13+G13</f>
        <v>0</v>
      </c>
      <c r="E13" s="706">
        <f>+C13+H13</f>
        <v>0</v>
      </c>
      <c r="F13" s="89"/>
      <c r="K13" s="40">
        <f>6690/1000000</f>
        <v>6.6899999999999998E-3</v>
      </c>
    </row>
    <row r="14" spans="1:11" ht="20.25" customHeight="1" x14ac:dyDescent="0.25">
      <c r="A14" s="702" t="s">
        <v>606</v>
      </c>
      <c r="B14" s="43" t="s">
        <v>612</v>
      </c>
      <c r="C14" s="706">
        <v>0</v>
      </c>
      <c r="D14" s="706">
        <f>2.398+0.971+1.859+0.509+34.384</f>
        <v>40.121000000000002</v>
      </c>
      <c r="E14" s="706">
        <v>0</v>
      </c>
      <c r="F14" s="89"/>
    </row>
    <row r="15" spans="1:11" ht="20.25" customHeight="1" x14ac:dyDescent="0.25">
      <c r="A15" s="702" t="s">
        <v>607</v>
      </c>
      <c r="B15" s="43" t="s">
        <v>677</v>
      </c>
      <c r="C15" s="706">
        <v>0</v>
      </c>
      <c r="D15" s="706">
        <v>1.2999999999999999E-3</v>
      </c>
      <c r="E15" s="706">
        <v>0</v>
      </c>
      <c r="F15" s="89"/>
    </row>
    <row r="16" spans="1:11" ht="20.25" customHeight="1" x14ac:dyDescent="0.25">
      <c r="A16" s="702" t="s">
        <v>608</v>
      </c>
      <c r="B16" s="43" t="s">
        <v>986</v>
      </c>
      <c r="C16" s="706">
        <v>4.4690000000000003</v>
      </c>
      <c r="D16" s="706">
        <f>C16+F16</f>
        <v>4.4690000000000003</v>
      </c>
      <c r="E16" s="706">
        <v>4.4690000000000003</v>
      </c>
      <c r="F16" s="89"/>
    </row>
    <row r="17" spans="1:6" ht="20.25" customHeight="1" x14ac:dyDescent="0.25">
      <c r="A17" s="702" t="s">
        <v>609</v>
      </c>
      <c r="B17" s="43"/>
      <c r="C17" s="706">
        <v>0</v>
      </c>
      <c r="D17" s="706">
        <f t="shared" ref="D16:E19" si="0">(0)/1000000</f>
        <v>0</v>
      </c>
      <c r="E17" s="706">
        <f t="shared" si="0"/>
        <v>0</v>
      </c>
      <c r="F17" s="89"/>
    </row>
    <row r="18" spans="1:6" ht="20.25" customHeight="1" x14ac:dyDescent="0.25">
      <c r="A18" s="702" t="s">
        <v>610</v>
      </c>
      <c r="B18" s="43"/>
      <c r="C18" s="706">
        <v>0</v>
      </c>
      <c r="D18" s="706">
        <f t="shared" si="0"/>
        <v>0</v>
      </c>
      <c r="E18" s="706">
        <f t="shared" si="0"/>
        <v>0</v>
      </c>
      <c r="F18" s="89"/>
    </row>
    <row r="19" spans="1:6" ht="20.25" customHeight="1" x14ac:dyDescent="0.25">
      <c r="A19" s="702" t="s">
        <v>611</v>
      </c>
      <c r="B19" s="43"/>
      <c r="C19" s="706">
        <v>0</v>
      </c>
      <c r="D19" s="706">
        <f t="shared" si="0"/>
        <v>0</v>
      </c>
      <c r="E19" s="706">
        <f t="shared" si="0"/>
        <v>0</v>
      </c>
      <c r="F19" s="89"/>
    </row>
    <row r="20" spans="1:6" ht="20.25" customHeight="1" thickBot="1" x14ac:dyDescent="0.3">
      <c r="A20" s="702"/>
      <c r="B20" s="43"/>
      <c r="C20" s="703"/>
      <c r="D20" s="703"/>
      <c r="E20" s="703"/>
      <c r="F20" s="146"/>
    </row>
    <row r="21" spans="1:6" ht="27.75" customHeight="1" thickTop="1" thickBot="1" x14ac:dyDescent="0.3">
      <c r="A21" s="3"/>
      <c r="B21" s="48" t="s">
        <v>50</v>
      </c>
      <c r="C21" s="707">
        <f>SUM(C10:C20)</f>
        <v>4.4690000000000003</v>
      </c>
      <c r="D21" s="707">
        <f>SUM(D10:D20)</f>
        <v>44.825280550000002</v>
      </c>
      <c r="E21" s="707">
        <f>SUM(E10:E20)</f>
        <v>4.4690000000000003</v>
      </c>
    </row>
    <row r="22" spans="1:6" ht="15" thickTop="1" x14ac:dyDescent="0.25"/>
    <row r="23" spans="1:6" x14ac:dyDescent="0.25">
      <c r="B23" s="18"/>
      <c r="C23" s="18"/>
      <c r="D23" s="99"/>
      <c r="E23" s="18"/>
    </row>
    <row r="24" spans="1:6" x14ac:dyDescent="0.25">
      <c r="D24" s="90"/>
    </row>
    <row r="25" spans="1:6" x14ac:dyDescent="0.25">
      <c r="D25" s="90"/>
      <c r="E25" s="89"/>
    </row>
    <row r="26" spans="1:6" x14ac:dyDescent="0.25">
      <c r="D26" s="89"/>
    </row>
    <row r="28" spans="1:6" x14ac:dyDescent="0.25">
      <c r="C28" s="42">
        <v>544774</v>
      </c>
      <c r="D28" s="42"/>
      <c r="E28" s="42"/>
    </row>
    <row r="29" spans="1:6" x14ac:dyDescent="0.25">
      <c r="C29" s="49">
        <f>+C28-D11</f>
        <v>544773.76601945003</v>
      </c>
      <c r="D29" s="42"/>
      <c r="E29" s="42"/>
    </row>
    <row r="30" spans="1:6" x14ac:dyDescent="0.25">
      <c r="C30" s="42"/>
      <c r="D30" s="42"/>
      <c r="E30" s="42"/>
    </row>
    <row r="31" spans="1:6" x14ac:dyDescent="0.25">
      <c r="C31" s="42"/>
      <c r="D31" s="42"/>
      <c r="E31" s="42"/>
    </row>
    <row r="32" spans="1:6" x14ac:dyDescent="0.25">
      <c r="C32" s="42"/>
      <c r="D32" s="42"/>
      <c r="E32" s="42"/>
    </row>
    <row r="33" spans="3:5" x14ac:dyDescent="0.25">
      <c r="C33" s="42"/>
      <c r="D33" s="42"/>
      <c r="E33" s="42"/>
    </row>
    <row r="34" spans="3:5" x14ac:dyDescent="0.25">
      <c r="C34" s="42"/>
      <c r="D34" s="42"/>
      <c r="E34" s="42"/>
    </row>
    <row r="35" spans="3:5" x14ac:dyDescent="0.25">
      <c r="C35" s="42"/>
      <c r="D35" s="42"/>
      <c r="E35" s="42"/>
    </row>
    <row r="36" spans="3:5" x14ac:dyDescent="0.25">
      <c r="C36" s="42"/>
      <c r="D36" s="42"/>
      <c r="E36" s="42"/>
    </row>
    <row r="37" spans="3:5" x14ac:dyDescent="0.25">
      <c r="C37" s="42"/>
      <c r="D37" s="42"/>
      <c r="E37" s="42"/>
    </row>
    <row r="38" spans="3:5" x14ac:dyDescent="0.25">
      <c r="C38" s="42"/>
      <c r="D38" s="42"/>
      <c r="E38" s="42"/>
    </row>
    <row r="39" spans="3:5" x14ac:dyDescent="0.25">
      <c r="C39" s="42"/>
      <c r="D39" s="42"/>
      <c r="E39" s="42"/>
    </row>
    <row r="40" spans="3:5" x14ac:dyDescent="0.25">
      <c r="C40" s="42"/>
      <c r="D40" s="42"/>
      <c r="E40" s="42"/>
    </row>
    <row r="41" spans="3:5" x14ac:dyDescent="0.25">
      <c r="C41" s="42"/>
      <c r="D41" s="42"/>
      <c r="E41" s="42"/>
    </row>
    <row r="42" spans="3:5" x14ac:dyDescent="0.25">
      <c r="C42" s="42"/>
      <c r="D42" s="42"/>
      <c r="E42" s="42"/>
    </row>
    <row r="43" spans="3:5" x14ac:dyDescent="0.25">
      <c r="C43" s="42"/>
      <c r="D43" s="42"/>
      <c r="E43" s="42"/>
    </row>
    <row r="44" spans="3:5" x14ac:dyDescent="0.25">
      <c r="C44" s="42"/>
      <c r="D44" s="42"/>
      <c r="E44" s="42"/>
    </row>
    <row r="45" spans="3:5" x14ac:dyDescent="0.25">
      <c r="C45" s="42"/>
      <c r="D45" s="42"/>
      <c r="E45" s="42"/>
    </row>
    <row r="46" spans="3:5" x14ac:dyDescent="0.25">
      <c r="C46" s="42"/>
      <c r="D46" s="42"/>
      <c r="E46" s="42"/>
    </row>
    <row r="47" spans="3:5" x14ac:dyDescent="0.25">
      <c r="C47" s="42"/>
      <c r="D47" s="42">
        <f>0.024+0.045+0.019+0.003+0.002</f>
        <v>9.3000000000000013E-2</v>
      </c>
      <c r="E47" s="42">
        <f>0.024+0.045+0.019+0.003+0.002</f>
        <v>9.3000000000000013E-2</v>
      </c>
    </row>
    <row r="48" spans="3:5" x14ac:dyDescent="0.25">
      <c r="C48" s="42"/>
      <c r="D48" s="42"/>
      <c r="E48" s="42"/>
    </row>
    <row r="49" spans="3:5" x14ac:dyDescent="0.25">
      <c r="C49" s="42"/>
      <c r="D49" s="42"/>
      <c r="E49" s="42"/>
    </row>
    <row r="50" spans="3:5" x14ac:dyDescent="0.25">
      <c r="C50" s="42"/>
      <c r="D50" s="42"/>
      <c r="E50" s="42"/>
    </row>
    <row r="51" spans="3:5" x14ac:dyDescent="0.25">
      <c r="C51" s="42"/>
      <c r="D51" s="42">
        <f>0.001+0.004+0.012</f>
        <v>1.7000000000000001E-2</v>
      </c>
      <c r="E51" s="42">
        <f>0.001+0.004+0.012</f>
        <v>1.7000000000000001E-2</v>
      </c>
    </row>
    <row r="52" spans="3:5" x14ac:dyDescent="0.25">
      <c r="C52" s="42"/>
      <c r="D52" s="42"/>
      <c r="E52" s="42"/>
    </row>
    <row r="53" spans="3:5" x14ac:dyDescent="0.25">
      <c r="C53" s="42"/>
      <c r="D53" s="42"/>
      <c r="E53" s="42"/>
    </row>
    <row r="54" spans="3:5" x14ac:dyDescent="0.25">
      <c r="C54" s="42"/>
      <c r="D54" s="42"/>
      <c r="E54" s="42"/>
    </row>
    <row r="55" spans="3:5" x14ac:dyDescent="0.25">
      <c r="C55" s="42"/>
      <c r="D55" s="42">
        <f>0.006+0.001+0.002+0.001+0.004</f>
        <v>1.4000000000000002E-2</v>
      </c>
      <c r="E55" s="42">
        <f>0.006+0.001+0.002+0.001+0.004</f>
        <v>1.4000000000000002E-2</v>
      </c>
    </row>
  </sheetData>
  <mergeCells count="5">
    <mergeCell ref="A5:E5"/>
    <mergeCell ref="A6:E6"/>
    <mergeCell ref="A8:A9"/>
    <mergeCell ref="B8:B9"/>
    <mergeCell ref="C8:E8"/>
  </mergeCells>
  <printOptions horizontalCentered="1"/>
  <pageMargins left="0.82" right="0.3" top="0.32" bottom="0.33" header="0.17" footer="0.18"/>
  <pageSetup paperSize="9" scale="99" orientation="landscape" r:id="rId1"/>
  <headerFooter alignWithMargins="0"/>
  <drawing r:id="rId2"/>
  <legacyDrawing r:id="rId3"/>
  <oleObjects>
    <mc:AlternateContent xmlns:mc="http://schemas.openxmlformats.org/markup-compatibility/2006">
      <mc:Choice Requires="x14">
        <oleObject progId="Word.Picture.8" shapeId="3731457" r:id="rId4">
          <objectPr defaultSize="0" autoPict="0" r:id="rId5">
            <anchor moveWithCells="1" sizeWithCells="1">
              <from>
                <xdr:col>0</xdr:col>
                <xdr:colOff>0</xdr:colOff>
                <xdr:row>0</xdr:row>
                <xdr:rowOff>0</xdr:rowOff>
              </from>
              <to>
                <xdr:col>1</xdr:col>
                <xdr:colOff>142875</xdr:colOff>
                <xdr:row>2</xdr:row>
                <xdr:rowOff>123825</xdr:rowOff>
              </to>
            </anchor>
          </objectPr>
        </oleObject>
      </mc:Choice>
      <mc:Fallback>
        <oleObject progId="Word.Picture.8" shapeId="3731457" r:id="rId4"/>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F0"/>
    <pageSetUpPr fitToPage="1"/>
  </sheetPr>
  <dimension ref="A1:N46"/>
  <sheetViews>
    <sheetView view="pageBreakPreview" zoomScale="70" zoomScaleNormal="100" zoomScaleSheetLayoutView="70" workbookViewId="0">
      <pane xSplit="2" ySplit="8" topLeftCell="C20" activePane="bottomRight" state="frozen"/>
      <selection activeCell="E18" sqref="E18"/>
      <selection pane="topRight" activeCell="E18" sqref="E18"/>
      <selection pane="bottomLeft" activeCell="E18" sqref="E18"/>
      <selection pane="bottomRight" activeCell="D41" sqref="D41"/>
    </sheetView>
  </sheetViews>
  <sheetFormatPr defaultColWidth="21.85546875" defaultRowHeight="15" x14ac:dyDescent="0.25"/>
  <cols>
    <col min="1" max="1" width="9.5703125" style="232" customWidth="1"/>
    <col min="2" max="2" width="17.28515625" style="232" customWidth="1"/>
    <col min="3" max="3" width="16" style="232" customWidth="1"/>
    <col min="4" max="4" width="14.42578125" style="232" customWidth="1"/>
    <col min="5" max="6" width="14.7109375" style="232" customWidth="1"/>
    <col min="7" max="7" width="16.28515625" style="232" customWidth="1"/>
    <col min="8" max="16384" width="21.85546875" style="232"/>
  </cols>
  <sheetData>
    <row r="1" spans="1:9" ht="24" customHeight="1" x14ac:dyDescent="0.25">
      <c r="G1" s="230" t="s">
        <v>243</v>
      </c>
    </row>
    <row r="2" spans="1:9" ht="24" customHeight="1" x14ac:dyDescent="0.25">
      <c r="A2" s="1341" t="str">
        <f>+'Anx A'!A3:H3</f>
        <v xml:space="preserve">PMU NLC INFRA DEV WORKS at Chahar Bagh (RUDA ) </v>
      </c>
      <c r="B2" s="1341"/>
      <c r="C2" s="1341"/>
      <c r="D2" s="1341"/>
      <c r="E2" s="1341"/>
      <c r="F2" s="1341"/>
      <c r="G2" s="1341"/>
    </row>
    <row r="3" spans="1:9" ht="24" customHeight="1" x14ac:dyDescent="0.25">
      <c r="A3" s="1342"/>
      <c r="B3" s="1341"/>
      <c r="C3" s="1341"/>
      <c r="D3" s="1341"/>
      <c r="E3" s="1341"/>
      <c r="F3" s="1341"/>
      <c r="G3" s="1341"/>
    </row>
    <row r="4" spans="1:9" ht="24" customHeight="1" x14ac:dyDescent="0.25">
      <c r="A4" s="233" t="s">
        <v>244</v>
      </c>
      <c r="C4" s="311">
        <v>3034.34</v>
      </c>
      <c r="E4" s="234" t="s">
        <v>245</v>
      </c>
      <c r="G4" s="311">
        <v>3563.1979999999999</v>
      </c>
    </row>
    <row r="5" spans="1:9" ht="24" customHeight="1" x14ac:dyDescent="0.25">
      <c r="A5" s="233" t="s">
        <v>246</v>
      </c>
      <c r="C5" s="234"/>
      <c r="E5" s="233"/>
      <c r="G5" s="234"/>
    </row>
    <row r="6" spans="1:9" ht="24" customHeight="1" thickBot="1" x14ac:dyDescent="0.3">
      <c r="A6" s="275" t="s">
        <v>247</v>
      </c>
      <c r="C6" s="235">
        <f>+'Anx A'!H5</f>
        <v>44867</v>
      </c>
      <c r="E6" s="33" t="s">
        <v>248</v>
      </c>
      <c r="G6" s="235">
        <f>+'Anx A'!H6</f>
        <v>45598</v>
      </c>
      <c r="I6" s="232">
        <f>E11*5%</f>
        <v>6.9503000000000004</v>
      </c>
    </row>
    <row r="7" spans="1:9" ht="24" customHeight="1" x14ac:dyDescent="0.25">
      <c r="A7" s="1343" t="s">
        <v>80</v>
      </c>
      <c r="B7" s="1345" t="s">
        <v>17</v>
      </c>
      <c r="C7" s="1345"/>
      <c r="D7" s="1345" t="s">
        <v>249</v>
      </c>
      <c r="E7" s="1345"/>
      <c r="F7" s="1345" t="s">
        <v>250</v>
      </c>
      <c r="G7" s="1346"/>
      <c r="I7" s="472">
        <f>E11+I6</f>
        <v>145.9563</v>
      </c>
    </row>
    <row r="8" spans="1:9" ht="24" customHeight="1" thickBot="1" x14ac:dyDescent="0.3">
      <c r="A8" s="1344"/>
      <c r="B8" s="236" t="s">
        <v>242</v>
      </c>
      <c r="C8" s="236" t="s">
        <v>251</v>
      </c>
      <c r="D8" s="236" t="s">
        <v>242</v>
      </c>
      <c r="E8" s="236" t="s">
        <v>251</v>
      </c>
      <c r="F8" s="236" t="s">
        <v>242</v>
      </c>
      <c r="G8" s="237" t="s">
        <v>251</v>
      </c>
    </row>
    <row r="9" spans="1:9" ht="15.75" x14ac:dyDescent="0.25">
      <c r="A9" s="263">
        <v>44866</v>
      </c>
      <c r="B9" s="371">
        <v>28.585999999999999</v>
      </c>
      <c r="C9" s="372">
        <v>28.585999999999999</v>
      </c>
      <c r="D9" s="239">
        <f>B9</f>
        <v>28.585999999999999</v>
      </c>
      <c r="E9" s="239">
        <f>C9</f>
        <v>28.585999999999999</v>
      </c>
      <c r="F9" s="239">
        <f>D9/G4*100</f>
        <v>0.80225684904403294</v>
      </c>
      <c r="G9" s="664">
        <f>E9/G4</f>
        <v>8.0225684904403297E-3</v>
      </c>
    </row>
    <row r="10" spans="1:9" ht="15.75" x14ac:dyDescent="0.25">
      <c r="A10" s="263">
        <v>44896</v>
      </c>
      <c r="B10" s="371">
        <v>60.945</v>
      </c>
      <c r="C10" s="372">
        <v>60.945</v>
      </c>
      <c r="D10" s="239">
        <f t="shared" ref="D10:E12" si="0">D9+B10</f>
        <v>89.531000000000006</v>
      </c>
      <c r="E10" s="239">
        <f t="shared" si="0"/>
        <v>89.531000000000006</v>
      </c>
      <c r="F10" s="240">
        <f>D10/G4</f>
        <v>2.5126585724397018E-2</v>
      </c>
      <c r="G10" s="664">
        <f>E10/G4</f>
        <v>2.5126585724397018E-2</v>
      </c>
    </row>
    <row r="11" spans="1:9" ht="15.75" x14ac:dyDescent="0.25">
      <c r="A11" s="263">
        <v>44927</v>
      </c>
      <c r="B11" s="371">
        <v>49.475000000000001</v>
      </c>
      <c r="C11" s="372">
        <v>49.475000000000001</v>
      </c>
      <c r="D11" s="239">
        <f t="shared" si="0"/>
        <v>139.006</v>
      </c>
      <c r="E11" s="239">
        <f t="shared" si="0"/>
        <v>139.006</v>
      </c>
      <c r="F11" s="240">
        <f>D11/G4</f>
        <v>3.9011584537261189E-2</v>
      </c>
      <c r="G11" s="664">
        <f>E11/G4</f>
        <v>3.9011584537261189E-2</v>
      </c>
    </row>
    <row r="12" spans="1:9" ht="15.75" x14ac:dyDescent="0.25">
      <c r="A12" s="263">
        <v>44958</v>
      </c>
      <c r="B12" s="371">
        <v>70.994</v>
      </c>
      <c r="C12" s="372">
        <v>70.994</v>
      </c>
      <c r="D12" s="239">
        <f t="shared" si="0"/>
        <v>210</v>
      </c>
      <c r="E12" s="239">
        <f>E11+C12</f>
        <v>210</v>
      </c>
      <c r="F12" s="665">
        <f>D12/G4</f>
        <v>5.8935821135957085E-2</v>
      </c>
      <c r="G12" s="666">
        <f>E12/G4</f>
        <v>5.8935821135957085E-2</v>
      </c>
    </row>
    <row r="13" spans="1:9" ht="15.75" x14ac:dyDescent="0.25">
      <c r="A13" s="263">
        <v>44986</v>
      </c>
      <c r="B13" s="371">
        <v>63.101999999999997</v>
      </c>
      <c r="C13" s="443">
        <v>63.101999999999997</v>
      </c>
      <c r="D13" s="239">
        <f>D12+B13</f>
        <v>273.10199999999998</v>
      </c>
      <c r="E13" s="239">
        <f>E12+C13</f>
        <v>273.10199999999998</v>
      </c>
      <c r="F13" s="665">
        <f>D13/G4</f>
        <v>7.6645193447010235E-2</v>
      </c>
      <c r="G13" s="666">
        <f>E13/G4</f>
        <v>7.6645193447010235E-2</v>
      </c>
      <c r="I13" s="472"/>
    </row>
    <row r="14" spans="1:9" ht="15.75" x14ac:dyDescent="0.25">
      <c r="A14" s="263">
        <v>45017</v>
      </c>
      <c r="B14" s="371">
        <v>62.478999999999999</v>
      </c>
      <c r="C14" s="372">
        <v>62.478999999999999</v>
      </c>
      <c r="D14" s="239">
        <f>D13+B14</f>
        <v>335.58099999999996</v>
      </c>
      <c r="E14" s="684">
        <f>E13+C14</f>
        <v>335.58099999999996</v>
      </c>
      <c r="F14" s="665">
        <f>D14/G4</f>
        <v>9.4179722822026718E-2</v>
      </c>
      <c r="G14" s="668">
        <f>E14/G4</f>
        <v>9.4179722822026718E-2</v>
      </c>
    </row>
    <row r="15" spans="1:9" ht="15.75" x14ac:dyDescent="0.25">
      <c r="A15" s="263">
        <v>45047</v>
      </c>
      <c r="B15" s="371">
        <v>82.552000000000007</v>
      </c>
      <c r="C15" s="698">
        <v>82.552000000000007</v>
      </c>
      <c r="D15" s="239">
        <f>D14+B15</f>
        <v>418.13299999999998</v>
      </c>
      <c r="E15" s="684">
        <f>E14+C15</f>
        <v>418.13299999999998</v>
      </c>
      <c r="F15" s="665">
        <f>D15/G4</f>
        <v>0.11734767475733877</v>
      </c>
      <c r="G15" s="668">
        <f>E15/G4</f>
        <v>0.11734767475733877</v>
      </c>
    </row>
    <row r="16" spans="1:9" ht="15.75" x14ac:dyDescent="0.25">
      <c r="A16" s="263">
        <v>45078</v>
      </c>
      <c r="B16" s="371">
        <v>104.596</v>
      </c>
      <c r="C16" s="698">
        <v>104.596</v>
      </c>
      <c r="D16" s="239">
        <f>D15+B16</f>
        <v>522.72900000000004</v>
      </c>
      <c r="E16" s="684">
        <f>E15+C16</f>
        <v>522.72900000000004</v>
      </c>
      <c r="F16" s="665">
        <f>D16/G4</f>
        <v>0.14670220403132245</v>
      </c>
      <c r="G16" s="668">
        <f>E16/G4</f>
        <v>0.14670220403132245</v>
      </c>
    </row>
    <row r="17" spans="1:7" ht="15.75" x14ac:dyDescent="0.25">
      <c r="A17" s="263">
        <v>45108</v>
      </c>
      <c r="B17" s="371">
        <v>63.712000000000003</v>
      </c>
      <c r="C17" s="238">
        <v>63.712000000000003</v>
      </c>
      <c r="D17" s="239">
        <f t="shared" ref="D17:D32" si="1">D16+B17</f>
        <v>586.44100000000003</v>
      </c>
      <c r="E17" s="684">
        <f t="shared" ref="E17:E22" si="2">E16+C17</f>
        <v>586.44100000000003</v>
      </c>
      <c r="F17" s="665">
        <f>D17/G4</f>
        <v>0.16458277087043718</v>
      </c>
      <c r="G17" s="668">
        <f>E17/G4</f>
        <v>0.16458277087043718</v>
      </c>
    </row>
    <row r="18" spans="1:7" ht="15.75" x14ac:dyDescent="0.25">
      <c r="A18" s="263">
        <v>45139</v>
      </c>
      <c r="B18" s="371">
        <v>60.848999999999997</v>
      </c>
      <c r="C18" s="698">
        <v>60.848999999999997</v>
      </c>
      <c r="D18" s="239">
        <f t="shared" si="1"/>
        <v>647.29000000000008</v>
      </c>
      <c r="E18" s="684">
        <f t="shared" si="2"/>
        <v>647.29000000000008</v>
      </c>
      <c r="F18" s="665">
        <f>D18/G4</f>
        <v>0.18165984601473173</v>
      </c>
      <c r="G18" s="668">
        <f>E18/G4</f>
        <v>0.18165984601473173</v>
      </c>
    </row>
    <row r="19" spans="1:7" ht="15.75" x14ac:dyDescent="0.25">
      <c r="A19" s="263">
        <v>45170</v>
      </c>
      <c r="B19" s="371">
        <v>96.74</v>
      </c>
      <c r="C19" s="698">
        <f>68.44+0.92+27.38</f>
        <v>96.74</v>
      </c>
      <c r="D19" s="239">
        <f t="shared" si="1"/>
        <v>744.03000000000009</v>
      </c>
      <c r="E19" s="684">
        <f t="shared" si="2"/>
        <v>744.03000000000009</v>
      </c>
      <c r="F19" s="665">
        <f>D19/G4</f>
        <v>0.20880961428469597</v>
      </c>
      <c r="G19" s="668">
        <f>E19/G4</f>
        <v>0.20880961428469597</v>
      </c>
    </row>
    <row r="20" spans="1:7" ht="15.75" x14ac:dyDescent="0.25">
      <c r="A20" s="263">
        <v>45200</v>
      </c>
      <c r="B20" s="371">
        <v>83.361999999999995</v>
      </c>
      <c r="C20" s="698">
        <v>83.361999999999995</v>
      </c>
      <c r="D20" s="239">
        <f t="shared" si="1"/>
        <v>827.39200000000005</v>
      </c>
      <c r="E20" s="684">
        <f t="shared" si="2"/>
        <v>827.39200000000005</v>
      </c>
      <c r="F20" s="665">
        <f>D20/G4</f>
        <v>0.23220489010153242</v>
      </c>
      <c r="G20" s="668">
        <f>E20/G4</f>
        <v>0.23220489010153242</v>
      </c>
    </row>
    <row r="21" spans="1:7" ht="15.75" x14ac:dyDescent="0.25">
      <c r="A21" s="263">
        <v>45231</v>
      </c>
      <c r="B21" s="371">
        <v>153.03100000000001</v>
      </c>
      <c r="C21" s="698">
        <v>153.03100000000001</v>
      </c>
      <c r="D21" s="239">
        <f t="shared" si="1"/>
        <v>980.423</v>
      </c>
      <c r="E21" s="684">
        <f t="shared" si="2"/>
        <v>980.423</v>
      </c>
      <c r="F21" s="665">
        <f>D21/G4</f>
        <v>0.27515254555037361</v>
      </c>
      <c r="G21" s="668">
        <f>E21/G4</f>
        <v>0.27515254555037361</v>
      </c>
    </row>
    <row r="22" spans="1:7" ht="15.75" x14ac:dyDescent="0.25">
      <c r="A22" s="649">
        <v>45261</v>
      </c>
      <c r="B22" s="371">
        <v>169.57599999999999</v>
      </c>
      <c r="C22" s="698">
        <v>169.57599999999999</v>
      </c>
      <c r="D22" s="238">
        <f t="shared" si="1"/>
        <v>1149.999</v>
      </c>
      <c r="E22" s="684">
        <f t="shared" si="2"/>
        <v>1149.999</v>
      </c>
      <c r="F22" s="690">
        <f>D22/G4</f>
        <v>0.32274350176442623</v>
      </c>
      <c r="G22" s="668">
        <f>E22/G4</f>
        <v>0.32274350176442623</v>
      </c>
    </row>
    <row r="23" spans="1:7" ht="15.75" x14ac:dyDescent="0.25">
      <c r="A23" s="649">
        <v>45292</v>
      </c>
      <c r="B23" s="371">
        <v>98.921000000000006</v>
      </c>
      <c r="C23" s="698">
        <v>98.921000000000006</v>
      </c>
      <c r="D23" s="238">
        <f>D22+B23</f>
        <v>1248.92</v>
      </c>
      <c r="E23" s="684">
        <f>E22+C23</f>
        <v>1248.92</v>
      </c>
      <c r="F23" s="690">
        <f>D23/G4</f>
        <v>0.35050536063390247</v>
      </c>
      <c r="G23" s="668">
        <f>E23/G4</f>
        <v>0.35050536063390247</v>
      </c>
    </row>
    <row r="24" spans="1:7" ht="15.75" x14ac:dyDescent="0.25">
      <c r="A24" s="649">
        <v>45323</v>
      </c>
      <c r="B24" s="371">
        <v>105.161</v>
      </c>
      <c r="C24" s="698">
        <v>105.161</v>
      </c>
      <c r="D24" s="238">
        <f t="shared" si="1"/>
        <v>1354.0810000000001</v>
      </c>
      <c r="E24" s="684">
        <f t="shared" ref="E24:E29" si="3">E23+C24</f>
        <v>1354.0810000000001</v>
      </c>
      <c r="F24" s="690">
        <f>D24/G4</f>
        <v>0.38001845533141865</v>
      </c>
      <c r="G24" s="668">
        <f>E24/G4</f>
        <v>0.38001845533141865</v>
      </c>
    </row>
    <row r="25" spans="1:7" ht="15.75" x14ac:dyDescent="0.25">
      <c r="A25" s="649">
        <v>45352</v>
      </c>
      <c r="B25" s="371">
        <v>92.495000000000005</v>
      </c>
      <c r="C25" s="698">
        <v>92.495000000000005</v>
      </c>
      <c r="D25" s="238">
        <f t="shared" si="1"/>
        <v>1446.576</v>
      </c>
      <c r="E25" s="684">
        <f t="shared" si="3"/>
        <v>1446.576</v>
      </c>
      <c r="F25" s="690">
        <f>D25/G4</f>
        <v>0.40597687807413457</v>
      </c>
      <c r="G25" s="668">
        <f>E25/G4</f>
        <v>0.40597687807413457</v>
      </c>
    </row>
    <row r="26" spans="1:7" ht="15.75" x14ac:dyDescent="0.25">
      <c r="A26" s="649">
        <v>45383</v>
      </c>
      <c r="B26" s="371">
        <v>86.417000000000002</v>
      </c>
      <c r="C26" s="698">
        <v>86.417000000000002</v>
      </c>
      <c r="D26" s="238">
        <f t="shared" si="1"/>
        <v>1532.9929999999999</v>
      </c>
      <c r="E26" s="684">
        <f t="shared" si="3"/>
        <v>1532.9929999999999</v>
      </c>
      <c r="F26" s="690">
        <f>D26/G4</f>
        <v>0.43022952976511547</v>
      </c>
      <c r="G26" s="668">
        <f>E26/G4</f>
        <v>0.43022952976511547</v>
      </c>
    </row>
    <row r="27" spans="1:7" ht="15.75" x14ac:dyDescent="0.25">
      <c r="A27" s="649">
        <v>45413</v>
      </c>
      <c r="B27" s="371">
        <v>133.37899999999999</v>
      </c>
      <c r="C27" s="698">
        <v>133.37899999999999</v>
      </c>
      <c r="D27" s="238">
        <f t="shared" si="1"/>
        <v>1666.3719999999998</v>
      </c>
      <c r="E27" s="684">
        <f t="shared" si="3"/>
        <v>1666.3719999999998</v>
      </c>
      <c r="F27" s="690">
        <f>D27/G4</f>
        <v>0.46766191494270032</v>
      </c>
      <c r="G27" s="668">
        <f>E27/G4</f>
        <v>0.46766191494270032</v>
      </c>
    </row>
    <row r="28" spans="1:7" ht="15.75" x14ac:dyDescent="0.25">
      <c r="A28" s="649">
        <v>45444</v>
      </c>
      <c r="B28" s="371">
        <v>107.55200000000001</v>
      </c>
      <c r="C28" s="698">
        <v>107.55200000000001</v>
      </c>
      <c r="D28" s="238">
        <f t="shared" si="1"/>
        <v>1773.9239999999998</v>
      </c>
      <c r="E28" s="684">
        <f t="shared" si="3"/>
        <v>1773.9239999999998</v>
      </c>
      <c r="F28" s="690">
        <f>D28/G4</f>
        <v>0.49784603606086436</v>
      </c>
      <c r="G28" s="668">
        <f>E28/G4</f>
        <v>0.49784603606086436</v>
      </c>
    </row>
    <row r="29" spans="1:7" ht="15.75" x14ac:dyDescent="0.25">
      <c r="A29" s="649">
        <v>45474</v>
      </c>
      <c r="B29" s="371">
        <v>111.71899999999999</v>
      </c>
      <c r="C29" s="698">
        <v>111.71899999999999</v>
      </c>
      <c r="D29" s="238">
        <f t="shared" si="1"/>
        <v>1885.6429999999998</v>
      </c>
      <c r="E29" s="684">
        <f t="shared" si="3"/>
        <v>1885.6429999999998</v>
      </c>
      <c r="F29" s="690">
        <f>D29/G4</f>
        <v>0.52919961225842627</v>
      </c>
      <c r="G29" s="668">
        <f>E29/G4</f>
        <v>0.52919961225842627</v>
      </c>
    </row>
    <row r="30" spans="1:7" ht="15.75" x14ac:dyDescent="0.25">
      <c r="A30" s="649">
        <v>45505</v>
      </c>
      <c r="B30" s="371">
        <v>113.751</v>
      </c>
      <c r="C30" s="698">
        <v>113.751</v>
      </c>
      <c r="D30" s="238">
        <f>D29+B30</f>
        <v>1999.3939999999998</v>
      </c>
      <c r="E30" s="684">
        <f>E29+C30</f>
        <v>1999.3939999999998</v>
      </c>
      <c r="F30" s="690">
        <f>D30/G4</f>
        <v>0.56112346268717028</v>
      </c>
      <c r="G30" s="668">
        <f>E30/G4</f>
        <v>0.56112346268717028</v>
      </c>
    </row>
    <row r="31" spans="1:7" ht="15.75" x14ac:dyDescent="0.25">
      <c r="A31" s="649">
        <v>45536</v>
      </c>
      <c r="B31" s="371">
        <v>61.313000000000002</v>
      </c>
      <c r="C31" s="698">
        <v>61.313000000000002</v>
      </c>
      <c r="D31" s="238">
        <f t="shared" si="1"/>
        <v>2060.7069999999999</v>
      </c>
      <c r="E31" s="684">
        <f t="shared" ref="E31:E39" si="4">E30+C31</f>
        <v>2060.7069999999999</v>
      </c>
      <c r="F31" s="690">
        <f>D31/G4</f>
        <v>0.57833075793149857</v>
      </c>
      <c r="G31" s="668">
        <f>E31/G4</f>
        <v>0.57833075793149857</v>
      </c>
    </row>
    <row r="32" spans="1:7" ht="15.75" x14ac:dyDescent="0.25">
      <c r="A32" s="649">
        <v>45566</v>
      </c>
      <c r="B32" s="698">
        <v>143.96199999999999</v>
      </c>
      <c r="C32" s="698">
        <v>143.96199999999999</v>
      </c>
      <c r="D32" s="238">
        <f t="shared" si="1"/>
        <v>2204.6689999999999</v>
      </c>
      <c r="E32" s="684">
        <f t="shared" si="4"/>
        <v>2204.6689999999999</v>
      </c>
      <c r="F32" s="690">
        <f>D32/G4</f>
        <v>0.61873322784756835</v>
      </c>
      <c r="G32" s="668">
        <f>E32/G4</f>
        <v>0.61873322784756835</v>
      </c>
    </row>
    <row r="33" spans="1:14" ht="15.75" x14ac:dyDescent="0.25">
      <c r="A33" s="649">
        <v>45597</v>
      </c>
      <c r="B33" s="371">
        <v>145.995</v>
      </c>
      <c r="C33" s="312">
        <v>145.995</v>
      </c>
      <c r="D33" s="238">
        <f t="shared" ref="D33:D39" si="5">D32+B33</f>
        <v>2350.6639999999998</v>
      </c>
      <c r="E33" s="684">
        <f t="shared" si="4"/>
        <v>2350.6639999999998</v>
      </c>
      <c r="F33" s="690">
        <f>D33/G4</f>
        <v>0.65970625264158766</v>
      </c>
      <c r="G33" s="668">
        <f>E33/G4</f>
        <v>0.65970625264158766</v>
      </c>
    </row>
    <row r="34" spans="1:14" ht="15.75" x14ac:dyDescent="0.25">
      <c r="A34" s="649">
        <v>45627</v>
      </c>
      <c r="B34" s="371">
        <v>58.8</v>
      </c>
      <c r="C34" s="312">
        <v>58.8</v>
      </c>
      <c r="D34" s="238">
        <f t="shared" si="5"/>
        <v>2409.4639999999999</v>
      </c>
      <c r="E34" s="684">
        <f t="shared" si="4"/>
        <v>2409.4639999999999</v>
      </c>
      <c r="F34" s="690">
        <f>D34/G4</f>
        <v>0.6762082825596557</v>
      </c>
      <c r="G34" s="668">
        <f>E34/G4</f>
        <v>0.6762082825596557</v>
      </c>
    </row>
    <row r="35" spans="1:14" ht="15.75" x14ac:dyDescent="0.25">
      <c r="A35" s="649">
        <v>45658</v>
      </c>
      <c r="B35" s="371">
        <v>90</v>
      </c>
      <c r="C35" s="312">
        <v>83.585999999999999</v>
      </c>
      <c r="D35" s="238">
        <f t="shared" si="5"/>
        <v>2499.4639999999999</v>
      </c>
      <c r="E35" s="684">
        <f t="shared" si="4"/>
        <v>2493.0499999999997</v>
      </c>
      <c r="F35" s="690">
        <f>D35/G4</f>
        <v>0.70146649161792296</v>
      </c>
      <c r="G35" s="668">
        <f>E35/G4</f>
        <v>0.69966642325237038</v>
      </c>
    </row>
    <row r="36" spans="1:14" ht="15.75" x14ac:dyDescent="0.25">
      <c r="A36" s="649">
        <v>45689</v>
      </c>
      <c r="B36" s="371">
        <v>160</v>
      </c>
      <c r="C36" s="312">
        <v>152.17099999999999</v>
      </c>
      <c r="D36" s="238">
        <f t="shared" si="5"/>
        <v>2659.4639999999999</v>
      </c>
      <c r="E36" s="684">
        <f t="shared" si="4"/>
        <v>2645.2209999999995</v>
      </c>
      <c r="F36" s="690">
        <f>D36/G4</f>
        <v>0.74636997438817598</v>
      </c>
      <c r="G36" s="668">
        <f>E36/G4</f>
        <v>0.74237272248132147</v>
      </c>
    </row>
    <row r="37" spans="1:14" ht="15.75" x14ac:dyDescent="0.25">
      <c r="A37" s="649">
        <v>45717</v>
      </c>
      <c r="B37" s="371">
        <v>102.27500000000001</v>
      </c>
      <c r="C37" s="312">
        <v>102.27500000000001</v>
      </c>
      <c r="D37" s="238">
        <f t="shared" si="5"/>
        <v>2761.739</v>
      </c>
      <c r="E37" s="684">
        <f t="shared" si="4"/>
        <v>2747.4959999999996</v>
      </c>
      <c r="F37" s="690">
        <f>D37/G4</f>
        <v>0.77507312251522376</v>
      </c>
      <c r="G37" s="668">
        <f>E37/G4</f>
        <v>0.77107587060836913</v>
      </c>
    </row>
    <row r="38" spans="1:14" ht="15.75" x14ac:dyDescent="0.25">
      <c r="A38" s="925">
        <v>45748</v>
      </c>
      <c r="B38" s="646">
        <v>210.48400000000001</v>
      </c>
      <c r="C38" s="926">
        <v>210.48400000000001</v>
      </c>
      <c r="D38" s="238">
        <f t="shared" si="5"/>
        <v>2972.223</v>
      </c>
      <c r="E38" s="684">
        <f t="shared" si="4"/>
        <v>2957.9799999999996</v>
      </c>
      <c r="F38" s="690">
        <f>D38/G4</f>
        <v>0.83414477668656084</v>
      </c>
      <c r="G38" s="668">
        <f>E38/G4</f>
        <v>0.83014752477970621</v>
      </c>
    </row>
    <row r="39" spans="1:14" ht="15.75" x14ac:dyDescent="0.25">
      <c r="A39" s="649">
        <v>45778</v>
      </c>
      <c r="B39" s="646">
        <v>85</v>
      </c>
      <c r="C39" s="926">
        <v>55.149611999999991</v>
      </c>
      <c r="D39" s="238">
        <f t="shared" si="5"/>
        <v>3057.223</v>
      </c>
      <c r="E39" s="684">
        <f t="shared" si="4"/>
        <v>3013.1296119999997</v>
      </c>
      <c r="F39" s="690">
        <f>D39/G4</f>
        <v>0.85799975190825772</v>
      </c>
      <c r="G39" s="668">
        <f>E39/G4</f>
        <v>0.8456250851061321</v>
      </c>
    </row>
    <row r="40" spans="1:14" ht="15.75" x14ac:dyDescent="0.25">
      <c r="A40" s="925">
        <v>45809</v>
      </c>
      <c r="B40" s="646">
        <v>250</v>
      </c>
      <c r="C40" s="926">
        <f>'Anx B'!D25</f>
        <v>-25.619827000000065</v>
      </c>
      <c r="D40" s="238">
        <f>D39+B40</f>
        <v>3307.223</v>
      </c>
      <c r="E40" s="684">
        <f>E39+C40</f>
        <v>2987.5097849999997</v>
      </c>
      <c r="F40" s="690">
        <f>D40/G4</f>
        <v>0.928161443736778</v>
      </c>
      <c r="G40" s="668">
        <f>E40/G4</f>
        <v>0.83843496347943614</v>
      </c>
    </row>
    <row r="41" spans="1:14" ht="15.75" x14ac:dyDescent="0.25">
      <c r="A41" s="649">
        <v>45839</v>
      </c>
      <c r="B41" s="646">
        <f>85+71</f>
        <v>156</v>
      </c>
      <c r="C41" s="926"/>
      <c r="D41" s="238">
        <f>D40+B41</f>
        <v>3463.223</v>
      </c>
      <c r="E41" s="684"/>
      <c r="F41" s="690"/>
      <c r="G41" s="668"/>
      <c r="H41" s="644"/>
      <c r="I41" s="644"/>
      <c r="J41" s="644">
        <v>86.2</v>
      </c>
      <c r="K41" s="644">
        <v>86.2</v>
      </c>
      <c r="L41" s="644">
        <v>86.2</v>
      </c>
      <c r="M41" s="644">
        <v>101</v>
      </c>
      <c r="N41" s="644">
        <v>150.79</v>
      </c>
    </row>
    <row r="42" spans="1:14" ht="15.75" x14ac:dyDescent="0.25">
      <c r="A42" s="925">
        <v>45870</v>
      </c>
      <c r="B42" s="646">
        <v>100</v>
      </c>
      <c r="C42" s="926"/>
      <c r="D42" s="238">
        <f>D41+B42</f>
        <v>3563.223</v>
      </c>
      <c r="E42" s="684"/>
      <c r="F42" s="690"/>
      <c r="G42" s="668"/>
    </row>
    <row r="43" spans="1:14" ht="15.75" x14ac:dyDescent="0.25">
      <c r="A43" s="645"/>
      <c r="B43" s="646"/>
      <c r="D43" s="472"/>
      <c r="E43" s="472"/>
      <c r="F43" s="647"/>
      <c r="G43" s="648"/>
    </row>
    <row r="44" spans="1:14" ht="15.75" x14ac:dyDescent="0.25">
      <c r="A44" s="645"/>
      <c r="B44" s="646"/>
      <c r="D44" s="472"/>
      <c r="E44" s="472"/>
      <c r="F44" s="647"/>
      <c r="G44" s="648"/>
    </row>
    <row r="46" spans="1:14" x14ac:dyDescent="0.25">
      <c r="A46" s="644"/>
      <c r="B46" s="644"/>
      <c r="C46" s="644"/>
      <c r="D46" s="644"/>
      <c r="E46" s="644"/>
      <c r="F46" s="644"/>
      <c r="G46" s="644"/>
      <c r="H46" s="644"/>
      <c r="I46" s="644"/>
      <c r="J46" s="644">
        <v>100</v>
      </c>
      <c r="K46" s="644">
        <v>60</v>
      </c>
    </row>
  </sheetData>
  <mergeCells count="6">
    <mergeCell ref="A2:G2"/>
    <mergeCell ref="A3:G3"/>
    <mergeCell ref="A7:A8"/>
    <mergeCell ref="B7:C7"/>
    <mergeCell ref="D7:E7"/>
    <mergeCell ref="F7:G7"/>
  </mergeCells>
  <pageMargins left="0.7" right="0.7" top="0.28999999999999998" bottom="0.47" header="0.19" footer="0.3"/>
  <pageSetup paperSize="9" scale="68" fitToHeight="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52"/>
  <sheetViews>
    <sheetView view="pageBreakPreview" zoomScaleNormal="85" zoomScaleSheetLayoutView="100" workbookViewId="0">
      <selection activeCell="G7" sqref="G7"/>
    </sheetView>
  </sheetViews>
  <sheetFormatPr defaultColWidth="9.140625" defaultRowHeight="14.25" x14ac:dyDescent="0.25"/>
  <cols>
    <col min="1" max="1" width="6.42578125" style="9" customWidth="1"/>
    <col min="2" max="2" width="5.28515625" style="5" customWidth="1"/>
    <col min="3" max="3" width="6.5703125" style="5" customWidth="1"/>
    <col min="4" max="4" width="12.28515625" style="5" customWidth="1"/>
    <col min="5" max="5" width="13" style="5" customWidth="1"/>
    <col min="6" max="6" width="30.7109375" style="5" customWidth="1"/>
    <col min="7" max="7" width="18" style="5" customWidth="1"/>
    <col min="8" max="8" width="19.140625" style="5" customWidth="1"/>
    <col min="9" max="9" width="12.28515625" style="5" hidden="1" customWidth="1"/>
    <col min="10" max="10" width="23.7109375" style="5" hidden="1" customWidth="1"/>
    <col min="11" max="11" width="16.28515625" style="5" hidden="1" customWidth="1"/>
    <col min="12" max="12" width="14.7109375" style="5" hidden="1" customWidth="1"/>
    <col min="13" max="14" width="0" style="5" hidden="1" customWidth="1"/>
    <col min="15" max="16384" width="9.140625" style="5"/>
  </cols>
  <sheetData>
    <row r="1" spans="1:10" ht="21" customHeight="1" x14ac:dyDescent="0.25">
      <c r="A1" s="1166" t="s">
        <v>77</v>
      </c>
      <c r="B1" s="1166"/>
      <c r="C1" s="1166"/>
      <c r="D1" s="1166"/>
      <c r="E1" s="1166"/>
      <c r="F1" s="1166"/>
      <c r="G1" s="1166"/>
      <c r="H1" s="4"/>
    </row>
    <row r="2" spans="1:10" ht="19.5" customHeight="1" x14ac:dyDescent="0.25">
      <c r="A2" s="1164" t="s">
        <v>107</v>
      </c>
      <c r="B2" s="1164"/>
      <c r="C2" s="1164"/>
      <c r="D2" s="1164"/>
      <c r="E2" s="1164"/>
      <c r="F2" s="1164"/>
      <c r="G2" s="1164"/>
      <c r="H2" s="4"/>
    </row>
    <row r="3" spans="1:10" ht="15.75" x14ac:dyDescent="0.25">
      <c r="A3" s="6"/>
      <c r="B3" s="6"/>
      <c r="C3" s="6"/>
      <c r="D3" s="6"/>
      <c r="E3" s="104"/>
      <c r="F3" s="6"/>
      <c r="G3" s="6"/>
      <c r="H3" s="4"/>
      <c r="I3" s="5" t="s">
        <v>219</v>
      </c>
    </row>
    <row r="4" spans="1:10" ht="15.75" customHeight="1" x14ac:dyDescent="0.25">
      <c r="A4" s="7">
        <v>1</v>
      </c>
      <c r="B4" s="8" t="s">
        <v>78</v>
      </c>
      <c r="C4" s="8"/>
      <c r="D4" s="8"/>
      <c r="E4" s="8"/>
      <c r="F4" s="1168" t="s">
        <v>597</v>
      </c>
      <c r="G4" s="1168"/>
      <c r="I4" s="4"/>
      <c r="J4" s="4"/>
    </row>
    <row r="5" spans="1:10" ht="46.5" customHeight="1" x14ac:dyDescent="0.25">
      <c r="A5" s="7">
        <v>2</v>
      </c>
      <c r="B5" s="8" t="s">
        <v>79</v>
      </c>
      <c r="C5" s="8"/>
      <c r="D5" s="8"/>
      <c r="E5" s="8"/>
      <c r="F5" s="1167" t="s">
        <v>394</v>
      </c>
      <c r="G5" s="1167"/>
      <c r="I5" s="4"/>
      <c r="J5" s="4"/>
    </row>
    <row r="6" spans="1:10" s="18" customFormat="1" ht="30" customHeight="1" x14ac:dyDescent="0.25">
      <c r="A6" s="19">
        <v>3</v>
      </c>
      <c r="B6" s="27" t="s">
        <v>80</v>
      </c>
      <c r="C6" s="27"/>
      <c r="D6" s="27"/>
      <c r="E6" s="27"/>
      <c r="F6" s="27"/>
      <c r="G6" s="541" t="s">
        <v>984</v>
      </c>
      <c r="I6" s="81"/>
      <c r="J6" s="81"/>
    </row>
    <row r="7" spans="1:10" ht="18" customHeight="1" x14ac:dyDescent="0.25">
      <c r="A7" s="7">
        <v>4</v>
      </c>
      <c r="B7" s="10" t="s">
        <v>0</v>
      </c>
      <c r="C7" s="11"/>
      <c r="D7" s="11"/>
      <c r="E7" s="12"/>
      <c r="H7" s="114"/>
    </row>
    <row r="8" spans="1:10" ht="18" customHeight="1" x14ac:dyDescent="0.25">
      <c r="A8" s="7"/>
      <c r="B8" s="5" t="s">
        <v>81</v>
      </c>
      <c r="C8" s="13" t="s">
        <v>82</v>
      </c>
      <c r="F8" s="120"/>
      <c r="G8" s="120" t="s">
        <v>206</v>
      </c>
      <c r="H8" s="114"/>
    </row>
    <row r="9" spans="1:10" ht="27" customHeight="1" x14ac:dyDescent="0.25">
      <c r="A9" s="7"/>
      <c r="C9" s="14" t="str">
        <f>'Anx A'!C11</f>
        <v xml:space="preserve">(1) Planned Targets </v>
      </c>
      <c r="D9" s="11"/>
      <c r="F9" s="92"/>
      <c r="G9" s="591">
        <f>'Appx I to Anx A'!D40</f>
        <v>3307.223</v>
      </c>
      <c r="H9" s="114"/>
    </row>
    <row r="10" spans="1:10" ht="27" customHeight="1" x14ac:dyDescent="0.25">
      <c r="A10" s="7"/>
      <c r="C10" s="14" t="str">
        <f>'Anx A'!C12</f>
        <v xml:space="preserve">(2) Achieved </v>
      </c>
      <c r="F10" s="92"/>
      <c r="G10" s="591">
        <f>'Appx I to Anx A'!E40</f>
        <v>2987.5097849999997</v>
      </c>
      <c r="H10" s="114"/>
    </row>
    <row r="11" spans="1:10" ht="18" customHeight="1" x14ac:dyDescent="0.25">
      <c r="A11" s="7">
        <v>5</v>
      </c>
      <c r="B11" s="10" t="s">
        <v>85</v>
      </c>
      <c r="C11" s="11"/>
      <c r="G11" s="375"/>
      <c r="H11" s="114"/>
    </row>
    <row r="12" spans="1:10" ht="15" x14ac:dyDescent="0.25">
      <c r="A12" s="7"/>
      <c r="B12" s="5" t="s">
        <v>81</v>
      </c>
      <c r="C12" s="5" t="s">
        <v>224</v>
      </c>
      <c r="G12" s="362">
        <v>44867</v>
      </c>
      <c r="H12" s="114"/>
    </row>
    <row r="13" spans="1:10" ht="15" x14ac:dyDescent="0.25">
      <c r="A13" s="7"/>
      <c r="B13" s="5" t="s">
        <v>86</v>
      </c>
      <c r="C13" s="5" t="s">
        <v>88</v>
      </c>
      <c r="G13" s="362">
        <v>45598</v>
      </c>
    </row>
    <row r="14" spans="1:10" ht="15" x14ac:dyDescent="0.25">
      <c r="A14" s="7"/>
      <c r="B14" s="5" t="s">
        <v>87</v>
      </c>
      <c r="C14" s="5" t="s">
        <v>264</v>
      </c>
      <c r="G14" s="1089">
        <f>'Anx A'!H7</f>
        <v>45853</v>
      </c>
    </row>
    <row r="15" spans="1:10" ht="15" x14ac:dyDescent="0.25">
      <c r="A15" s="7">
        <v>6</v>
      </c>
      <c r="B15" s="4" t="s">
        <v>1</v>
      </c>
      <c r="G15" s="376"/>
    </row>
    <row r="16" spans="1:10" ht="15" x14ac:dyDescent="0.25">
      <c r="A16" s="7"/>
      <c r="B16" s="5" t="s">
        <v>81</v>
      </c>
      <c r="C16" s="5" t="s">
        <v>106</v>
      </c>
      <c r="G16" s="370">
        <v>3034.2159999999999</v>
      </c>
    </row>
    <row r="17" spans="1:12" ht="15" x14ac:dyDescent="0.25">
      <c r="A17" s="7"/>
      <c r="B17" s="5" t="s">
        <v>86</v>
      </c>
      <c r="C17" s="5" t="s">
        <v>239</v>
      </c>
      <c r="G17" s="1043">
        <v>528.98199999999997</v>
      </c>
    </row>
    <row r="18" spans="1:12" ht="15" x14ac:dyDescent="0.25">
      <c r="A18" s="7"/>
      <c r="B18" s="5" t="s">
        <v>87</v>
      </c>
      <c r="C18" s="5" t="s">
        <v>152</v>
      </c>
      <c r="G18" s="370">
        <f>'Anx A'!H20</f>
        <v>2532.2316459999997</v>
      </c>
      <c r="H18" s="5">
        <v>3034</v>
      </c>
    </row>
    <row r="19" spans="1:12" ht="15" x14ac:dyDescent="0.25">
      <c r="A19" s="7"/>
      <c r="B19" s="5" t="s">
        <v>89</v>
      </c>
      <c r="C19" s="5" t="s">
        <v>216</v>
      </c>
      <c r="G19" s="370">
        <f>'Anx A'!E29-'Anx A'!D29</f>
        <v>3454.5319489500002</v>
      </c>
      <c r="H19" s="5">
        <f>H18-3563.198</f>
        <v>-529.19799999999987</v>
      </c>
    </row>
    <row r="20" spans="1:12" ht="15" x14ac:dyDescent="0.25">
      <c r="A20" s="7"/>
      <c r="B20" s="5" t="s">
        <v>90</v>
      </c>
      <c r="C20" s="5" t="s">
        <v>187</v>
      </c>
      <c r="G20" s="370">
        <f>+'Anx B'!D23</f>
        <v>21.458849999999938</v>
      </c>
    </row>
    <row r="21" spans="1:12" ht="15" x14ac:dyDescent="0.25">
      <c r="A21" s="7"/>
      <c r="B21" s="5" t="s">
        <v>91</v>
      </c>
      <c r="C21" s="5" t="s">
        <v>108</v>
      </c>
      <c r="G21" s="667">
        <f>+'Anx C '!G63</f>
        <v>2.3323230000000001</v>
      </c>
    </row>
    <row r="22" spans="1:12" ht="33" customHeight="1" x14ac:dyDescent="0.25">
      <c r="A22" s="7"/>
      <c r="B22" s="5" t="s">
        <v>92</v>
      </c>
      <c r="C22" s="1165" t="s">
        <v>270</v>
      </c>
      <c r="D22" s="1165"/>
      <c r="E22" s="1165"/>
      <c r="F22" s="1165"/>
      <c r="G22" s="667">
        <f>SUM(G20:G21)+'Anx A'!D27</f>
        <v>46.791172999999937</v>
      </c>
    </row>
    <row r="23" spans="1:12" ht="15" x14ac:dyDescent="0.25">
      <c r="A23" s="7"/>
      <c r="B23" s="5" t="s">
        <v>93</v>
      </c>
      <c r="C23" s="5" t="s">
        <v>502</v>
      </c>
      <c r="G23" s="92">
        <f>G19+G20+G21</f>
        <v>3478.3231219500003</v>
      </c>
    </row>
    <row r="24" spans="1:12" ht="15" x14ac:dyDescent="0.25">
      <c r="A24" s="7"/>
      <c r="B24" s="5" t="s">
        <v>94</v>
      </c>
      <c r="C24" s="5" t="s">
        <v>188</v>
      </c>
      <c r="G24" s="92">
        <f>'Anx A'!E35</f>
        <v>44.825280550000002</v>
      </c>
    </row>
    <row r="25" spans="1:12" ht="15" x14ac:dyDescent="0.25">
      <c r="A25" s="7"/>
      <c r="B25" s="5" t="s">
        <v>95</v>
      </c>
      <c r="C25" s="1165" t="s">
        <v>199</v>
      </c>
      <c r="D25" s="1165"/>
      <c r="E25" s="1165"/>
      <c r="F25" s="1165"/>
      <c r="G25" s="92">
        <f>SUM(G23:G24)</f>
        <v>3523.1484025000004</v>
      </c>
      <c r="H25" s="93"/>
      <c r="I25" s="93">
        <f>[3]Summary!$G$28</f>
        <v>15.34350727114361</v>
      </c>
      <c r="J25" s="93"/>
      <c r="K25" s="342">
        <f>[3]Summary!$H$27</f>
        <v>2.8719999999999999</v>
      </c>
      <c r="L25" s="5" t="s">
        <v>312</v>
      </c>
    </row>
    <row r="26" spans="1:12" ht="15" x14ac:dyDescent="0.25">
      <c r="A26" s="7"/>
      <c r="B26" s="5" t="s">
        <v>96</v>
      </c>
      <c r="C26" s="5" t="s">
        <v>109</v>
      </c>
      <c r="G26" s="92">
        <f>'Anx L'!C40/1000000</f>
        <v>30.508586999999999</v>
      </c>
      <c r="I26" s="93">
        <f>G27</f>
        <v>3207.4135699010685</v>
      </c>
      <c r="J26" s="93"/>
      <c r="K26" s="342">
        <f>'Anx M'!G14</f>
        <v>92.35850640550845</v>
      </c>
      <c r="L26" s="5" t="s">
        <v>313</v>
      </c>
    </row>
    <row r="27" spans="1:12" ht="15" x14ac:dyDescent="0.25">
      <c r="A27" s="7"/>
      <c r="B27" s="5" t="s">
        <v>97</v>
      </c>
      <c r="C27" s="5" t="s">
        <v>323</v>
      </c>
      <c r="G27" s="370">
        <f>'Anx D'!D118-'Anx D'!C118</f>
        <v>3207.4135699010685</v>
      </c>
      <c r="I27" s="341">
        <f>I25-I26</f>
        <v>-3192.0700626299249</v>
      </c>
      <c r="J27" s="341"/>
      <c r="K27" s="342">
        <f>K25-K26</f>
        <v>-89.48650640550845</v>
      </c>
      <c r="L27" s="5" t="s">
        <v>314</v>
      </c>
    </row>
    <row r="28" spans="1:12" ht="15" x14ac:dyDescent="0.25">
      <c r="A28" s="7"/>
      <c r="B28" s="5" t="s">
        <v>98</v>
      </c>
      <c r="C28" s="5" t="s">
        <v>324</v>
      </c>
      <c r="G28" s="388">
        <f>'Anx D'!C118</f>
        <v>48.29630859065</v>
      </c>
      <c r="K28" s="342">
        <f>I27-K27</f>
        <v>-3102.5835562244165</v>
      </c>
      <c r="L28" s="5" t="s">
        <v>315</v>
      </c>
    </row>
    <row r="29" spans="1:12" ht="15" x14ac:dyDescent="0.25">
      <c r="A29" s="7"/>
      <c r="B29" s="5" t="s">
        <v>99</v>
      </c>
      <c r="C29" s="5" t="s">
        <v>325</v>
      </c>
      <c r="G29" s="388">
        <f>G27+G28</f>
        <v>3255.7098784917184</v>
      </c>
      <c r="H29" s="92"/>
      <c r="J29" s="5" t="s">
        <v>316</v>
      </c>
      <c r="K29" s="343">
        <f>K27*1000000</f>
        <v>-89486506.405508444</v>
      </c>
    </row>
    <row r="30" spans="1:12" ht="15" x14ac:dyDescent="0.25">
      <c r="A30" s="7"/>
      <c r="B30" s="5" t="s">
        <v>100</v>
      </c>
      <c r="C30" s="5" t="s">
        <v>151</v>
      </c>
      <c r="G30" s="93">
        <f>'Anx M'!G25</f>
        <v>92.357121405508479</v>
      </c>
      <c r="H30" s="91"/>
      <c r="J30" s="5" t="s">
        <v>317</v>
      </c>
      <c r="K30" s="343">
        <f>106400</f>
        <v>106400</v>
      </c>
    </row>
    <row r="31" spans="1:12" ht="15" x14ac:dyDescent="0.25">
      <c r="A31" s="7"/>
      <c r="B31" s="5" t="s">
        <v>101</v>
      </c>
      <c r="C31" s="5" t="s">
        <v>305</v>
      </c>
      <c r="G31" s="92">
        <f>'Anx A'!E29</f>
        <v>3501.3231219500003</v>
      </c>
      <c r="H31" s="91"/>
      <c r="J31" s="5" t="s">
        <v>318</v>
      </c>
      <c r="K31" s="343">
        <v>4398</v>
      </c>
    </row>
    <row r="32" spans="1:12" ht="15" x14ac:dyDescent="0.25">
      <c r="A32" s="7"/>
      <c r="B32" s="5" t="s">
        <v>102</v>
      </c>
      <c r="C32" s="5" t="s">
        <v>110</v>
      </c>
      <c r="G32" s="92">
        <f>'Anx A'!G29</f>
        <v>2972.3981311500006</v>
      </c>
      <c r="H32" s="92"/>
      <c r="J32" s="5" t="s">
        <v>320</v>
      </c>
      <c r="K32" s="343">
        <v>23000</v>
      </c>
    </row>
    <row r="33" spans="1:12" ht="15" x14ac:dyDescent="0.25">
      <c r="A33" s="7"/>
      <c r="B33" s="5" t="s">
        <v>103</v>
      </c>
      <c r="C33" s="1127" t="s">
        <v>306</v>
      </c>
      <c r="G33" s="92">
        <f>'Anx A'!E26-'Anx A'!G26</f>
        <v>457.10584079999944</v>
      </c>
      <c r="H33" s="91"/>
      <c r="J33" s="5" t="s">
        <v>319</v>
      </c>
      <c r="K33" s="343">
        <v>583320</v>
      </c>
    </row>
    <row r="34" spans="1:12" ht="15" x14ac:dyDescent="0.25">
      <c r="A34" s="7"/>
      <c r="B34" s="5" t="s">
        <v>104</v>
      </c>
      <c r="C34" s="5" t="s">
        <v>351</v>
      </c>
      <c r="G34" s="92">
        <f>'Anx A'!E27</f>
        <v>212.47085000000001</v>
      </c>
      <c r="H34" s="119"/>
      <c r="J34" s="5" t="s">
        <v>321</v>
      </c>
      <c r="K34" s="343">
        <v>35683</v>
      </c>
      <c r="L34" s="343">
        <f>I27*1000000</f>
        <v>-3192070062.6299248</v>
      </c>
    </row>
    <row r="35" spans="1:12" ht="15" x14ac:dyDescent="0.25">
      <c r="A35" s="7"/>
      <c r="B35" s="5" t="s">
        <v>105</v>
      </c>
      <c r="C35" s="5" t="s">
        <v>215</v>
      </c>
      <c r="G35" s="92">
        <v>0</v>
      </c>
      <c r="H35" s="91"/>
      <c r="K35" s="345">
        <f>SUM(K29:K34)</f>
        <v>-88733705.405508444</v>
      </c>
      <c r="L35" s="345">
        <f>L34-K35</f>
        <v>-3103336357.2244163</v>
      </c>
    </row>
    <row r="36" spans="1:12" ht="15" x14ac:dyDescent="0.25">
      <c r="A36" s="7"/>
      <c r="B36" s="5" t="s">
        <v>198</v>
      </c>
      <c r="C36" s="4" t="s">
        <v>111</v>
      </c>
      <c r="G36" s="92"/>
    </row>
    <row r="37" spans="1:12" ht="15" x14ac:dyDescent="0.25">
      <c r="A37" s="7"/>
      <c r="C37" s="15" t="s">
        <v>83</v>
      </c>
      <c r="D37" s="5" t="s">
        <v>213</v>
      </c>
      <c r="G37" s="92">
        <f>'Anx A'!G36</f>
        <v>-238.49756679171793</v>
      </c>
    </row>
    <row r="38" spans="1:12" ht="15" x14ac:dyDescent="0.25">
      <c r="A38" s="7"/>
      <c r="C38" s="15" t="s">
        <v>84</v>
      </c>
      <c r="D38" s="5" t="s">
        <v>214</v>
      </c>
      <c r="G38" s="92">
        <f>'Anx A'!E36</f>
        <v>290.42742400828178</v>
      </c>
    </row>
    <row r="39" spans="1:12" ht="15" x14ac:dyDescent="0.25">
      <c r="A39" s="7">
        <v>7</v>
      </c>
      <c r="B39" s="16" t="s">
        <v>112</v>
      </c>
      <c r="G39" s="17"/>
    </row>
    <row r="40" spans="1:12" ht="15" x14ac:dyDescent="0.25">
      <c r="A40" s="7"/>
      <c r="B40" s="16"/>
      <c r="G40" s="17"/>
    </row>
    <row r="41" spans="1:12" ht="15" x14ac:dyDescent="0.25">
      <c r="A41" s="7">
        <v>8</v>
      </c>
      <c r="B41" s="4" t="s">
        <v>113</v>
      </c>
      <c r="G41" s="17"/>
    </row>
    <row r="42" spans="1:12" ht="15" x14ac:dyDescent="0.25">
      <c r="A42" s="7">
        <v>9</v>
      </c>
      <c r="B42" s="4" t="s">
        <v>157</v>
      </c>
      <c r="D42" s="112"/>
      <c r="G42" s="17"/>
      <c r="H42" s="91"/>
    </row>
    <row r="43" spans="1:12" ht="15" x14ac:dyDescent="0.25">
      <c r="A43" s="7"/>
      <c r="B43" s="4"/>
      <c r="D43" s="112"/>
      <c r="G43" s="17"/>
      <c r="H43" s="91"/>
    </row>
    <row r="44" spans="1:12" ht="21" customHeight="1" x14ac:dyDescent="0.25">
      <c r="A44" s="7"/>
      <c r="B44" s="16" t="s">
        <v>909</v>
      </c>
      <c r="E44" s="315"/>
      <c r="G44" s="17"/>
      <c r="H44" s="315"/>
    </row>
    <row r="45" spans="1:12" ht="15" customHeight="1" x14ac:dyDescent="0.25">
      <c r="A45" s="7"/>
      <c r="B45" s="112"/>
      <c r="E45" s="315"/>
      <c r="G45" s="17"/>
      <c r="H45" s="315"/>
    </row>
    <row r="46" spans="1:12" ht="18.75" customHeight="1" x14ac:dyDescent="0.25">
      <c r="A46" s="7"/>
      <c r="E46" s="315"/>
      <c r="G46" s="17"/>
      <c r="H46" s="315"/>
    </row>
    <row r="47" spans="1:12" ht="15" x14ac:dyDescent="0.25">
      <c r="A47" s="7"/>
      <c r="G47" s="17"/>
    </row>
    <row r="48" spans="1:12" ht="15" x14ac:dyDescent="0.25">
      <c r="A48" s="7"/>
      <c r="G48" s="17"/>
    </row>
    <row r="49" spans="1:7" ht="15" x14ac:dyDescent="0.25">
      <c r="A49" s="7"/>
      <c r="G49" s="17"/>
    </row>
    <row r="50" spans="1:7" ht="15" x14ac:dyDescent="0.25">
      <c r="A50" s="7"/>
      <c r="G50" s="17"/>
    </row>
    <row r="51" spans="1:7" x14ac:dyDescent="0.25">
      <c r="G51" s="17"/>
    </row>
    <row r="52" spans="1:7" x14ac:dyDescent="0.25">
      <c r="G52" s="17"/>
    </row>
  </sheetData>
  <mergeCells count="6">
    <mergeCell ref="A2:G2"/>
    <mergeCell ref="C22:F22"/>
    <mergeCell ref="A1:G1"/>
    <mergeCell ref="C25:F25"/>
    <mergeCell ref="F5:G5"/>
    <mergeCell ref="F4:G4"/>
  </mergeCells>
  <printOptions horizontalCentered="1"/>
  <pageMargins left="0.34" right="0.3" top="0.65" bottom="0.6" header="0.3" footer="0.3"/>
  <pageSetup paperSize="9" scale="92" orientation="portrait" r:id="rId1"/>
  <headerFooter alignWithMargins="0">
    <oddFooter>&amp;R&amp;10&amp;A</oddFooter>
  </headerFooter>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38100</xdr:colOff>
                <xdr:row>0</xdr:row>
                <xdr:rowOff>19050</xdr:rowOff>
              </from>
              <to>
                <xdr:col>1</xdr:col>
                <xdr:colOff>95250</xdr:colOff>
                <xdr:row>2</xdr:row>
                <xdr:rowOff>76200</xdr:rowOff>
              </to>
            </anchor>
          </objectPr>
        </oleObject>
      </mc:Choice>
      <mc:Fallback>
        <oleObject progId="Word.Picture.8"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9"/>
  <sheetViews>
    <sheetView workbookViewId="0">
      <selection activeCell="F13" sqref="F13"/>
    </sheetView>
  </sheetViews>
  <sheetFormatPr defaultColWidth="10.28515625" defaultRowHeight="12.75" x14ac:dyDescent="0.25"/>
  <cols>
    <col min="1" max="1" width="7.140625" style="601" customWidth="1"/>
    <col min="2" max="2" width="56.85546875" style="601" customWidth="1"/>
    <col min="3" max="3" width="5.140625" style="601" customWidth="1"/>
    <col min="4" max="4" width="13.28515625" style="601" customWidth="1"/>
    <col min="5" max="5" width="11.42578125" style="601" customWidth="1"/>
    <col min="6" max="6" width="15.85546875" style="601" customWidth="1"/>
    <col min="7" max="7" width="12.5703125" style="601" customWidth="1"/>
    <col min="8" max="8" width="21.85546875" style="601" customWidth="1"/>
    <col min="9" max="9" width="13.140625" style="601" customWidth="1"/>
    <col min="10" max="10" width="15.5703125" style="601" bestFit="1" customWidth="1"/>
    <col min="11" max="11" width="10.28515625" style="601"/>
    <col min="12" max="12" width="11.5703125" style="601" bestFit="1" customWidth="1"/>
    <col min="13" max="13" width="12.85546875" style="601" bestFit="1" customWidth="1"/>
    <col min="14" max="16384" width="10.28515625" style="601"/>
  </cols>
  <sheetData>
    <row r="1" spans="1:13" s="597" customFormat="1" ht="20.25" x14ac:dyDescent="0.3">
      <c r="A1" s="1352" t="s">
        <v>408</v>
      </c>
      <c r="B1" s="1352"/>
      <c r="C1" s="1352"/>
      <c r="D1" s="1352"/>
      <c r="E1" s="1352"/>
      <c r="F1" s="1352"/>
      <c r="G1" s="1352"/>
      <c r="H1" s="1352"/>
      <c r="I1" s="1352"/>
    </row>
    <row r="2" spans="1:13" s="598" customFormat="1" ht="41.25" customHeight="1" x14ac:dyDescent="0.25">
      <c r="A2" s="1353" t="s">
        <v>409</v>
      </c>
      <c r="B2" s="1353"/>
      <c r="C2" s="1354" t="s">
        <v>410</v>
      </c>
      <c r="D2" s="1355"/>
      <c r="E2" s="1355"/>
      <c r="F2" s="1355"/>
      <c r="G2" s="1355"/>
      <c r="H2" s="1355"/>
      <c r="I2" s="1356"/>
    </row>
    <row r="3" spans="1:13" s="598" customFormat="1" ht="20.25" x14ac:dyDescent="0.25">
      <c r="A3" s="599" t="s">
        <v>411</v>
      </c>
      <c r="B3" s="600"/>
      <c r="C3" s="1357" t="s">
        <v>412</v>
      </c>
      <c r="D3" s="1357"/>
      <c r="E3" s="1357"/>
      <c r="F3" s="1357"/>
      <c r="G3" s="1357"/>
      <c r="H3" s="1357"/>
      <c r="I3" s="1357"/>
    </row>
    <row r="4" spans="1:13" s="598" customFormat="1" ht="20.25" x14ac:dyDescent="0.25">
      <c r="A4" s="599" t="s">
        <v>413</v>
      </c>
      <c r="B4" s="600"/>
      <c r="C4" s="1358"/>
      <c r="D4" s="1359"/>
      <c r="E4" s="1359"/>
      <c r="F4" s="1359"/>
      <c r="G4" s="1359"/>
      <c r="H4" s="1359"/>
      <c r="I4" s="1360"/>
    </row>
    <row r="5" spans="1:13" ht="18.75" thickBot="1" x14ac:dyDescent="0.3">
      <c r="A5" s="1349" t="s">
        <v>414</v>
      </c>
      <c r="B5" s="1350"/>
      <c r="C5" s="1350"/>
      <c r="D5" s="1350"/>
      <c r="E5" s="1350"/>
      <c r="F5" s="1350"/>
      <c r="G5" s="1350"/>
      <c r="H5" s="1350"/>
      <c r="I5" s="1351"/>
    </row>
    <row r="6" spans="1:13" s="602" customFormat="1" ht="24.75" customHeight="1" thickBot="1" x14ac:dyDescent="0.3">
      <c r="A6" s="1347" t="s">
        <v>415</v>
      </c>
      <c r="B6" s="1348" t="s">
        <v>31</v>
      </c>
      <c r="C6" s="1348" t="s">
        <v>13</v>
      </c>
      <c r="D6" s="1348" t="s">
        <v>416</v>
      </c>
      <c r="E6" s="1347" t="s">
        <v>417</v>
      </c>
      <c r="F6" s="1347"/>
      <c r="G6" s="1347" t="s">
        <v>418</v>
      </c>
      <c r="H6" s="1347"/>
      <c r="I6" s="1347" t="s">
        <v>419</v>
      </c>
    </row>
    <row r="7" spans="1:13" s="602" customFormat="1" ht="26.25" thickBot="1" x14ac:dyDescent="0.3">
      <c r="A7" s="1347"/>
      <c r="B7" s="1348"/>
      <c r="C7" s="1348"/>
      <c r="D7" s="1348"/>
      <c r="E7" s="603" t="s">
        <v>420</v>
      </c>
      <c r="F7" s="603" t="s">
        <v>421</v>
      </c>
      <c r="G7" s="603" t="s">
        <v>422</v>
      </c>
      <c r="H7" s="603" t="s">
        <v>421</v>
      </c>
      <c r="I7" s="1347"/>
    </row>
    <row r="8" spans="1:13" s="613" customFormat="1" ht="48" customHeight="1" x14ac:dyDescent="0.2">
      <c r="A8" s="604">
        <v>1</v>
      </c>
      <c r="B8" s="605" t="s">
        <v>423</v>
      </c>
      <c r="C8" s="606" t="s">
        <v>424</v>
      </c>
      <c r="D8" s="607">
        <v>17116</v>
      </c>
      <c r="E8" s="608">
        <v>478</v>
      </c>
      <c r="F8" s="608">
        <f>D8*E8</f>
        <v>8181448</v>
      </c>
      <c r="G8" s="609">
        <v>3383.65</v>
      </c>
      <c r="H8" s="610">
        <f>ROUNDUP(G8*E8,0)</f>
        <v>1617385</v>
      </c>
      <c r="I8" s="611">
        <f>H8/F8</f>
        <v>0.1976893332329436</v>
      </c>
      <c r="J8" s="612"/>
      <c r="M8" s="612"/>
    </row>
    <row r="9" spans="1:13" s="613" customFormat="1" ht="48.75" customHeight="1" x14ac:dyDescent="0.2">
      <c r="A9" s="614">
        <v>2</v>
      </c>
      <c r="B9" s="615" t="s">
        <v>425</v>
      </c>
      <c r="C9" s="616"/>
      <c r="D9" s="617"/>
      <c r="E9" s="617"/>
      <c r="F9" s="618">
        <f>D9*E9</f>
        <v>0</v>
      </c>
      <c r="G9" s="619">
        <v>0</v>
      </c>
      <c r="H9" s="620">
        <f>ROUNDUP(G9*E9,0)</f>
        <v>0</v>
      </c>
      <c r="I9" s="621"/>
      <c r="J9" s="612"/>
    </row>
    <row r="10" spans="1:13" s="613" customFormat="1" ht="30" customHeight="1" x14ac:dyDescent="0.2">
      <c r="A10" s="614"/>
      <c r="B10" s="615" t="s">
        <v>426</v>
      </c>
      <c r="C10" s="616" t="s">
        <v>424</v>
      </c>
      <c r="D10" s="622">
        <v>22821.600000000002</v>
      </c>
      <c r="E10" s="618">
        <v>55</v>
      </c>
      <c r="F10" s="618">
        <f>D10*E10</f>
        <v>1255188.0000000002</v>
      </c>
      <c r="G10" s="619">
        <v>4445.1048435509001</v>
      </c>
      <c r="H10" s="620">
        <f>ROUNDUP(G10*E10,0)</f>
        <v>244481</v>
      </c>
      <c r="I10" s="621">
        <f>H10/F10</f>
        <v>0.19477640002931829</v>
      </c>
      <c r="J10" s="612"/>
    </row>
    <row r="11" spans="1:13" s="613" customFormat="1" ht="76.5" x14ac:dyDescent="0.2">
      <c r="A11" s="614">
        <v>6</v>
      </c>
      <c r="B11" s="615" t="s">
        <v>427</v>
      </c>
      <c r="C11" s="616"/>
      <c r="D11" s="617"/>
      <c r="E11" s="618"/>
      <c r="F11" s="618">
        <f>D11*E11</f>
        <v>0</v>
      </c>
      <c r="G11" s="619">
        <v>0</v>
      </c>
      <c r="H11" s="620">
        <f>ROUNDUP(G11*E11,0)</f>
        <v>0</v>
      </c>
      <c r="I11" s="621"/>
      <c r="J11" s="612"/>
      <c r="L11" s="612"/>
      <c r="M11" s="623"/>
    </row>
    <row r="12" spans="1:13" s="613" customFormat="1" ht="36" customHeight="1" thickBot="1" x14ac:dyDescent="0.25">
      <c r="A12" s="624"/>
      <c r="B12" s="625" t="s">
        <v>428</v>
      </c>
      <c r="C12" s="626" t="s">
        <v>424</v>
      </c>
      <c r="D12" s="627">
        <v>163623</v>
      </c>
      <c r="E12" s="628">
        <v>1385</v>
      </c>
      <c r="F12" s="628">
        <f>D12*E12</f>
        <v>226617855</v>
      </c>
      <c r="G12" s="629">
        <v>18313.385000000002</v>
      </c>
      <c r="H12" s="630">
        <f>ROUNDUP(G12*E12,0)</f>
        <v>25364039</v>
      </c>
      <c r="I12" s="631">
        <f>H12/F12</f>
        <v>0.1119242744575444</v>
      </c>
      <c r="J12" s="612"/>
      <c r="L12" s="612"/>
      <c r="M12" s="612"/>
    </row>
    <row r="13" spans="1:13" s="613" customFormat="1" ht="41.25" customHeight="1" thickBot="1" x14ac:dyDescent="0.3">
      <c r="A13" s="632"/>
      <c r="B13" s="633" t="s">
        <v>429</v>
      </c>
      <c r="C13" s="632"/>
      <c r="D13" s="632"/>
      <c r="E13" s="634"/>
      <c r="F13" s="634">
        <f>SUM(F8:F12)</f>
        <v>236054491</v>
      </c>
      <c r="G13" s="634"/>
      <c r="H13" s="634">
        <f>SUM(H8:H12)</f>
        <v>27225905</v>
      </c>
      <c r="I13" s="635">
        <f>H13/F13</f>
        <v>0.11533737352194667</v>
      </c>
    </row>
    <row r="14" spans="1:13" s="636" customFormat="1" x14ac:dyDescent="0.25"/>
    <row r="15" spans="1:13" x14ac:dyDescent="0.25">
      <c r="B15" s="637"/>
      <c r="F15" s="638"/>
    </row>
    <row r="16" spans="1:13" x14ac:dyDescent="0.25">
      <c r="B16" s="637"/>
      <c r="F16" s="638"/>
      <c r="H16" s="639"/>
    </row>
    <row r="17" spans="4:8" x14ac:dyDescent="0.25">
      <c r="F17" s="638"/>
      <c r="H17" s="640"/>
    </row>
    <row r="19" spans="4:8" x14ac:dyDescent="0.25">
      <c r="D19" s="641">
        <f>665000/75*100</f>
        <v>886666.66666666663</v>
      </c>
    </row>
  </sheetData>
  <mergeCells count="13">
    <mergeCell ref="A5:I5"/>
    <mergeCell ref="A1:I1"/>
    <mergeCell ref="A2:B2"/>
    <mergeCell ref="C2:I2"/>
    <mergeCell ref="C3:I3"/>
    <mergeCell ref="C4:I4"/>
    <mergeCell ref="I6:I7"/>
    <mergeCell ref="A6:A7"/>
    <mergeCell ref="B6:B7"/>
    <mergeCell ref="C6:C7"/>
    <mergeCell ref="D6:D7"/>
    <mergeCell ref="E6:F6"/>
    <mergeCell ref="G6:H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Normal="100" workbookViewId="0">
      <selection activeCell="A6" sqref="A6"/>
    </sheetView>
  </sheetViews>
  <sheetFormatPr defaultColWidth="9.140625" defaultRowHeight="14.25" x14ac:dyDescent="0.2"/>
  <cols>
    <col min="1" max="1" width="5" style="853" customWidth="1"/>
    <col min="2" max="5" width="11.5703125" style="854" customWidth="1"/>
    <col min="6" max="6" width="10.28515625" style="854" customWidth="1"/>
    <col min="7" max="7" width="9.85546875" style="854" customWidth="1"/>
    <col min="8" max="16384" width="9.140625" style="844"/>
  </cols>
  <sheetData>
    <row r="1" spans="1:7" ht="15" x14ac:dyDescent="0.25">
      <c r="A1" s="1363" t="s">
        <v>728</v>
      </c>
      <c r="B1" s="1363"/>
      <c r="C1" s="1363"/>
      <c r="D1" s="1363"/>
      <c r="E1" s="1363"/>
      <c r="F1" s="1363"/>
      <c r="G1" s="1363"/>
    </row>
    <row r="3" spans="1:7" s="845" customFormat="1" ht="50.25" customHeight="1" x14ac:dyDescent="0.25">
      <c r="A3" s="1364" t="s">
        <v>7</v>
      </c>
      <c r="B3" s="1362" t="s">
        <v>722</v>
      </c>
      <c r="C3" s="1362" t="s">
        <v>730</v>
      </c>
      <c r="D3" s="1362" t="s">
        <v>731</v>
      </c>
      <c r="E3" s="1361" t="s">
        <v>727</v>
      </c>
      <c r="F3" s="1362" t="s">
        <v>571</v>
      </c>
      <c r="G3" s="1362" t="s">
        <v>723</v>
      </c>
    </row>
    <row r="4" spans="1:7" s="845" customFormat="1" ht="12.75" x14ac:dyDescent="0.25">
      <c r="A4" s="1364"/>
      <c r="B4" s="1362"/>
      <c r="C4" s="1362"/>
      <c r="D4" s="1362"/>
      <c r="E4" s="1361"/>
      <c r="F4" s="1362"/>
      <c r="G4" s="1362"/>
    </row>
    <row r="5" spans="1:7" s="847" customFormat="1" ht="12.75" x14ac:dyDescent="0.25">
      <c r="A5" s="847" t="s">
        <v>572</v>
      </c>
      <c r="B5" s="848" t="s">
        <v>573</v>
      </c>
      <c r="C5" s="848" t="s">
        <v>579</v>
      </c>
      <c r="D5" s="848" t="s">
        <v>724</v>
      </c>
      <c r="E5" s="849"/>
      <c r="F5" s="848" t="s">
        <v>725</v>
      </c>
      <c r="G5" s="848" t="s">
        <v>726</v>
      </c>
    </row>
    <row r="6" spans="1:7" s="852" customFormat="1" ht="55.5" customHeight="1" x14ac:dyDescent="0.25">
      <c r="A6" s="847">
        <v>1</v>
      </c>
      <c r="B6" s="846" t="s">
        <v>729</v>
      </c>
      <c r="C6" s="850">
        <v>283.31</v>
      </c>
      <c r="D6" s="850">
        <v>0</v>
      </c>
      <c r="E6" s="851">
        <v>577.14800000000002</v>
      </c>
      <c r="F6" s="850">
        <f>SUM(C6:E6)</f>
        <v>860.45800000000008</v>
      </c>
      <c r="G6" s="855">
        <f>F6*0.075</f>
        <v>64.534350000000003</v>
      </c>
    </row>
    <row r="7" spans="1:7" s="852" customFormat="1" ht="23.25" customHeight="1" x14ac:dyDescent="0.25">
      <c r="A7" s="847"/>
      <c r="B7" s="846"/>
      <c r="C7" s="850"/>
      <c r="D7" s="850"/>
      <c r="E7" s="851"/>
      <c r="F7" s="850"/>
      <c r="G7" s="855"/>
    </row>
    <row r="8" spans="1:7" s="852" customFormat="1" ht="23.25" customHeight="1" x14ac:dyDescent="0.25">
      <c r="A8" s="847"/>
      <c r="B8" s="846"/>
      <c r="C8" s="850"/>
      <c r="D8" s="850"/>
      <c r="E8" s="851"/>
      <c r="F8" s="850"/>
      <c r="G8" s="855"/>
    </row>
    <row r="12" spans="1:7" x14ac:dyDescent="0.2">
      <c r="C12" s="856"/>
    </row>
  </sheetData>
  <mergeCells count="8">
    <mergeCell ref="E3:E4"/>
    <mergeCell ref="F3:F4"/>
    <mergeCell ref="G3:G4"/>
    <mergeCell ref="A1:G1"/>
    <mergeCell ref="A3:A4"/>
    <mergeCell ref="B3:B4"/>
    <mergeCell ref="C3:C4"/>
    <mergeCell ref="D3:D4"/>
  </mergeCells>
  <pageMargins left="0.7" right="0.7" top="0.75" bottom="0.75" header="0.3" footer="0.3"/>
  <pageSetup scale="41"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67"/>
  <sheetViews>
    <sheetView tabSelected="1" view="pageBreakPreview" topLeftCell="A16" zoomScale="90" zoomScaleNormal="90" zoomScaleSheetLayoutView="90" workbookViewId="0">
      <selection activeCell="M34" sqref="M34"/>
    </sheetView>
  </sheetViews>
  <sheetFormatPr defaultColWidth="9.140625" defaultRowHeight="12.75" x14ac:dyDescent="0.2"/>
  <cols>
    <col min="1" max="1" width="4.5703125" style="38" customWidth="1"/>
    <col min="2" max="2" width="5.140625" style="39" customWidth="1"/>
    <col min="3" max="3" width="33" style="39" customWidth="1"/>
    <col min="4" max="4" width="18.42578125" style="39" customWidth="1"/>
    <col min="5" max="5" width="14" style="39" customWidth="1"/>
    <col min="6" max="6" width="13.7109375" style="39" customWidth="1"/>
    <col min="7" max="7" width="13.5703125" style="39" customWidth="1"/>
    <col min="8" max="8" width="19" style="39" customWidth="1"/>
    <col min="9" max="9" width="9.7109375" style="39" customWidth="1"/>
    <col min="10" max="10" width="12.5703125" style="39" customWidth="1"/>
    <col min="11" max="11" width="11.140625" style="39" customWidth="1"/>
    <col min="12" max="12" width="17.140625" style="272" customWidth="1"/>
    <col min="13" max="13" width="15" style="39" bestFit="1" customWidth="1"/>
    <col min="14" max="14" width="15" style="39" customWidth="1"/>
    <col min="15" max="15" width="16.5703125" style="39" bestFit="1" customWidth="1"/>
    <col min="16" max="16" width="16.5703125" style="39" customWidth="1"/>
    <col min="17" max="18" width="13.7109375" style="39" bestFit="1" customWidth="1"/>
    <col min="19" max="19" width="13.42578125" style="211" bestFit="1" customWidth="1"/>
    <col min="20" max="20" width="12.140625" style="39" bestFit="1" customWidth="1"/>
    <col min="21" max="16384" width="9.140625" style="39"/>
  </cols>
  <sheetData>
    <row r="1" spans="1:19" s="29" customFormat="1" ht="15.75" customHeight="1" x14ac:dyDescent="0.25">
      <c r="A1" s="1176" t="s">
        <v>190</v>
      </c>
      <c r="B1" s="1176"/>
      <c r="C1" s="1176"/>
      <c r="D1" s="1176"/>
      <c r="E1" s="1176"/>
      <c r="F1" s="1176"/>
      <c r="G1" s="1176"/>
      <c r="H1" s="1176"/>
      <c r="L1" s="271"/>
      <c r="S1" s="281"/>
    </row>
    <row r="2" spans="1:19" s="29" customFormat="1" ht="18" customHeight="1" x14ac:dyDescent="0.25">
      <c r="A2" s="1177" t="str">
        <f>"PROJ HIGHLIGHTS AS ON "&amp;Summary!G6</f>
        <v>PROJ HIGHLIGHTS AS ON July 2025</v>
      </c>
      <c r="B2" s="1177"/>
      <c r="C2" s="1177"/>
      <c r="D2" s="1177"/>
      <c r="E2" s="1177"/>
      <c r="F2" s="1177"/>
      <c r="G2" s="1177"/>
      <c r="H2" s="1177"/>
      <c r="I2" s="30"/>
      <c r="J2" s="30"/>
      <c r="L2" s="271"/>
      <c r="S2" s="281"/>
    </row>
    <row r="3" spans="1:19" s="29" customFormat="1" ht="18" customHeight="1" x14ac:dyDescent="0.25">
      <c r="A3" s="1177" t="str">
        <f>Summary!F5</f>
        <v xml:space="preserve">PMU NLC INFRA DEV WORKS at Chahar Bagh (RUDA ) </v>
      </c>
      <c r="B3" s="1177"/>
      <c r="C3" s="1177"/>
      <c r="D3" s="1177"/>
      <c r="E3" s="1177"/>
      <c r="F3" s="1177"/>
      <c r="G3" s="1177"/>
      <c r="H3" s="1177"/>
      <c r="I3" s="30"/>
      <c r="J3" s="30"/>
      <c r="L3" s="271"/>
      <c r="S3" s="281"/>
    </row>
    <row r="4" spans="1:19" s="29" customFormat="1" ht="15.95" customHeight="1" x14ac:dyDescent="0.25">
      <c r="A4" s="19">
        <v>1</v>
      </c>
      <c r="B4" s="1173" t="s">
        <v>3</v>
      </c>
      <c r="C4" s="1173"/>
      <c r="D4" s="18"/>
      <c r="E4" s="18"/>
      <c r="F4" s="18"/>
      <c r="G4" s="18"/>
      <c r="H4" s="18"/>
      <c r="L4" s="271">
        <f>8344677+819623</f>
        <v>9164300</v>
      </c>
      <c r="M4" s="29" t="s">
        <v>432</v>
      </c>
      <c r="S4" s="281"/>
    </row>
    <row r="5" spans="1:19" s="29" customFormat="1" ht="15.95" customHeight="1" x14ac:dyDescent="0.25">
      <c r="A5" s="20"/>
      <c r="B5" s="21" t="s">
        <v>2</v>
      </c>
      <c r="C5" s="21"/>
      <c r="D5" s="21"/>
      <c r="E5" s="21"/>
      <c r="F5" s="21"/>
      <c r="G5" s="18"/>
      <c r="H5" s="440">
        <v>44867</v>
      </c>
      <c r="I5" s="34"/>
      <c r="J5" s="34"/>
      <c r="L5" s="271">
        <f>L4/24</f>
        <v>381845.83333333331</v>
      </c>
      <c r="S5" s="281"/>
    </row>
    <row r="6" spans="1:19" s="29" customFormat="1" ht="15.95" customHeight="1" x14ac:dyDescent="0.25">
      <c r="A6" s="20"/>
      <c r="B6" s="21" t="s">
        <v>5</v>
      </c>
      <c r="C6" s="21"/>
      <c r="D6" s="21"/>
      <c r="E6" s="21"/>
      <c r="F6" s="21"/>
      <c r="G6" s="18"/>
      <c r="H6" s="440">
        <v>45598</v>
      </c>
      <c r="L6" s="271"/>
      <c r="S6" s="281"/>
    </row>
    <row r="7" spans="1:19" s="29" customFormat="1" ht="15.95" customHeight="1" x14ac:dyDescent="0.25">
      <c r="A7" s="20"/>
      <c r="B7" s="21" t="s">
        <v>255</v>
      </c>
      <c r="C7" s="21"/>
      <c r="D7" s="21"/>
      <c r="E7" s="21"/>
      <c r="F7" s="21"/>
      <c r="G7" s="18"/>
      <c r="H7" s="886">
        <v>45853</v>
      </c>
      <c r="L7" s="271"/>
      <c r="S7" s="281"/>
    </row>
    <row r="8" spans="1:19" s="29" customFormat="1" ht="15.95" customHeight="1" x14ac:dyDescent="0.25">
      <c r="A8" s="19">
        <v>2</v>
      </c>
      <c r="B8" s="27" t="s">
        <v>207</v>
      </c>
      <c r="C8" s="21"/>
      <c r="D8" s="20"/>
      <c r="E8" s="21"/>
      <c r="F8" s="21"/>
      <c r="G8" s="18"/>
      <c r="H8" s="116" t="s">
        <v>395</v>
      </c>
      <c r="L8" s="271"/>
      <c r="S8" s="281"/>
    </row>
    <row r="9" spans="1:19" s="29" customFormat="1" ht="15.95" customHeight="1" x14ac:dyDescent="0.25">
      <c r="A9" s="19">
        <v>3</v>
      </c>
      <c r="B9" s="1173" t="s">
        <v>0</v>
      </c>
      <c r="C9" s="1173"/>
      <c r="D9" s="18"/>
      <c r="E9" s="1175"/>
      <c r="F9" s="1175"/>
      <c r="G9" s="1174" t="s">
        <v>240</v>
      </c>
      <c r="H9" s="1174"/>
      <c r="L9" s="271"/>
      <c r="S9" s="281"/>
    </row>
    <row r="10" spans="1:19" s="29" customFormat="1" ht="15.95" customHeight="1" x14ac:dyDescent="0.25">
      <c r="A10" s="20"/>
      <c r="B10" s="28" t="s">
        <v>53</v>
      </c>
      <c r="C10" s="18"/>
      <c r="D10" s="18"/>
      <c r="E10" s="2"/>
      <c r="F10" s="2"/>
      <c r="G10" s="643" t="s">
        <v>4</v>
      </c>
      <c r="H10" s="643" t="s">
        <v>35</v>
      </c>
      <c r="I10" s="34"/>
      <c r="L10" s="271">
        <f>2032.414-2032.417</f>
        <v>-2.9999999999290594E-3</v>
      </c>
      <c r="M10" s="245"/>
      <c r="N10" s="111">
        <f>43.686*5/105</f>
        <v>2.0802857142857145</v>
      </c>
      <c r="S10" s="281"/>
    </row>
    <row r="11" spans="1:19" s="29" customFormat="1" ht="15.95" customHeight="1" x14ac:dyDescent="0.25">
      <c r="A11" s="20"/>
      <c r="B11" s="18"/>
      <c r="C11" s="21" t="s">
        <v>223</v>
      </c>
      <c r="D11" s="21"/>
      <c r="E11" s="219"/>
      <c r="F11" s="22"/>
      <c r="G11" s="323">
        <f>'Appx I to Anx A'!D41</f>
        <v>3463.223</v>
      </c>
      <c r="H11" s="669">
        <f>G11/H19</f>
        <v>0.97194233943777475</v>
      </c>
      <c r="I11" s="34"/>
      <c r="L11" s="271"/>
      <c r="S11" s="281"/>
    </row>
    <row r="12" spans="1:19" s="29" customFormat="1" ht="15.95" customHeight="1" x14ac:dyDescent="0.25">
      <c r="A12" s="20"/>
      <c r="B12" s="18"/>
      <c r="C12" s="21" t="s">
        <v>159</v>
      </c>
      <c r="D12" s="21"/>
      <c r="E12" s="96"/>
      <c r="F12" s="22"/>
      <c r="G12" s="323">
        <f>E26</f>
        <v>3288.8522719500002</v>
      </c>
      <c r="H12" s="669">
        <f>E26/H19</f>
        <v>0.92300575829633946</v>
      </c>
      <c r="I12" s="281"/>
      <c r="J12" s="23">
        <f>E26-G12</f>
        <v>0</v>
      </c>
      <c r="L12" s="271"/>
      <c r="N12" s="29">
        <f>2032.484-2032.416</f>
        <v>6.7999999999983629E-2</v>
      </c>
      <c r="S12" s="281"/>
    </row>
    <row r="13" spans="1:19" s="29" customFormat="1" ht="15.95" customHeight="1" x14ac:dyDescent="0.25">
      <c r="A13" s="19">
        <v>4</v>
      </c>
      <c r="B13" s="1173" t="s">
        <v>1</v>
      </c>
      <c r="C13" s="1173"/>
      <c r="D13" s="18"/>
      <c r="E13" s="18"/>
      <c r="F13" s="18"/>
      <c r="G13" s="18"/>
      <c r="H13" s="1" t="s">
        <v>4</v>
      </c>
      <c r="L13" s="271"/>
      <c r="S13" s="281"/>
    </row>
    <row r="14" spans="1:19" s="29" customFormat="1" ht="15.95" customHeight="1" x14ac:dyDescent="0.25">
      <c r="A14" s="843"/>
      <c r="B14" s="21" t="s">
        <v>191</v>
      </c>
      <c r="C14" s="21"/>
      <c r="D14" s="21"/>
      <c r="E14" s="21"/>
      <c r="F14" s="147"/>
      <c r="G14" s="115"/>
      <c r="H14" s="888">
        <f>2889729726/1000000</f>
        <v>2889.729726</v>
      </c>
      <c r="L14" s="271"/>
      <c r="S14" s="281"/>
    </row>
    <row r="15" spans="1:19" s="29" customFormat="1" ht="15.95" customHeight="1" x14ac:dyDescent="0.25">
      <c r="A15" s="843"/>
      <c r="B15" s="21" t="s">
        <v>279</v>
      </c>
      <c r="C15" s="21"/>
      <c r="D15" s="21"/>
      <c r="E15" s="191"/>
      <c r="F15" s="147"/>
      <c r="H15" s="889">
        <f>144.486</f>
        <v>144.48599999999999</v>
      </c>
      <c r="L15" s="271"/>
      <c r="S15" s="281"/>
    </row>
    <row r="16" spans="1:19" s="29" customFormat="1" ht="15.95" customHeight="1" x14ac:dyDescent="0.25">
      <c r="A16" s="843"/>
      <c r="B16" s="21"/>
      <c r="C16" s="21"/>
      <c r="D16" s="197" t="s">
        <v>396</v>
      </c>
      <c r="E16" s="592"/>
      <c r="F16" s="593"/>
      <c r="G16" s="594"/>
      <c r="H16" s="890">
        <v>3034.2159999999999</v>
      </c>
      <c r="L16" s="271"/>
      <c r="S16" s="281"/>
    </row>
    <row r="17" spans="1:21" s="29" customFormat="1" ht="15.95" customHeight="1" x14ac:dyDescent="0.25">
      <c r="A17" s="20"/>
      <c r="B17" s="21" t="s">
        <v>782</v>
      </c>
      <c r="C17" s="21"/>
      <c r="D17" s="21"/>
      <c r="E17" s="21"/>
      <c r="F17" s="147"/>
      <c r="G17" s="115"/>
      <c r="H17" s="23">
        <v>3393.5219999999999</v>
      </c>
      <c r="K17" s="209">
        <f>D26*5/105</f>
        <v>1.132912999999997</v>
      </c>
      <c r="L17" s="271"/>
      <c r="S17" s="281"/>
    </row>
    <row r="18" spans="1:21" s="29" customFormat="1" ht="15.95" customHeight="1" x14ac:dyDescent="0.25">
      <c r="A18" s="20"/>
      <c r="B18" s="21" t="s">
        <v>781</v>
      </c>
      <c r="C18" s="21"/>
      <c r="D18" s="21"/>
      <c r="E18" s="191"/>
      <c r="F18" s="147"/>
      <c r="H18" s="128">
        <v>169.67599999999999</v>
      </c>
      <c r="J18" s="209">
        <f>2262.4+234.804</f>
        <v>2497.2040000000002</v>
      </c>
      <c r="L18" s="271"/>
      <c r="S18" s="281"/>
    </row>
    <row r="19" spans="1:21" s="29" customFormat="1" ht="15.95" customHeight="1" x14ac:dyDescent="0.25">
      <c r="A19" s="20"/>
      <c r="B19" s="21"/>
      <c r="C19" s="21"/>
      <c r="D19" s="197" t="s">
        <v>783</v>
      </c>
      <c r="E19" s="592"/>
      <c r="F19" s="593"/>
      <c r="G19" s="594"/>
      <c r="H19" s="595">
        <v>3563.1979999999999</v>
      </c>
      <c r="J19" s="209"/>
      <c r="L19" s="271">
        <v>2409.4633489500002</v>
      </c>
      <c r="M19" s="29">
        <v>2453.15</v>
      </c>
      <c r="N19" s="209">
        <f>L19-M19</f>
        <v>-43.686651049999909</v>
      </c>
      <c r="S19" s="281"/>
    </row>
    <row r="20" spans="1:21" s="29" customFormat="1" ht="15.95" customHeight="1" x14ac:dyDescent="0.25">
      <c r="A20" s="20"/>
      <c r="B20" s="21" t="s">
        <v>470</v>
      </c>
      <c r="C20" s="21"/>
      <c r="D20" s="21"/>
      <c r="E20" s="106"/>
      <c r="G20" s="21"/>
      <c r="H20" s="128">
        <f>'Anx J'!Q40</f>
        <v>2532.2316459999997</v>
      </c>
      <c r="I20" s="95"/>
      <c r="J20" s="35"/>
      <c r="L20" s="271">
        <v>635.94800639999994</v>
      </c>
      <c r="M20" s="29">
        <v>679.63400000000001</v>
      </c>
      <c r="N20" s="209">
        <f>L20-M20</f>
        <v>-43.685993600000074</v>
      </c>
      <c r="S20" s="281"/>
    </row>
    <row r="21" spans="1:21" s="29" customFormat="1" ht="15.95" customHeight="1" x14ac:dyDescent="0.25">
      <c r="A21" s="20"/>
      <c r="B21" s="21" t="s">
        <v>719</v>
      </c>
      <c r="C21" s="21"/>
      <c r="D21" s="21"/>
      <c r="E21" s="149"/>
      <c r="F21" s="21"/>
      <c r="G21" s="21"/>
      <c r="H21" s="209">
        <v>1604.9749999999999</v>
      </c>
      <c r="I21" s="95"/>
      <c r="J21" s="95"/>
      <c r="L21" s="95"/>
      <c r="M21" s="271"/>
      <c r="N21" s="271"/>
      <c r="S21" s="281"/>
    </row>
    <row r="22" spans="1:21" s="29" customFormat="1" ht="15.95" customHeight="1" thickBot="1" x14ac:dyDescent="0.3">
      <c r="A22" s="19">
        <v>5</v>
      </c>
      <c r="B22" s="1173" t="s">
        <v>236</v>
      </c>
      <c r="C22" s="1173"/>
      <c r="D22" s="1173"/>
      <c r="E22" s="1173"/>
      <c r="F22" s="1173"/>
      <c r="G22" s="24"/>
      <c r="H22" s="25"/>
      <c r="J22" s="209"/>
      <c r="L22" s="271"/>
      <c r="S22" s="281"/>
    </row>
    <row r="23" spans="1:21" s="29" customFormat="1" ht="15.95" customHeight="1" thickTop="1" thickBot="1" x14ac:dyDescent="0.3">
      <c r="A23" s="20"/>
      <c r="B23" s="18"/>
      <c r="C23" s="18"/>
      <c r="D23" s="1170" t="s">
        <v>53</v>
      </c>
      <c r="E23" s="1172"/>
      <c r="F23" s="1171"/>
      <c r="G23" s="1170" t="s">
        <v>56</v>
      </c>
      <c r="H23" s="1171"/>
      <c r="I23" s="281"/>
      <c r="J23" s="335"/>
      <c r="L23" s="560"/>
      <c r="N23" s="209"/>
      <c r="O23" s="776"/>
      <c r="Q23" s="335"/>
      <c r="S23" s="271"/>
    </row>
    <row r="24" spans="1:21" s="29" customFormat="1" ht="32.450000000000003" customHeight="1" thickTop="1" thickBot="1" x14ac:dyDescent="0.3">
      <c r="A24" s="20"/>
      <c r="B24" s="18"/>
      <c r="D24" s="48" t="s">
        <v>54</v>
      </c>
      <c r="E24" s="48" t="s">
        <v>55</v>
      </c>
      <c r="F24" s="48" t="s">
        <v>59</v>
      </c>
      <c r="G24" s="241" t="s">
        <v>55</v>
      </c>
      <c r="H24" s="48" t="s">
        <v>59</v>
      </c>
      <c r="I24" s="209"/>
      <c r="J24" s="519"/>
      <c r="K24" s="741"/>
      <c r="L24" s="271"/>
      <c r="O24" s="776"/>
      <c r="Q24" s="95"/>
      <c r="S24" s="427">
        <f>R24-E26</f>
        <v>-3288.8522719500002</v>
      </c>
    </row>
    <row r="25" spans="1:21" s="29" customFormat="1" ht="14.25" customHeight="1" thickTop="1" x14ac:dyDescent="0.25">
      <c r="A25" s="20"/>
      <c r="B25" s="18"/>
      <c r="C25" s="81" t="s">
        <v>149</v>
      </c>
      <c r="D25" s="108"/>
      <c r="E25" s="108"/>
      <c r="F25" s="108"/>
      <c r="G25" s="108"/>
      <c r="H25" s="42"/>
      <c r="I25" s="209"/>
      <c r="J25" s="209"/>
      <c r="L25" s="271"/>
      <c r="M25" s="209"/>
      <c r="O25" s="117"/>
      <c r="P25" s="117"/>
      <c r="Q25" s="117"/>
      <c r="S25" s="271"/>
    </row>
    <row r="26" spans="1:21" s="29" customFormat="1" ht="13.5" customHeight="1" x14ac:dyDescent="0.25">
      <c r="A26" s="20"/>
      <c r="B26" s="18"/>
      <c r="C26" s="21" t="s">
        <v>150</v>
      </c>
      <c r="D26" s="323">
        <f>'Anx B'!D23+'Anx C '!G63</f>
        <v>23.791172999999937</v>
      </c>
      <c r="E26" s="323">
        <f>+'Anx B'!E23+'Anx C '!H63</f>
        <v>3288.8522719500002</v>
      </c>
      <c r="F26" s="323">
        <f>+'Anx B'!F23+'Anx C '!I63</f>
        <v>23.791172999999937</v>
      </c>
      <c r="G26" s="323">
        <f>'Anx B'!G23+'Anx C '!J63</f>
        <v>2831.7464311500007</v>
      </c>
      <c r="H26" s="323">
        <f>'Anx B'!H23+'Anx C '!K63</f>
        <v>0</v>
      </c>
      <c r="I26" s="117"/>
      <c r="J26" s="807">
        <f>E26-D26</f>
        <v>3265.0610989500001</v>
      </c>
      <c r="K26" s="808">
        <f>F26-D26</f>
        <v>0</v>
      </c>
      <c r="L26" s="271">
        <f>971.982</f>
        <v>971.98199999999997</v>
      </c>
      <c r="M26" s="209">
        <f>L26-K26</f>
        <v>971.98199999999997</v>
      </c>
      <c r="N26" s="209">
        <f>E26-G26</f>
        <v>457.10584079999944</v>
      </c>
      <c r="O26" s="209"/>
      <c r="P26" s="95"/>
      <c r="Q26" s="95"/>
      <c r="R26" s="95"/>
      <c r="S26" s="95"/>
      <c r="T26" s="95"/>
    </row>
    <row r="27" spans="1:21" s="29" customFormat="1" ht="13.5" customHeight="1" x14ac:dyDescent="0.25">
      <c r="A27" s="20"/>
      <c r="B27" s="18"/>
      <c r="C27" s="21" t="s">
        <v>596</v>
      </c>
      <c r="D27" s="23">
        <f>'Anx k'!C13</f>
        <v>23</v>
      </c>
      <c r="E27" s="23">
        <f>'Anx k'!D13</f>
        <v>212.47085000000001</v>
      </c>
      <c r="F27" s="23">
        <f>'Anx k'!E13</f>
        <v>23</v>
      </c>
      <c r="G27" s="23">
        <f>'Anx k'!F13</f>
        <v>140.65170000000001</v>
      </c>
      <c r="H27" s="23">
        <v>0</v>
      </c>
      <c r="I27" s="117"/>
      <c r="J27" s="807">
        <f t="shared" ref="J27:J36" si="0">E27-D27</f>
        <v>189.47085000000001</v>
      </c>
      <c r="K27" s="808">
        <f t="shared" ref="K27:K36" si="1">F27-D27</f>
        <v>0</v>
      </c>
      <c r="L27" s="271"/>
      <c r="M27" s="209"/>
      <c r="N27" s="209"/>
      <c r="O27" s="209"/>
      <c r="P27" s="95"/>
      <c r="Q27" s="95"/>
      <c r="R27" s="95"/>
      <c r="S27" s="95"/>
      <c r="T27" s="95"/>
    </row>
    <row r="28" spans="1:21" s="29" customFormat="1" ht="13.5" customHeight="1" x14ac:dyDescent="0.25">
      <c r="A28" s="20"/>
      <c r="B28" s="18"/>
      <c r="C28" s="21"/>
      <c r="D28" s="23">
        <v>0</v>
      </c>
      <c r="E28" s="23">
        <v>0</v>
      </c>
      <c r="F28" s="23">
        <v>0</v>
      </c>
      <c r="G28" s="23">
        <f>'Anx k'!F11</f>
        <v>0</v>
      </c>
      <c r="H28" s="23">
        <f>'Anx k'!G11</f>
        <v>0</v>
      </c>
      <c r="I28" s="117"/>
      <c r="J28" s="807">
        <f t="shared" si="0"/>
        <v>0</v>
      </c>
      <c r="K28" s="808">
        <f t="shared" si="1"/>
        <v>0</v>
      </c>
      <c r="L28" s="271"/>
      <c r="M28" s="209"/>
      <c r="N28" s="209"/>
      <c r="O28" s="209"/>
      <c r="P28" s="95"/>
      <c r="Q28" s="95"/>
      <c r="R28" s="95"/>
      <c r="S28" s="95"/>
      <c r="T28" s="95"/>
    </row>
    <row r="29" spans="1:21" s="29" customFormat="1" ht="13.5" customHeight="1" x14ac:dyDescent="0.25">
      <c r="A29" s="20"/>
      <c r="B29" s="18"/>
      <c r="C29" s="27" t="s">
        <v>192</v>
      </c>
      <c r="D29" s="82">
        <f>SUM(D26:D28)</f>
        <v>46.791172999999937</v>
      </c>
      <c r="E29" s="82">
        <f>SUM(E26:E28)</f>
        <v>3501.3231219500003</v>
      </c>
      <c r="F29" s="82">
        <f>SUM(F26:F28)</f>
        <v>46.791172999999937</v>
      </c>
      <c r="G29" s="82">
        <f>SUM(G26:G28)</f>
        <v>2972.3981311500006</v>
      </c>
      <c r="H29" s="82">
        <f>SUM(H26:H28)</f>
        <v>0</v>
      </c>
      <c r="I29" s="117"/>
      <c r="J29" s="807">
        <f t="shared" si="0"/>
        <v>3454.5319489500002</v>
      </c>
      <c r="K29" s="808">
        <f t="shared" si="1"/>
        <v>0</v>
      </c>
      <c r="L29" s="271"/>
      <c r="M29" s="209">
        <f t="shared" ref="M29:M35" si="2">F29-D29</f>
        <v>0</v>
      </c>
      <c r="N29" s="209">
        <f>E29-G29</f>
        <v>528.9249907999997</v>
      </c>
      <c r="O29" s="209"/>
      <c r="P29" s="95"/>
      <c r="Q29" s="95"/>
      <c r="R29" s="95"/>
      <c r="S29" s="95"/>
      <c r="T29" s="95"/>
    </row>
    <row r="30" spans="1:21" s="29" customFormat="1" ht="13.5" customHeight="1" x14ac:dyDescent="0.25">
      <c r="A30" s="20"/>
      <c r="B30" s="18"/>
      <c r="C30" s="18" t="s">
        <v>57</v>
      </c>
      <c r="D30" s="23">
        <f>+'Anx D'!C72</f>
        <v>43.912008590649997</v>
      </c>
      <c r="E30" s="23">
        <f>'Anx D'!D72</f>
        <v>3070.7434404917185</v>
      </c>
      <c r="F30" s="23">
        <f>'Anx D'!E72</f>
        <v>43.912008590649997</v>
      </c>
      <c r="G30" s="23">
        <f>'Anx D'!D72</f>
        <v>3070.7434404917185</v>
      </c>
      <c r="H30" s="23">
        <f>+F30</f>
        <v>43.912008590649997</v>
      </c>
      <c r="I30" s="117"/>
      <c r="J30" s="807">
        <f>E30-D30</f>
        <v>3026.8314319010683</v>
      </c>
      <c r="K30" s="808">
        <f t="shared" si="1"/>
        <v>0</v>
      </c>
      <c r="L30" s="111">
        <f>2426.22-J30</f>
        <v>-600.6114319010685</v>
      </c>
      <c r="M30" s="209">
        <f t="shared" si="2"/>
        <v>0</v>
      </c>
      <c r="N30" s="209"/>
      <c r="O30" s="209"/>
      <c r="P30" s="95"/>
      <c r="Q30" s="95"/>
      <c r="R30" s="95"/>
      <c r="S30" s="95"/>
      <c r="T30" s="95"/>
      <c r="U30" s="95"/>
    </row>
    <row r="31" spans="1:21" s="29" customFormat="1" ht="13.5" customHeight="1" x14ac:dyDescent="0.25">
      <c r="A31" s="20"/>
      <c r="B31" s="18"/>
      <c r="C31" s="18" t="s">
        <v>60</v>
      </c>
      <c r="D31" s="23">
        <f>D29-D30</f>
        <v>2.87916440934994</v>
      </c>
      <c r="E31" s="23">
        <f>E29-E30</f>
        <v>430.57968145828181</v>
      </c>
      <c r="F31" s="23">
        <f>F29-F30</f>
        <v>2.87916440934994</v>
      </c>
      <c r="G31" s="23">
        <f>G29-G30</f>
        <v>-98.345309341717893</v>
      </c>
      <c r="H31" s="23">
        <f>H29-H30</f>
        <v>-43.912008590649997</v>
      </c>
      <c r="I31" s="117"/>
      <c r="J31" s="807">
        <f t="shared" si="0"/>
        <v>427.70051704893189</v>
      </c>
      <c r="K31" s="808">
        <f t="shared" si="1"/>
        <v>0</v>
      </c>
      <c r="L31" s="271"/>
      <c r="M31" s="209">
        <f t="shared" si="2"/>
        <v>0</v>
      </c>
      <c r="N31" s="209"/>
      <c r="O31" s="209"/>
      <c r="P31" s="95"/>
      <c r="Q31" s="95"/>
      <c r="R31" s="95"/>
      <c r="S31" s="95"/>
      <c r="T31" s="95"/>
    </row>
    <row r="32" spans="1:21" s="29" customFormat="1" ht="13.5" customHeight="1" x14ac:dyDescent="0.25">
      <c r="A32" s="20"/>
      <c r="B32" s="18"/>
      <c r="C32" s="18" t="s">
        <v>61</v>
      </c>
      <c r="D32" s="23">
        <f>'Anx D'!C116</f>
        <v>4.3843000000000005</v>
      </c>
      <c r="E32" s="23">
        <f>'Anx D'!D116</f>
        <v>184.96643800000004</v>
      </c>
      <c r="F32" s="23">
        <f>'Anx D'!E116</f>
        <v>4.3843000000000005</v>
      </c>
      <c r="G32" s="23">
        <f>'Anx D'!D116</f>
        <v>184.96643800000004</v>
      </c>
      <c r="H32" s="23">
        <f>+F32</f>
        <v>4.3843000000000005</v>
      </c>
      <c r="I32" s="117"/>
      <c r="J32" s="807">
        <f t="shared" si="0"/>
        <v>180.58213800000004</v>
      </c>
      <c r="K32" s="808">
        <f t="shared" si="1"/>
        <v>0</v>
      </c>
      <c r="L32" s="271"/>
      <c r="M32" s="209">
        <f t="shared" si="2"/>
        <v>0</v>
      </c>
      <c r="N32" s="209"/>
      <c r="O32" s="209"/>
      <c r="P32" s="95"/>
      <c r="Q32" s="95"/>
      <c r="R32" s="95"/>
      <c r="S32" s="95"/>
      <c r="T32" s="95"/>
      <c r="U32" s="95"/>
    </row>
    <row r="33" spans="1:20" s="29" customFormat="1" ht="13.5" customHeight="1" x14ac:dyDescent="0.25">
      <c r="A33" s="20"/>
      <c r="B33" s="18"/>
      <c r="C33" s="18" t="s">
        <v>62</v>
      </c>
      <c r="D33" s="23">
        <f>D31-D32</f>
        <v>-1.5051355906500605</v>
      </c>
      <c r="E33" s="23">
        <f>E31-E32</f>
        <v>245.61324345828177</v>
      </c>
      <c r="F33" s="23">
        <f>F31-F32</f>
        <v>-1.5051355906500605</v>
      </c>
      <c r="G33" s="23">
        <f>G31-G32</f>
        <v>-283.31174734171793</v>
      </c>
      <c r="H33" s="23">
        <f>H31-H32</f>
        <v>-48.29630859065</v>
      </c>
      <c r="I33" s="117"/>
      <c r="J33" s="807">
        <f t="shared" si="0"/>
        <v>247.11837904893184</v>
      </c>
      <c r="K33" s="808">
        <f t="shared" si="1"/>
        <v>0</v>
      </c>
      <c r="L33" s="271"/>
      <c r="M33" s="209">
        <f t="shared" si="2"/>
        <v>0</v>
      </c>
      <c r="N33" s="209">
        <f>F32-D32</f>
        <v>0</v>
      </c>
      <c r="O33" s="209"/>
      <c r="P33" s="95"/>
      <c r="Q33" s="95"/>
      <c r="R33" s="95"/>
      <c r="S33" s="95"/>
      <c r="T33" s="95"/>
    </row>
    <row r="34" spans="1:20" s="29" customFormat="1" ht="13.5" customHeight="1" x14ac:dyDescent="0.25">
      <c r="A34" s="20"/>
      <c r="B34" s="18"/>
      <c r="C34" s="18" t="s">
        <v>58</v>
      </c>
      <c r="D34" s="23">
        <v>0</v>
      </c>
      <c r="E34" s="23">
        <f>0.0006+0.008+0.0025</f>
        <v>1.11E-2</v>
      </c>
      <c r="F34" s="23">
        <v>0</v>
      </c>
      <c r="G34" s="23">
        <f>E34</f>
        <v>1.11E-2</v>
      </c>
      <c r="H34" s="23">
        <f>0.008+0.0025</f>
        <v>1.0500000000000001E-2</v>
      </c>
      <c r="I34" s="117"/>
      <c r="J34" s="807">
        <f t="shared" si="0"/>
        <v>1.11E-2</v>
      </c>
      <c r="K34" s="808">
        <f t="shared" si="1"/>
        <v>0</v>
      </c>
      <c r="L34" s="271"/>
      <c r="M34" s="209">
        <f t="shared" si="2"/>
        <v>0</v>
      </c>
      <c r="N34" s="209"/>
      <c r="O34" s="209"/>
      <c r="P34" s="95"/>
      <c r="Q34" s="95"/>
      <c r="R34" s="95"/>
      <c r="S34" s="95"/>
      <c r="T34" s="95"/>
    </row>
    <row r="35" spans="1:20" s="29" customFormat="1" ht="13.5" customHeight="1" x14ac:dyDescent="0.25">
      <c r="A35" s="20"/>
      <c r="B35" s="18"/>
      <c r="C35" s="18" t="s">
        <v>63</v>
      </c>
      <c r="D35" s="23">
        <f>'Anx O'!C21</f>
        <v>4.4690000000000003</v>
      </c>
      <c r="E35" s="23">
        <f>'Anx O'!D21</f>
        <v>44.825280550000002</v>
      </c>
      <c r="F35" s="23">
        <f>'Anx O'!E21</f>
        <v>4.4690000000000003</v>
      </c>
      <c r="G35" s="23">
        <f>'Anx O'!D21</f>
        <v>44.825280550000002</v>
      </c>
      <c r="H35" s="23">
        <f>'Anx O'!E21</f>
        <v>4.4690000000000003</v>
      </c>
      <c r="I35" s="117"/>
      <c r="J35" s="807">
        <f t="shared" si="0"/>
        <v>40.356280550000001</v>
      </c>
      <c r="K35" s="808">
        <f t="shared" si="1"/>
        <v>0</v>
      </c>
      <c r="L35" s="271"/>
      <c r="M35" s="209">
        <f t="shared" si="2"/>
        <v>0</v>
      </c>
      <c r="N35" s="209"/>
      <c r="O35" s="209"/>
      <c r="P35" s="95"/>
      <c r="Q35" s="95"/>
      <c r="R35" s="95"/>
      <c r="S35" s="95"/>
      <c r="T35" s="95"/>
    </row>
    <row r="36" spans="1:20" s="29" customFormat="1" ht="15.95" customHeight="1" x14ac:dyDescent="0.25">
      <c r="A36" s="20"/>
      <c r="B36" s="18"/>
      <c r="C36" s="26" t="s">
        <v>732</v>
      </c>
      <c r="D36" s="857">
        <f>D33-D34+D35</f>
        <v>2.9638644093499398</v>
      </c>
      <c r="E36" s="857">
        <f>E33-E34+E35</f>
        <v>290.42742400828178</v>
      </c>
      <c r="F36" s="857">
        <f>F33-F34+F35</f>
        <v>2.9638644093499398</v>
      </c>
      <c r="G36" s="857">
        <f>G33-G34+G35</f>
        <v>-238.49756679171793</v>
      </c>
      <c r="H36" s="857">
        <f>H33-H34+H35</f>
        <v>-43.837808590649999</v>
      </c>
      <c r="I36" s="117"/>
      <c r="J36" s="807">
        <f t="shared" si="0"/>
        <v>287.46355959893185</v>
      </c>
      <c r="K36" s="808">
        <f t="shared" si="1"/>
        <v>0</v>
      </c>
      <c r="L36" s="271">
        <v>250.86600000000001</v>
      </c>
      <c r="M36" s="209">
        <f>F36-D36</f>
        <v>0</v>
      </c>
      <c r="N36" s="209"/>
      <c r="O36" s="95"/>
      <c r="P36" s="95"/>
      <c r="Q36" s="95"/>
      <c r="R36" s="95"/>
      <c r="S36" s="95"/>
      <c r="T36" s="95"/>
    </row>
    <row r="37" spans="1:20" s="29" customFormat="1" ht="15.95" customHeight="1" x14ac:dyDescent="0.25">
      <c r="A37" s="20"/>
      <c r="B37" s="18"/>
      <c r="C37" s="26" t="s">
        <v>72</v>
      </c>
      <c r="D37" s="94">
        <f>D36/D29</f>
        <v>6.3342383174491992E-2</v>
      </c>
      <c r="E37" s="94">
        <f>E36/E29</f>
        <v>8.2947906803452445E-2</v>
      </c>
      <c r="F37" s="94">
        <f>F36/F29</f>
        <v>6.3342383174491992E-2</v>
      </c>
      <c r="G37" s="94">
        <f>G36/G29</f>
        <v>-8.0237423207988906E-2</v>
      </c>
      <c r="H37" s="94" t="e">
        <f>H36/H29</f>
        <v>#DIV/0!</v>
      </c>
      <c r="I37" s="95"/>
      <c r="J37" s="807">
        <f>E37-D37</f>
        <v>1.9605523628960453E-2</v>
      </c>
      <c r="K37" s="808">
        <f>F37-D37</f>
        <v>0</v>
      </c>
      <c r="L37" s="271">
        <v>40.369</v>
      </c>
      <c r="M37" s="209"/>
      <c r="N37" s="209"/>
      <c r="O37" s="95"/>
      <c r="P37" s="95"/>
      <c r="Q37" s="95"/>
      <c r="R37" s="95"/>
      <c r="S37" s="95"/>
      <c r="T37" s="95"/>
    </row>
    <row r="38" spans="1:20" s="29" customFormat="1" ht="15.95" customHeight="1" x14ac:dyDescent="0.25">
      <c r="A38" s="20"/>
      <c r="B38" s="18"/>
      <c r="C38" s="26"/>
      <c r="D38" s="213"/>
      <c r="E38" s="213"/>
      <c r="F38" s="213"/>
      <c r="G38" s="213"/>
      <c r="H38" s="213"/>
      <c r="I38" s="95"/>
      <c r="J38" s="807"/>
      <c r="K38" s="808"/>
      <c r="L38" s="271"/>
      <c r="M38" s="209"/>
      <c r="N38" s="209"/>
      <c r="O38" s="95"/>
      <c r="P38" s="95"/>
      <c r="Q38" s="95"/>
      <c r="R38" s="95"/>
      <c r="S38" s="95"/>
      <c r="T38" s="95"/>
    </row>
    <row r="39" spans="1:20" s="29" customFormat="1" ht="15.95" customHeight="1" x14ac:dyDescent="0.25">
      <c r="A39" s="20"/>
      <c r="B39" s="18"/>
      <c r="C39" s="26"/>
      <c r="D39" s="213"/>
      <c r="E39" s="213"/>
      <c r="F39" s="213"/>
      <c r="G39" s="213"/>
      <c r="H39" s="213"/>
      <c r="I39" s="95"/>
      <c r="J39" s="807"/>
      <c r="K39" s="808"/>
      <c r="L39" s="271"/>
      <c r="M39" s="209"/>
      <c r="N39" s="209"/>
      <c r="O39" s="95"/>
      <c r="P39" s="95"/>
      <c r="Q39" s="95"/>
      <c r="R39" s="95"/>
      <c r="S39" s="95"/>
      <c r="T39" s="95"/>
    </row>
    <row r="40" spans="1:20" s="29" customFormat="1" ht="15.95" customHeight="1" thickBot="1" x14ac:dyDescent="0.3">
      <c r="A40" s="843"/>
      <c r="B40" s="81"/>
      <c r="C40" s="26"/>
      <c r="D40" s="213"/>
      <c r="E40" s="213"/>
      <c r="F40" s="213"/>
      <c r="G40" s="213"/>
      <c r="H40" s="213"/>
      <c r="I40" s="209"/>
      <c r="J40" s="209"/>
      <c r="K40" s="209"/>
      <c r="L40" s="271">
        <f>J36-L36</f>
        <v>36.597559598931838</v>
      </c>
      <c r="M40" s="209"/>
      <c r="N40" s="209"/>
      <c r="S40" s="281"/>
    </row>
    <row r="41" spans="1:20" s="29" customFormat="1" ht="15.95" customHeight="1" thickTop="1" thickBot="1" x14ac:dyDescent="0.3">
      <c r="A41" s="20"/>
      <c r="B41" s="18"/>
      <c r="C41" s="18"/>
      <c r="D41" s="1170" t="s">
        <v>53</v>
      </c>
      <c r="E41" s="1172"/>
      <c r="F41" s="1171"/>
      <c r="G41" s="1170" t="s">
        <v>56</v>
      </c>
      <c r="H41" s="1171"/>
      <c r="I41" s="95"/>
      <c r="J41" s="209"/>
      <c r="K41" s="209"/>
      <c r="L41" s="271"/>
      <c r="M41" s="209"/>
      <c r="N41" s="209"/>
      <c r="S41" s="281"/>
    </row>
    <row r="42" spans="1:20" s="29" customFormat="1" ht="30.75" customHeight="1" thickTop="1" thickBot="1" x14ac:dyDescent="0.3">
      <c r="A42" s="20"/>
      <c r="B42" s="18"/>
      <c r="D42" s="48" t="s">
        <v>54</v>
      </c>
      <c r="E42" s="48" t="s">
        <v>59</v>
      </c>
      <c r="F42" s="48" t="s">
        <v>237</v>
      </c>
      <c r="G42" s="241" t="s">
        <v>55</v>
      </c>
      <c r="H42" s="48" t="s">
        <v>59</v>
      </c>
      <c r="J42" s="209"/>
      <c r="L42" s="271"/>
      <c r="M42" s="209"/>
      <c r="N42" s="209"/>
      <c r="S42" s="281"/>
    </row>
    <row r="43" spans="1:20" s="29" customFormat="1" ht="15.95" customHeight="1" thickTop="1" x14ac:dyDescent="0.25">
      <c r="A43" s="20"/>
      <c r="B43" s="18"/>
      <c r="C43" s="81" t="s">
        <v>149</v>
      </c>
      <c r="D43" s="108"/>
      <c r="E43" s="108"/>
      <c r="F43" s="108"/>
      <c r="G43" s="108"/>
      <c r="H43" s="42"/>
      <c r="L43" s="271"/>
      <c r="M43" s="209"/>
      <c r="N43" s="209"/>
      <c r="S43" s="281"/>
    </row>
    <row r="44" spans="1:20" s="29" customFormat="1" ht="15.95" customHeight="1" x14ac:dyDescent="0.25">
      <c r="A44" s="20"/>
      <c r="B44" s="18"/>
      <c r="C44" s="21" t="s">
        <v>150</v>
      </c>
      <c r="D44" s="23">
        <f t="shared" ref="D44:F45" si="3">D26</f>
        <v>23.791172999999937</v>
      </c>
      <c r="E44" s="23">
        <f t="shared" si="3"/>
        <v>3288.8522719500002</v>
      </c>
      <c r="F44" s="23">
        <f t="shared" si="3"/>
        <v>23.791172999999937</v>
      </c>
      <c r="G44" s="23">
        <f>+G26</f>
        <v>2831.7464311500007</v>
      </c>
      <c r="H44" s="23">
        <f>+H26</f>
        <v>0</v>
      </c>
      <c r="I44" s="209"/>
      <c r="J44" s="35"/>
      <c r="K44" s="35"/>
      <c r="L44" s="271"/>
      <c r="M44" s="209"/>
      <c r="N44" s="209"/>
      <c r="S44" s="281"/>
    </row>
    <row r="45" spans="1:20" s="29" customFormat="1" ht="15.95" customHeight="1" x14ac:dyDescent="0.25">
      <c r="A45" s="20"/>
      <c r="B45" s="18"/>
      <c r="C45" s="21" t="s">
        <v>193</v>
      </c>
      <c r="D45" s="23">
        <f t="shared" si="3"/>
        <v>23</v>
      </c>
      <c r="E45" s="23">
        <f t="shared" si="3"/>
        <v>212.47085000000001</v>
      </c>
      <c r="F45" s="23">
        <f t="shared" si="3"/>
        <v>23</v>
      </c>
      <c r="G45" s="23">
        <f>+G27</f>
        <v>140.65170000000001</v>
      </c>
      <c r="H45" s="23">
        <f>+H27</f>
        <v>0</v>
      </c>
      <c r="I45" s="209"/>
      <c r="J45" s="35"/>
      <c r="L45" s="271"/>
      <c r="M45" s="209"/>
      <c r="N45" s="209"/>
      <c r="S45" s="281"/>
    </row>
    <row r="46" spans="1:20" s="29" customFormat="1" ht="15.95" customHeight="1" x14ac:dyDescent="0.25">
      <c r="A46" s="20"/>
      <c r="B46" s="18"/>
      <c r="C46" s="27" t="s">
        <v>192</v>
      </c>
      <c r="D46" s="82">
        <f>SUM(D44:D45)</f>
        <v>46.791172999999937</v>
      </c>
      <c r="E46" s="82">
        <f>SUM(E44:E45)</f>
        <v>3501.3231219500003</v>
      </c>
      <c r="F46" s="82">
        <f>SUM(F44:F45)</f>
        <v>46.791172999999937</v>
      </c>
      <c r="G46" s="82">
        <f>SUM(G44:G45)</f>
        <v>2972.3981311500006</v>
      </c>
      <c r="H46" s="202">
        <f>SUM(H44:H45)</f>
        <v>0</v>
      </c>
      <c r="I46" s="209"/>
      <c r="J46" s="35"/>
      <c r="L46" s="271"/>
      <c r="M46" s="209"/>
      <c r="N46" s="209"/>
      <c r="S46" s="281"/>
    </row>
    <row r="47" spans="1:20" s="29" customFormat="1" ht="15.95" customHeight="1" x14ac:dyDescent="0.25">
      <c r="A47" s="20"/>
      <c r="B47" s="18"/>
      <c r="C47" s="18" t="s">
        <v>57</v>
      </c>
      <c r="D47" s="23">
        <f>D46*89/100</f>
        <v>41.644143969999938</v>
      </c>
      <c r="E47" s="23">
        <f>E46*89/100</f>
        <v>3116.1775785355003</v>
      </c>
      <c r="F47" s="23">
        <f>F46*89/100</f>
        <v>41.644143969999938</v>
      </c>
      <c r="G47" s="23">
        <f>G46*89/100</f>
        <v>2645.4343367235006</v>
      </c>
      <c r="H47" s="23">
        <f>H46*89/100</f>
        <v>0</v>
      </c>
      <c r="J47" s="35"/>
      <c r="L47" s="271"/>
      <c r="M47" s="209"/>
      <c r="N47" s="209"/>
      <c r="S47" s="281"/>
    </row>
    <row r="48" spans="1:20" s="29" customFormat="1" ht="15.95" customHeight="1" x14ac:dyDescent="0.25">
      <c r="A48" s="20"/>
      <c r="B48" s="18"/>
      <c r="C48" s="18" t="s">
        <v>60</v>
      </c>
      <c r="D48" s="23">
        <f>D46-D47</f>
        <v>5.1470290299999988</v>
      </c>
      <c r="E48" s="23">
        <f>E46-E47</f>
        <v>385.14554341450003</v>
      </c>
      <c r="F48" s="23">
        <f>F46-F47</f>
        <v>5.1470290299999988</v>
      </c>
      <c r="G48" s="23">
        <f>G46-G47</f>
        <v>326.96379442650004</v>
      </c>
      <c r="H48" s="23">
        <f>H46-H47</f>
        <v>0</v>
      </c>
      <c r="J48" s="29">
        <f>100-11.55</f>
        <v>88.45</v>
      </c>
      <c r="L48" s="271"/>
      <c r="M48" s="209"/>
      <c r="N48" s="209"/>
      <c r="S48" s="281"/>
    </row>
    <row r="49" spans="1:19" s="29" customFormat="1" ht="15.95" customHeight="1" x14ac:dyDescent="0.25">
      <c r="A49" s="20"/>
      <c r="B49" s="18"/>
      <c r="C49" s="18" t="s">
        <v>277</v>
      </c>
      <c r="D49" s="22">
        <f>D48/D46</f>
        <v>0.11000000000000013</v>
      </c>
      <c r="E49" s="22">
        <f>E48/E46</f>
        <v>0.11</v>
      </c>
      <c r="F49" s="22">
        <f>F48/F46</f>
        <v>0.11000000000000013</v>
      </c>
      <c r="G49" s="22">
        <f>G48/G46</f>
        <v>0.10999999999999999</v>
      </c>
      <c r="H49" s="22" t="e">
        <f>H48/H46</f>
        <v>#DIV/0!</v>
      </c>
      <c r="L49" s="271"/>
      <c r="M49" s="209"/>
      <c r="N49" s="209"/>
      <c r="S49" s="281"/>
    </row>
    <row r="50" spans="1:19" s="29" customFormat="1" ht="15.95" customHeight="1" x14ac:dyDescent="0.25">
      <c r="A50" s="20"/>
      <c r="B50" s="18"/>
      <c r="C50" s="18" t="s">
        <v>58</v>
      </c>
      <c r="D50" s="23"/>
      <c r="E50" s="23"/>
      <c r="F50" s="23"/>
      <c r="G50" s="23"/>
      <c r="H50" s="23"/>
      <c r="L50" s="271"/>
      <c r="M50" s="209"/>
      <c r="N50" s="209"/>
      <c r="S50" s="281"/>
    </row>
    <row r="51" spans="1:19" s="29" customFormat="1" ht="15.95" customHeight="1" x14ac:dyDescent="0.25">
      <c r="A51" s="20"/>
      <c r="B51" s="18"/>
      <c r="C51" s="18" t="s">
        <v>63</v>
      </c>
      <c r="D51" s="23"/>
      <c r="E51" s="23"/>
      <c r="F51" s="23"/>
      <c r="G51" s="23"/>
      <c r="H51" s="23"/>
      <c r="L51" s="271"/>
      <c r="M51" s="209"/>
      <c r="N51" s="209"/>
      <c r="S51" s="281"/>
    </row>
    <row r="52" spans="1:19" s="29" customFormat="1" ht="15.95" customHeight="1" x14ac:dyDescent="0.25">
      <c r="A52" s="20"/>
      <c r="B52" s="18"/>
      <c r="C52" s="26" t="s">
        <v>71</v>
      </c>
      <c r="D52" s="82">
        <f>D48-D50+D51</f>
        <v>5.1470290299999988</v>
      </c>
      <c r="E52" s="82">
        <f>E48-E50+E51</f>
        <v>385.14554341450003</v>
      </c>
      <c r="F52" s="82">
        <f>F48-F50+F51</f>
        <v>5.1470290299999988</v>
      </c>
      <c r="G52" s="82">
        <f>G48-G50+G51</f>
        <v>326.96379442650004</v>
      </c>
      <c r="H52" s="82">
        <f>H48-H50+H51</f>
        <v>0</v>
      </c>
      <c r="L52" s="271"/>
      <c r="M52" s="209"/>
      <c r="N52" s="209"/>
      <c r="S52" s="281"/>
    </row>
    <row r="53" spans="1:19" s="29" customFormat="1" ht="15.95" customHeight="1" x14ac:dyDescent="0.25">
      <c r="A53" s="20"/>
      <c r="B53" s="18"/>
      <c r="C53" s="26" t="s">
        <v>253</v>
      </c>
      <c r="D53" s="94">
        <f>D52/D46</f>
        <v>0.11000000000000013</v>
      </c>
      <c r="E53" s="94">
        <f>E52/E46</f>
        <v>0.11</v>
      </c>
      <c r="F53" s="94">
        <f>+F52/F46</f>
        <v>0.11000000000000013</v>
      </c>
      <c r="G53" s="94">
        <f>+G52/G46</f>
        <v>0.10999999999999999</v>
      </c>
      <c r="H53" s="94" t="e">
        <f>+H52/H46</f>
        <v>#DIV/0!</v>
      </c>
      <c r="L53" s="271"/>
      <c r="M53" s="209"/>
      <c r="N53" s="209"/>
      <c r="S53" s="281"/>
    </row>
    <row r="54" spans="1:19" s="29" customFormat="1" ht="15.95" customHeight="1" x14ac:dyDescent="0.25">
      <c r="A54" s="20"/>
      <c r="B54" s="18"/>
      <c r="C54" s="26"/>
      <c r="D54" s="213"/>
      <c r="E54" s="213"/>
      <c r="F54" s="213"/>
      <c r="G54" s="213"/>
      <c r="H54" s="213"/>
      <c r="L54" s="271"/>
      <c r="M54" s="209"/>
      <c r="N54" s="209"/>
      <c r="S54" s="281"/>
    </row>
    <row r="55" spans="1:19" s="29" customFormat="1" ht="15.95" customHeight="1" x14ac:dyDescent="0.25">
      <c r="A55" s="20"/>
      <c r="B55" s="18"/>
      <c r="C55" s="26"/>
      <c r="D55" s="213"/>
      <c r="E55" s="224"/>
      <c r="F55" s="224"/>
      <c r="G55" s="224"/>
      <c r="H55" s="224"/>
      <c r="L55" s="271"/>
      <c r="M55" s="209"/>
      <c r="N55" s="209"/>
      <c r="S55" s="281"/>
    </row>
    <row r="56" spans="1:19" s="29" customFormat="1" ht="11.25" customHeight="1" x14ac:dyDescent="0.25">
      <c r="A56" s="32"/>
      <c r="C56" s="36"/>
      <c r="D56" s="37"/>
      <c r="E56" s="220"/>
      <c r="G56" s="37"/>
      <c r="H56" s="37"/>
      <c r="L56" s="271"/>
      <c r="M56" s="209"/>
      <c r="N56" s="209"/>
      <c r="S56" s="281"/>
    </row>
    <row r="57" spans="1:19" s="29" customFormat="1" ht="15.95" customHeight="1" x14ac:dyDescent="0.25">
      <c r="A57" s="31">
        <v>6</v>
      </c>
      <c r="B57" s="30" t="s">
        <v>218</v>
      </c>
      <c r="C57" s="30"/>
      <c r="D57" s="95"/>
      <c r="E57" s="95"/>
      <c r="F57" s="95"/>
      <c r="G57" s="95"/>
      <c r="L57" s="271"/>
      <c r="M57" s="209"/>
      <c r="N57" s="209"/>
      <c r="S57" s="281"/>
    </row>
    <row r="58" spans="1:19" s="29" customFormat="1" ht="18" customHeight="1" x14ac:dyDescent="0.25">
      <c r="A58" s="32"/>
      <c r="C58" s="205" t="s">
        <v>536</v>
      </c>
      <c r="E58" s="95"/>
      <c r="F58" s="95"/>
      <c r="G58" s="95"/>
      <c r="L58" s="271"/>
      <c r="S58" s="281"/>
    </row>
    <row r="59" spans="1:19" s="29" customFormat="1" x14ac:dyDescent="0.25">
      <c r="A59" s="32"/>
      <c r="B59" s="33"/>
      <c r="C59" s="1169"/>
      <c r="D59" s="1169"/>
      <c r="E59" s="1169"/>
      <c r="F59" s="1169"/>
      <c r="G59" s="1169"/>
      <c r="H59" s="1169"/>
      <c r="I59" s="1169"/>
      <c r="L59" s="271"/>
      <c r="S59" s="281"/>
    </row>
    <row r="60" spans="1:19" s="29" customFormat="1" x14ac:dyDescent="0.25">
      <c r="C60" s="36"/>
      <c r="E60" s="111"/>
      <c r="F60" s="111"/>
      <c r="G60" s="95"/>
      <c r="H60" s="95"/>
      <c r="L60" s="271"/>
      <c r="S60" s="281"/>
    </row>
    <row r="61" spans="1:19" ht="15" x14ac:dyDescent="0.2">
      <c r="C61" s="207"/>
    </row>
    <row r="62" spans="1:19" x14ac:dyDescent="0.2">
      <c r="C62" s="199"/>
      <c r="E62" s="208"/>
      <c r="F62" s="208"/>
    </row>
    <row r="63" spans="1:19" x14ac:dyDescent="0.2">
      <c r="C63" s="200"/>
      <c r="E63" s="204"/>
    </row>
    <row r="64" spans="1:19" x14ac:dyDescent="0.2">
      <c r="D64" s="211"/>
      <c r="E64" s="212"/>
      <c r="F64" s="212"/>
    </row>
    <row r="66" spans="4:6" x14ac:dyDescent="0.2">
      <c r="D66" s="208"/>
      <c r="E66" s="208"/>
      <c r="F66" s="208"/>
    </row>
    <row r="67" spans="4:6" x14ac:dyDescent="0.2">
      <c r="E67" s="208"/>
    </row>
  </sheetData>
  <mergeCells count="14">
    <mergeCell ref="A1:H1"/>
    <mergeCell ref="A2:H2"/>
    <mergeCell ref="A3:H3"/>
    <mergeCell ref="B4:C4"/>
    <mergeCell ref="B9:C9"/>
    <mergeCell ref="C59:I59"/>
    <mergeCell ref="G23:H23"/>
    <mergeCell ref="D23:F23"/>
    <mergeCell ref="B13:C13"/>
    <mergeCell ref="G9:H9"/>
    <mergeCell ref="E9:F9"/>
    <mergeCell ref="D41:F41"/>
    <mergeCell ref="G41:H41"/>
    <mergeCell ref="B22:F22"/>
  </mergeCells>
  <printOptions horizontalCentered="1"/>
  <pageMargins left="0.16" right="0.17" top="0.24" bottom="0.33" header="0.17" footer="0.18"/>
  <pageSetup paperSize="9" scale="82" orientation="portrait" r:id="rId1"/>
  <drawing r:id="rId2"/>
  <legacyDrawing r:id="rId3"/>
  <oleObjects>
    <mc:AlternateContent xmlns:mc="http://schemas.openxmlformats.org/markup-compatibility/2006">
      <mc:Choice Requires="x14">
        <oleObject progId="Word.Picture.8" shapeId="2049" r:id="rId4">
          <objectPr defaultSize="0" autoPict="0" r:id="rId5">
            <anchor moveWithCells="1" sizeWithCells="1">
              <from>
                <xdr:col>0</xdr:col>
                <xdr:colOff>0</xdr:colOff>
                <xdr:row>0</xdr:row>
                <xdr:rowOff>0</xdr:rowOff>
              </from>
              <to>
                <xdr:col>1</xdr:col>
                <xdr:colOff>38100</xdr:colOff>
                <xdr:row>1</xdr:row>
                <xdr:rowOff>161925</xdr:rowOff>
              </to>
            </anchor>
          </objectPr>
        </oleObject>
      </mc:Choice>
      <mc:Fallback>
        <oleObject progId="Word.Picture.8"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G67"/>
  <sheetViews>
    <sheetView view="pageBreakPreview" topLeftCell="A3" zoomScale="90" zoomScaleNormal="85" zoomScaleSheetLayoutView="90" workbookViewId="0">
      <selection activeCell="L26" sqref="L26"/>
    </sheetView>
  </sheetViews>
  <sheetFormatPr defaultColWidth="9.140625" defaultRowHeight="14.25" x14ac:dyDescent="0.25"/>
  <cols>
    <col min="1" max="1" width="8.85546875" style="42" customWidth="1"/>
    <col min="2" max="2" width="26.85546875" style="21" bestFit="1" customWidth="1"/>
    <col min="3" max="3" width="15.85546875" style="254" bestFit="1" customWidth="1"/>
    <col min="4" max="4" width="11.7109375" style="21" bestFit="1" customWidth="1"/>
    <col min="5" max="5" width="11.5703125" style="21" bestFit="1" customWidth="1"/>
    <col min="6" max="6" width="14.5703125" style="40" bestFit="1" customWidth="1"/>
    <col min="7" max="7" width="14" style="40" bestFit="1" customWidth="1"/>
    <col min="8" max="8" width="22.28515625" style="40" bestFit="1" customWidth="1"/>
    <col min="9" max="18" width="13.42578125" style="40" customWidth="1"/>
    <col min="19" max="19" width="11.140625" style="40" customWidth="1"/>
    <col min="20" max="20" width="15.28515625" style="40" customWidth="1"/>
    <col min="21" max="21" width="12.42578125" style="40" bestFit="1" customWidth="1"/>
    <col min="22" max="22" width="12.28515625" style="40" bestFit="1" customWidth="1"/>
    <col min="23" max="23" width="15.7109375" style="40" bestFit="1" customWidth="1"/>
    <col min="24" max="24" width="16.140625" style="40" customWidth="1"/>
    <col min="25" max="25" width="15.7109375" style="40" customWidth="1"/>
    <col min="26" max="26" width="11.42578125" style="40" bestFit="1" customWidth="1"/>
    <col min="27" max="27" width="14.42578125" style="40" bestFit="1" customWidth="1"/>
    <col min="28" max="28" width="19.5703125" style="184" bestFit="1" customWidth="1"/>
    <col min="29" max="29" width="9.28515625" style="184" bestFit="1" customWidth="1"/>
    <col min="30" max="30" width="9.42578125" style="40" bestFit="1" customWidth="1"/>
    <col min="31" max="16384" width="9.140625" style="40"/>
  </cols>
  <sheetData>
    <row r="1" spans="1:33" ht="15.75" x14ac:dyDescent="0.25">
      <c r="A1" s="1178" t="s">
        <v>6</v>
      </c>
      <c r="B1" s="1178"/>
      <c r="C1" s="1178"/>
      <c r="D1" s="1178"/>
      <c r="E1" s="1178"/>
      <c r="F1" s="1178"/>
      <c r="G1" s="1178"/>
      <c r="H1" s="1178"/>
      <c r="I1" s="946"/>
      <c r="J1" s="946"/>
      <c r="K1" s="946"/>
      <c r="L1" s="946"/>
      <c r="M1" s="946"/>
      <c r="N1" s="1079"/>
      <c r="O1" s="1079"/>
      <c r="P1" s="946"/>
      <c r="Q1" s="946"/>
      <c r="R1" s="946"/>
    </row>
    <row r="2" spans="1:33" ht="15.75" x14ac:dyDescent="0.25">
      <c r="A2" s="100"/>
      <c r="B2" s="100"/>
      <c r="C2" s="253"/>
      <c r="D2" s="100"/>
      <c r="E2" s="100"/>
      <c r="F2" s="100"/>
      <c r="G2" s="100"/>
      <c r="H2" s="103" t="str">
        <f>"MONTH - "&amp;Summary!$G$6</f>
        <v>MONTH - July 2025</v>
      </c>
      <c r="I2" s="944"/>
      <c r="J2" s="944"/>
      <c r="K2" s="944"/>
      <c r="L2" s="944"/>
      <c r="M2" s="944"/>
      <c r="N2" s="1078"/>
      <c r="O2" s="1078"/>
      <c r="P2" s="944"/>
      <c r="Q2" s="944"/>
      <c r="R2" s="944"/>
    </row>
    <row r="3" spans="1:33" ht="15.75" x14ac:dyDescent="0.25">
      <c r="A3" s="1179" t="s">
        <v>114</v>
      </c>
      <c r="B3" s="1179"/>
      <c r="C3" s="1179"/>
      <c r="D3" s="1179"/>
      <c r="E3" s="1179"/>
      <c r="F3" s="1179"/>
      <c r="G3" s="1179"/>
      <c r="H3" s="1179"/>
      <c r="I3" s="947"/>
      <c r="J3" s="947"/>
      <c r="K3" s="947"/>
      <c r="L3" s="947"/>
      <c r="M3" s="947"/>
      <c r="N3" s="1080"/>
      <c r="O3" s="1080"/>
      <c r="P3" s="947"/>
      <c r="Q3" s="947"/>
      <c r="R3" s="947"/>
      <c r="X3" s="739">
        <v>2147.97665985</v>
      </c>
      <c r="Y3" s="739">
        <v>599.68526729999996</v>
      </c>
      <c r="Z3" s="739">
        <v>2003.24293575</v>
      </c>
      <c r="AA3" s="739">
        <v>674.11987965000003</v>
      </c>
    </row>
    <row r="4" spans="1:33" ht="15.75" x14ac:dyDescent="0.25">
      <c r="A4" s="1179" t="str">
        <f>'Anx A'!A3:H3</f>
        <v xml:space="preserve">PMU NLC INFRA DEV WORKS at Chahar Bagh (RUDA ) </v>
      </c>
      <c r="B4" s="1179"/>
      <c r="C4" s="1179"/>
      <c r="D4" s="1179"/>
      <c r="E4" s="1179"/>
      <c r="F4" s="1179"/>
      <c r="G4" s="1179"/>
      <c r="H4" s="1179"/>
      <c r="I4" s="947"/>
      <c r="J4" s="947"/>
      <c r="K4" s="947"/>
      <c r="L4" s="947"/>
      <c r="M4" s="947"/>
      <c r="N4" s="1080"/>
      <c r="O4" s="1080"/>
      <c r="P4" s="947"/>
      <c r="Q4" s="947"/>
      <c r="R4" s="947"/>
    </row>
    <row r="5" spans="1:33" ht="15" thickBot="1" x14ac:dyDescent="0.3">
      <c r="A5" s="46"/>
      <c r="B5" s="46"/>
      <c r="C5" s="252"/>
      <c r="D5" s="46"/>
      <c r="E5" s="46"/>
      <c r="F5" s="46"/>
      <c r="G5" s="46"/>
      <c r="H5" s="46"/>
      <c r="I5" s="46"/>
      <c r="J5" s="46"/>
      <c r="K5" s="46"/>
      <c r="L5" s="46"/>
      <c r="M5" s="46"/>
      <c r="N5" s="46"/>
      <c r="O5" s="46"/>
      <c r="P5" s="46"/>
      <c r="Q5" s="46"/>
      <c r="R5" s="46"/>
      <c r="T5" s="89">
        <f>248.412-T6</f>
        <v>14.800000000000011</v>
      </c>
      <c r="V5" s="40">
        <v>453.46899999999999</v>
      </c>
      <c r="W5" s="160"/>
      <c r="X5" s="89"/>
      <c r="Y5" s="89"/>
      <c r="Z5" s="89"/>
      <c r="AA5" s="89"/>
    </row>
    <row r="6" spans="1:33" s="42" customFormat="1" ht="21.75" customHeight="1" thickTop="1" thickBot="1" x14ac:dyDescent="0.3">
      <c r="A6" s="1181" t="s">
        <v>258</v>
      </c>
      <c r="B6" s="1181" t="s">
        <v>8</v>
      </c>
      <c r="C6" s="1183" t="s">
        <v>9</v>
      </c>
      <c r="D6" s="1184"/>
      <c r="E6" s="1184"/>
      <c r="F6" s="1184"/>
      <c r="G6" s="1184"/>
      <c r="H6" s="1184"/>
      <c r="I6" s="1187" t="s">
        <v>312</v>
      </c>
      <c r="J6" s="1188"/>
      <c r="K6" s="1188"/>
      <c r="L6" s="1188"/>
      <c r="M6" s="1189"/>
      <c r="N6" s="1185" t="s">
        <v>935</v>
      </c>
      <c r="O6" s="1186"/>
      <c r="P6" s="1185" t="s">
        <v>934</v>
      </c>
      <c r="Q6" s="1186"/>
      <c r="R6" s="964"/>
      <c r="T6" s="49">
        <f>10.998+222.614</f>
        <v>233.61199999999999</v>
      </c>
      <c r="V6" s="42">
        <v>100.739</v>
      </c>
      <c r="AB6" s="151"/>
      <c r="AC6" s="151"/>
    </row>
    <row r="7" spans="1:33" s="42" customFormat="1" ht="72" customHeight="1" thickTop="1" thickBot="1" x14ac:dyDescent="0.3">
      <c r="A7" s="1182"/>
      <c r="B7" s="1182"/>
      <c r="C7" s="652" t="s">
        <v>194</v>
      </c>
      <c r="D7" s="201" t="s">
        <v>42</v>
      </c>
      <c r="E7" s="201" t="s">
        <v>182</v>
      </c>
      <c r="F7" s="201" t="s">
        <v>181</v>
      </c>
      <c r="G7" s="1038" t="s">
        <v>65</v>
      </c>
      <c r="H7" s="971" t="s">
        <v>64</v>
      </c>
      <c r="I7" s="975" t="s">
        <v>42</v>
      </c>
      <c r="J7" s="948" t="s">
        <v>182</v>
      </c>
      <c r="K7" s="948" t="s">
        <v>181</v>
      </c>
      <c r="L7" s="948" t="s">
        <v>65</v>
      </c>
      <c r="M7" s="976" t="s">
        <v>64</v>
      </c>
      <c r="N7" s="1119" t="s">
        <v>916</v>
      </c>
      <c r="O7" s="1120" t="s">
        <v>919</v>
      </c>
      <c r="P7" s="1119" t="s">
        <v>917</v>
      </c>
      <c r="Q7" s="1120" t="s">
        <v>918</v>
      </c>
      <c r="R7" s="964"/>
      <c r="T7" s="108"/>
      <c r="V7" s="42">
        <f>V5+V6</f>
        <v>554.20799999999997</v>
      </c>
      <c r="W7" s="42">
        <f>558.408</f>
        <v>558.40800000000002</v>
      </c>
      <c r="X7" s="789">
        <f>W7-V7</f>
        <v>4.2000000000000455</v>
      </c>
      <c r="Y7" s="789"/>
      <c r="AB7" s="151"/>
      <c r="AC7" s="151"/>
    </row>
    <row r="8" spans="1:33" s="42" customFormat="1" ht="15.75" x14ac:dyDescent="0.25">
      <c r="A8" s="257">
        <v>1</v>
      </c>
      <c r="B8" s="258" t="s">
        <v>397</v>
      </c>
      <c r="C8" s="596">
        <f>435.116-152.127</f>
        <v>282.98899999999998</v>
      </c>
      <c r="D8" s="248">
        <f>592.884-596.61</f>
        <v>-3.7259999999999991</v>
      </c>
      <c r="E8" s="1090">
        <f>D8+J8</f>
        <v>501.06278200000003</v>
      </c>
      <c r="F8" s="248">
        <f>D8</f>
        <v>-3.7259999999999991</v>
      </c>
      <c r="G8" s="768">
        <f>514.19-37.027</f>
        <v>477.16300000000007</v>
      </c>
      <c r="H8" s="969">
        <v>0</v>
      </c>
      <c r="I8" s="977">
        <v>4.2680000000000149</v>
      </c>
      <c r="J8" s="283">
        <v>504.78878200000003</v>
      </c>
      <c r="K8" s="283">
        <v>54.200782000000011</v>
      </c>
      <c r="L8" s="283">
        <v>477.16300000000007</v>
      </c>
      <c r="M8" s="978">
        <v>34.737943000000051</v>
      </c>
      <c r="N8" s="965">
        <f>'Anx C '!H8+'Anx C '!H9+'Anx C '!H10+'Anx C '!H11+'Anx C '!H12+'Anx C '!H13+'Anx C '!H15+'Anx C '!H16</f>
        <v>91.844999999999999</v>
      </c>
      <c r="O8" s="965">
        <f>N8+E8</f>
        <v>592.907782</v>
      </c>
      <c r="P8" s="965">
        <f>'Anx C '!J8+'Anx C '!J9+'Anx C '!J10+'Anx C '!J11+'Anx C '!J12+'Anx C '!J13+'Anx C '!J14+'Anx C '!J15+'Anx C '!J16+'Anx C '!J38+'Anx C '!J39</f>
        <v>108.11500000000001</v>
      </c>
      <c r="Q8" s="1071">
        <f>P8+G8</f>
        <v>585.27800000000002</v>
      </c>
      <c r="R8" s="965">
        <f>'Anx C '!H27+'Anx C '!H31+'Anx C '!H32+'Anx C '!H42+'Anx C '!H50+'Anx C '!H51</f>
        <v>56.466999999999999</v>
      </c>
      <c r="S8" s="145">
        <f>310.57+56.467</f>
        <v>367.03699999999998</v>
      </c>
      <c r="T8" s="151"/>
      <c r="U8" s="108">
        <v>500.520782</v>
      </c>
      <c r="V8" s="108">
        <v>49.932781999999996</v>
      </c>
      <c r="W8" s="108">
        <v>474.12904500000002</v>
      </c>
      <c r="X8" s="790">
        <v>31.703988000000003</v>
      </c>
      <c r="Y8" s="790">
        <f>E8-U8</f>
        <v>0.54200000000003001</v>
      </c>
      <c r="Z8" s="225">
        <f>F8-V8</f>
        <v>-53.658781999999995</v>
      </c>
      <c r="AA8" s="225">
        <f>G8-W8</f>
        <v>3.0339550000000486</v>
      </c>
      <c r="AB8" s="284">
        <f>H8-X8</f>
        <v>-31.703988000000003</v>
      </c>
      <c r="AC8" s="151"/>
    </row>
    <row r="9" spans="1:33" s="42" customFormat="1" ht="15.75" x14ac:dyDescent="0.25">
      <c r="A9" s="257">
        <f>A8+1</f>
        <v>2</v>
      </c>
      <c r="B9" s="258" t="s">
        <v>398</v>
      </c>
      <c r="C9" s="277">
        <v>341.57100000000003</v>
      </c>
      <c r="D9" s="248">
        <f>303.496-311.451</f>
        <v>-7.9550000000000409</v>
      </c>
      <c r="E9" s="1090">
        <f t="shared" ref="E9:E20" si="0">D9+J9</f>
        <v>278.68083000000001</v>
      </c>
      <c r="F9" s="248">
        <f t="shared" ref="F9:F20" si="1">D9</f>
        <v>-7.9550000000000409</v>
      </c>
      <c r="G9" s="768">
        <f>265.4+5.7103</f>
        <v>271.1103</v>
      </c>
      <c r="H9" s="969">
        <v>0</v>
      </c>
      <c r="I9" s="977">
        <v>14.736000000000047</v>
      </c>
      <c r="J9" s="283">
        <v>286.63583000000006</v>
      </c>
      <c r="K9" s="283">
        <v>144.45250800000005</v>
      </c>
      <c r="L9" s="283">
        <v>271.1103</v>
      </c>
      <c r="M9" s="978">
        <v>188.82371499999999</v>
      </c>
      <c r="N9" s="965">
        <f>'Anx C '!H28+'Anx C '!H29+'Anx C '!H30+'Anx C '!H55</f>
        <v>24.814941999999999</v>
      </c>
      <c r="O9" s="965">
        <f t="shared" ref="O9:O14" si="2">N9+E9</f>
        <v>303.49577199999999</v>
      </c>
      <c r="P9" s="965">
        <f>'Anx C '!J28+'Anx C '!J29+'Anx C '!J30+'Anx C '!J55</f>
        <v>24.814941999999999</v>
      </c>
      <c r="Q9" s="965">
        <f t="shared" ref="Q9:Q20" si="3">P9+G9</f>
        <v>295.92524199999997</v>
      </c>
      <c r="R9" s="965"/>
      <c r="S9" s="145"/>
      <c r="T9" s="151"/>
      <c r="U9" s="42">
        <v>260.39983000000001</v>
      </c>
      <c r="V9" s="686">
        <v>118.216508</v>
      </c>
      <c r="W9" s="108">
        <v>237.411326</v>
      </c>
      <c r="X9" s="790">
        <v>155.124741</v>
      </c>
      <c r="Y9" s="790">
        <f t="shared" ref="Y9:Y20" si="4">E9-U9</f>
        <v>18.281000000000006</v>
      </c>
      <c r="Z9" s="225">
        <f t="shared" ref="Z9:Z20" si="5">F9-V9</f>
        <v>-126.17150800000005</v>
      </c>
      <c r="AA9" s="225">
        <f t="shared" ref="AA9:AA20" si="6">G9-W9</f>
        <v>33.698973999999993</v>
      </c>
      <c r="AB9" s="284">
        <f t="shared" ref="AB9:AB20" si="7">H9-X9</f>
        <v>-155.124741</v>
      </c>
      <c r="AC9" s="151"/>
      <c r="AD9" s="225"/>
      <c r="AE9" s="225"/>
      <c r="AF9" s="225"/>
      <c r="AG9" s="225"/>
    </row>
    <row r="10" spans="1:33" s="42" customFormat="1" ht="31.5" x14ac:dyDescent="0.25">
      <c r="A10" s="257">
        <f t="shared" ref="A10:A18" si="8">A9+1</f>
        <v>3</v>
      </c>
      <c r="B10" s="258" t="s">
        <v>399</v>
      </c>
      <c r="C10" s="277">
        <v>596.16099999999994</v>
      </c>
      <c r="D10" s="248">
        <f>541.475-601.072-10</f>
        <v>-69.59699999999998</v>
      </c>
      <c r="E10" s="1090">
        <f t="shared" si="0"/>
        <v>475.00782500000003</v>
      </c>
      <c r="F10" s="248">
        <f t="shared" si="1"/>
        <v>-69.59699999999998</v>
      </c>
      <c r="G10" s="970">
        <f>479.522-168.952+0.735</f>
        <v>311.30500000000001</v>
      </c>
      <c r="H10" s="969">
        <v>0</v>
      </c>
      <c r="I10" s="977">
        <v>204.13499999999999</v>
      </c>
      <c r="J10" s="283">
        <v>544.60482500000001</v>
      </c>
      <c r="K10" s="283">
        <v>515.05129800000009</v>
      </c>
      <c r="L10" s="283">
        <v>311.30500000000001</v>
      </c>
      <c r="M10" s="978">
        <v>286.02999899999998</v>
      </c>
      <c r="N10" s="965">
        <f>'Anx C '!H27+'Anx C '!H31+'Anx C '!H32+'Anx C '!H42+'Anx C '!H50+'Anx C '!H51</f>
        <v>56.466999999999999</v>
      </c>
      <c r="O10" s="965">
        <f t="shared" si="2"/>
        <v>531.47482500000001</v>
      </c>
      <c r="P10" s="965">
        <f>'Anx C '!J27+'Anx C '!J31+'Anx C '!J32+'Anx C '!J42+'Anx C '!J50+'Anx C '!J51</f>
        <v>56.078000000000003</v>
      </c>
      <c r="Q10" s="965">
        <f t="shared" si="3"/>
        <v>367.38300000000004</v>
      </c>
      <c r="R10" s="965">
        <f>Q10-E10</f>
        <v>-107.62482499999999</v>
      </c>
      <c r="S10" s="466"/>
      <c r="T10" s="436"/>
      <c r="U10" s="42">
        <v>259.46982500000001</v>
      </c>
      <c r="V10" s="42">
        <v>229.91629800000004</v>
      </c>
      <c r="W10" s="108">
        <v>238.46961900000002</v>
      </c>
      <c r="X10" s="790">
        <v>213.19461799999999</v>
      </c>
      <c r="Y10" s="790">
        <f t="shared" si="4"/>
        <v>215.53800000000001</v>
      </c>
      <c r="Z10" s="225">
        <f t="shared" si="5"/>
        <v>-299.51329800000002</v>
      </c>
      <c r="AA10" s="225">
        <f t="shared" si="6"/>
        <v>72.835380999999984</v>
      </c>
      <c r="AB10" s="284">
        <f t="shared" si="7"/>
        <v>-213.19461799999999</v>
      </c>
      <c r="AC10" s="151"/>
      <c r="AD10" s="225"/>
      <c r="AE10" s="225"/>
      <c r="AF10" s="225"/>
      <c r="AG10" s="225"/>
    </row>
    <row r="11" spans="1:33" s="42" customFormat="1" ht="15.75" x14ac:dyDescent="0.25">
      <c r="A11" s="257">
        <f t="shared" si="8"/>
        <v>4</v>
      </c>
      <c r="B11" s="258" t="s">
        <v>400</v>
      </c>
      <c r="C11" s="277">
        <v>462.18299999999999</v>
      </c>
      <c r="D11" s="248">
        <f>357.405-356.522</f>
        <v>0.88299999999998136</v>
      </c>
      <c r="E11" s="1090">
        <f t="shared" si="0"/>
        <v>357.40499999999992</v>
      </c>
      <c r="F11" s="248">
        <f t="shared" si="1"/>
        <v>0.88299999999998136</v>
      </c>
      <c r="G11" s="970">
        <v>354.03699999999998</v>
      </c>
      <c r="H11" s="1036">
        <v>0</v>
      </c>
      <c r="I11" s="979"/>
      <c r="J11" s="970">
        <v>356.52199999999993</v>
      </c>
      <c r="K11" s="970">
        <v>8.7360000000000007</v>
      </c>
      <c r="L11" s="970">
        <v>354.03699999999998</v>
      </c>
      <c r="M11" s="980">
        <v>6.2509999999999764</v>
      </c>
      <c r="N11" s="968"/>
      <c r="O11" s="965">
        <f t="shared" si="2"/>
        <v>357.40499999999992</v>
      </c>
      <c r="P11" s="968">
        <v>0</v>
      </c>
      <c r="Q11" s="965">
        <f t="shared" si="3"/>
        <v>354.03699999999998</v>
      </c>
      <c r="R11" s="968"/>
      <c r="S11" s="466"/>
      <c r="T11" s="436"/>
      <c r="U11" s="42">
        <v>356.52199999999993</v>
      </c>
      <c r="V11" s="42">
        <v>8.7360000000000007</v>
      </c>
      <c r="W11" s="108">
        <v>347.786</v>
      </c>
      <c r="X11" s="790">
        <v>0</v>
      </c>
      <c r="Y11" s="790">
        <f t="shared" si="4"/>
        <v>0.88299999999998136</v>
      </c>
      <c r="Z11" s="225">
        <f t="shared" si="5"/>
        <v>-7.8530000000000193</v>
      </c>
      <c r="AA11" s="225">
        <f t="shared" si="6"/>
        <v>6.2509999999999764</v>
      </c>
      <c r="AB11" s="284">
        <f t="shared" si="7"/>
        <v>0</v>
      </c>
      <c r="AC11" s="151"/>
      <c r="AD11" s="225"/>
      <c r="AE11" s="225"/>
      <c r="AF11" s="225"/>
      <c r="AG11" s="225"/>
    </row>
    <row r="12" spans="1:33" s="42" customFormat="1" ht="15.75" x14ac:dyDescent="0.25">
      <c r="A12" s="257">
        <f t="shared" si="8"/>
        <v>5</v>
      </c>
      <c r="B12" s="258" t="s">
        <v>401</v>
      </c>
      <c r="C12" s="277">
        <v>134.75700000000001</v>
      </c>
      <c r="D12" s="265">
        <f>44.861-46.664</f>
        <v>-1.8030000000000044</v>
      </c>
      <c r="E12" s="1090">
        <f t="shared" si="0"/>
        <v>24.409666999999999</v>
      </c>
      <c r="F12" s="248">
        <f t="shared" si="1"/>
        <v>-1.8030000000000044</v>
      </c>
      <c r="G12" s="970">
        <f>22.895203-20.451</f>
        <v>2.4442029999999981</v>
      </c>
      <c r="H12" s="969">
        <v>0</v>
      </c>
      <c r="I12" s="977">
        <v>-17.286999999999999</v>
      </c>
      <c r="J12" s="283">
        <v>26.212667000000003</v>
      </c>
      <c r="K12" s="283">
        <v>19.798068000000001</v>
      </c>
      <c r="L12" s="283">
        <v>2.4442029999999981</v>
      </c>
      <c r="M12" s="978">
        <v>2.4442029999999981</v>
      </c>
      <c r="N12" s="965">
        <f>'Anx C '!H45+'Anx C '!H40</f>
        <v>20.451000000000001</v>
      </c>
      <c r="O12" s="965">
        <f t="shared" si="2"/>
        <v>44.860666999999999</v>
      </c>
      <c r="P12" s="965">
        <f>'Anx C '!J40+'Anx C '!J45</f>
        <v>20.451000000000001</v>
      </c>
      <c r="Q12" s="965">
        <f t="shared" si="3"/>
        <v>22.895202999999999</v>
      </c>
      <c r="R12" s="965"/>
      <c r="S12" s="466"/>
      <c r="T12" s="466"/>
      <c r="U12" s="42">
        <v>21.625667</v>
      </c>
      <c r="V12" s="42">
        <v>15.211068000000001</v>
      </c>
      <c r="W12" s="108">
        <v>8.2070000000000007</v>
      </c>
      <c r="X12" s="790">
        <v>8.2070000000000007</v>
      </c>
      <c r="Y12" s="790">
        <f t="shared" si="4"/>
        <v>2.7839999999999989</v>
      </c>
      <c r="Z12" s="225">
        <f t="shared" si="5"/>
        <v>-17.014068000000005</v>
      </c>
      <c r="AA12" s="225">
        <f t="shared" si="6"/>
        <v>-5.7627970000000026</v>
      </c>
      <c r="AB12" s="284">
        <f t="shared" si="7"/>
        <v>-8.2070000000000007</v>
      </c>
      <c r="AC12" s="151"/>
      <c r="AD12" s="225"/>
      <c r="AE12" s="225"/>
      <c r="AF12" s="225"/>
      <c r="AG12" s="225"/>
    </row>
    <row r="13" spans="1:33" s="42" customFormat="1" ht="15.75" x14ac:dyDescent="0.25">
      <c r="A13" s="257">
        <f t="shared" si="8"/>
        <v>6</v>
      </c>
      <c r="B13" s="258" t="s">
        <v>402</v>
      </c>
      <c r="C13" s="277">
        <v>176.20699999999999</v>
      </c>
      <c r="D13" s="248">
        <f>107.628-108.901</f>
        <v>-1.2729999999999961</v>
      </c>
      <c r="E13" s="1090">
        <f t="shared" si="0"/>
        <v>40.997465000000027</v>
      </c>
      <c r="F13" s="248">
        <f t="shared" si="1"/>
        <v>-1.2729999999999961</v>
      </c>
      <c r="G13" s="970">
        <f>98.52543-69.536</f>
        <v>28.989429999999999</v>
      </c>
      <c r="H13" s="969">
        <v>0</v>
      </c>
      <c r="I13" s="977">
        <v>-12.542999999999992</v>
      </c>
      <c r="J13" s="283">
        <v>42.270465000000023</v>
      </c>
      <c r="K13" s="283">
        <v>-15.336534999999984</v>
      </c>
      <c r="L13" s="283">
        <v>28.989429999999999</v>
      </c>
      <c r="M13" s="978">
        <v>-6.4025699999999919</v>
      </c>
      <c r="N13" s="965">
        <f>'Anx C '!H19+'Anx C '!H21+'Anx C '!H22+'Anx C '!H23+'Anx C '!H36+'Anx C '!H44+'Anx C '!H49+'Anx C '!H53+'Anx C '!H54</f>
        <v>66.63</v>
      </c>
      <c r="O13" s="965">
        <f t="shared" si="2"/>
        <v>107.62746500000003</v>
      </c>
      <c r="P13" s="965">
        <f>'Anx C '!J19+'Anx C '!J21+'Anx C '!J22+'Anx C '!J23+'Anx C '!J36+'Anx C '!J44+'Anx C '!J49+'Anx C '!J53+'Anx C '!J54</f>
        <v>69.536000000000001</v>
      </c>
      <c r="Q13" s="965">
        <f t="shared" si="3"/>
        <v>98.52543</v>
      </c>
      <c r="R13" s="965">
        <f>41+10</f>
        <v>51</v>
      </c>
      <c r="S13" s="466"/>
      <c r="T13" s="436"/>
      <c r="U13" s="42">
        <v>70.991465000000005</v>
      </c>
      <c r="V13" s="42">
        <v>13.384464999999999</v>
      </c>
      <c r="W13" s="108">
        <v>46.936999999999991</v>
      </c>
      <c r="X13" s="790">
        <v>11.545</v>
      </c>
      <c r="Y13" s="790">
        <f t="shared" si="4"/>
        <v>-29.993999999999978</v>
      </c>
      <c r="Z13" s="225">
        <f t="shared" si="5"/>
        <v>-14.657464999999995</v>
      </c>
      <c r="AA13" s="225">
        <f t="shared" si="6"/>
        <v>-17.947569999999992</v>
      </c>
      <c r="AB13" s="284">
        <f t="shared" si="7"/>
        <v>-11.545</v>
      </c>
      <c r="AC13" s="151"/>
      <c r="AD13" s="225"/>
      <c r="AE13" s="225"/>
      <c r="AF13" s="225"/>
      <c r="AG13" s="225"/>
    </row>
    <row r="14" spans="1:33" s="42" customFormat="1" ht="15.75" x14ac:dyDescent="0.25">
      <c r="A14" s="257">
        <f t="shared" si="8"/>
        <v>7</v>
      </c>
      <c r="B14" s="1122" t="s">
        <v>403</v>
      </c>
      <c r="C14" s="277">
        <f>418.242-201.86</f>
        <v>216.38200000000001</v>
      </c>
      <c r="D14" s="248">
        <f>544.16-545.827-0.591</f>
        <v>-2.2580000000000302</v>
      </c>
      <c r="E14" s="1090">
        <f t="shared" si="0"/>
        <v>462.92792499999996</v>
      </c>
      <c r="F14" s="248">
        <f t="shared" si="1"/>
        <v>-2.2580000000000302</v>
      </c>
      <c r="G14" s="768">
        <f>445.645-23.612+19.428</f>
        <v>441.46099999999996</v>
      </c>
      <c r="H14" s="969">
        <v>0</v>
      </c>
      <c r="I14" s="977">
        <v>19.541000000000054</v>
      </c>
      <c r="J14" s="283">
        <v>465.185925</v>
      </c>
      <c r="K14" s="283">
        <v>196.79944700000004</v>
      </c>
      <c r="L14" s="283">
        <v>441.46099999999996</v>
      </c>
      <c r="M14" s="978">
        <v>252.39090699999991</v>
      </c>
      <c r="N14" s="965">
        <f>'Anx C '!H24+'Anx C '!H25+'Anx C '!H26+'Anx C '!H33+'Anx C '!H34</f>
        <v>81.232260000000011</v>
      </c>
      <c r="O14" s="965">
        <f t="shared" si="2"/>
        <v>544.16018499999996</v>
      </c>
      <c r="P14" s="965">
        <f>'Anx C '!J24+'Anx C '!J25+'Anx C '!J26</f>
        <v>61.213000000000008</v>
      </c>
      <c r="Q14" s="965">
        <f t="shared" si="3"/>
        <v>502.67399999999998</v>
      </c>
      <c r="R14" s="965"/>
      <c r="S14" s="466"/>
      <c r="T14" s="436"/>
      <c r="U14" s="108">
        <v>446.74592499999994</v>
      </c>
      <c r="V14" s="709">
        <v>178.35944699999999</v>
      </c>
      <c r="W14" s="108">
        <v>418.53185500000001</v>
      </c>
      <c r="X14" s="790">
        <v>229.46176199999996</v>
      </c>
      <c r="Y14" s="790">
        <f t="shared" si="4"/>
        <v>16.182000000000016</v>
      </c>
      <c r="Z14" s="225">
        <f t="shared" si="5"/>
        <v>-180.61744700000003</v>
      </c>
      <c r="AA14" s="225">
        <f t="shared" si="6"/>
        <v>22.929144999999949</v>
      </c>
      <c r="AB14" s="284">
        <f t="shared" si="7"/>
        <v>-229.46176199999996</v>
      </c>
      <c r="AC14" s="151"/>
      <c r="AD14" s="225"/>
      <c r="AE14" s="225"/>
      <c r="AF14" s="225"/>
      <c r="AG14" s="225"/>
    </row>
    <row r="15" spans="1:33" s="42" customFormat="1" ht="15.75" x14ac:dyDescent="0.25">
      <c r="A15" s="257">
        <f t="shared" si="8"/>
        <v>8</v>
      </c>
      <c r="B15" s="258" t="s">
        <v>404</v>
      </c>
      <c r="C15" s="277">
        <v>110.538</v>
      </c>
      <c r="D15" s="248">
        <f>49.105-49.066</f>
        <v>3.8999999999994373E-2</v>
      </c>
      <c r="E15" s="1090">
        <f t="shared" si="0"/>
        <v>49.104513999999988</v>
      </c>
      <c r="F15" s="248">
        <f t="shared" si="1"/>
        <v>3.8999999999994373E-2</v>
      </c>
      <c r="G15" s="768">
        <f>49.066-25.651</f>
        <v>23.415000000000003</v>
      </c>
      <c r="H15" s="969">
        <v>0</v>
      </c>
      <c r="I15" s="977">
        <v>0</v>
      </c>
      <c r="J15" s="283">
        <v>49.065513999999993</v>
      </c>
      <c r="K15" s="283">
        <v>31.998674999999999</v>
      </c>
      <c r="L15" s="283">
        <v>23.415000000000003</v>
      </c>
      <c r="M15" s="978">
        <v>11.432664000000003</v>
      </c>
      <c r="N15" s="965"/>
      <c r="O15" s="965">
        <f t="shared" ref="O15:O20" si="9">N15+E15</f>
        <v>49.104513999999988</v>
      </c>
      <c r="P15" s="965">
        <v>0</v>
      </c>
      <c r="Q15" s="965">
        <f t="shared" si="3"/>
        <v>23.415000000000003</v>
      </c>
      <c r="R15" s="965"/>
      <c r="S15" s="466"/>
      <c r="T15" s="436"/>
      <c r="U15" s="42">
        <v>46.834513999999999</v>
      </c>
      <c r="V15" s="42">
        <v>29.767675000000001</v>
      </c>
      <c r="W15" s="108">
        <v>22.470696</v>
      </c>
      <c r="X15" s="790">
        <v>10.48836</v>
      </c>
      <c r="Y15" s="790">
        <f t="shared" si="4"/>
        <v>2.2699999999999889</v>
      </c>
      <c r="Z15" s="225">
        <f t="shared" si="5"/>
        <v>-29.728675000000006</v>
      </c>
      <c r="AA15" s="225">
        <f t="shared" si="6"/>
        <v>0.94430400000000247</v>
      </c>
      <c r="AB15" s="284">
        <f t="shared" si="7"/>
        <v>-10.48836</v>
      </c>
      <c r="AC15" s="151"/>
      <c r="AD15" s="225"/>
      <c r="AE15" s="225"/>
      <c r="AF15" s="225"/>
      <c r="AG15" s="225"/>
    </row>
    <row r="16" spans="1:33" s="42" customFormat="1" ht="15.75" x14ac:dyDescent="0.25">
      <c r="A16" s="257">
        <f t="shared" si="8"/>
        <v>9</v>
      </c>
      <c r="B16" s="258" t="s">
        <v>405</v>
      </c>
      <c r="C16" s="277">
        <v>113.27800000000001</v>
      </c>
      <c r="D16" s="248">
        <f>61.419-61.418</f>
        <v>9.9999999999766942E-4</v>
      </c>
      <c r="E16" s="1090">
        <f t="shared" si="0"/>
        <v>53.969582999999993</v>
      </c>
      <c r="F16" s="248">
        <f t="shared" si="1"/>
        <v>9.9999999999766942E-4</v>
      </c>
      <c r="G16" s="970">
        <f>36.936358-7.449</f>
        <v>29.487358</v>
      </c>
      <c r="H16" s="969">
        <v>0</v>
      </c>
      <c r="I16" s="977">
        <v>20</v>
      </c>
      <c r="J16" s="283">
        <v>53.968582999999995</v>
      </c>
      <c r="K16" s="283">
        <v>46.765582999999999</v>
      </c>
      <c r="L16" s="283">
        <v>29.487358</v>
      </c>
      <c r="M16" s="978">
        <v>29.487358</v>
      </c>
      <c r="N16" s="965">
        <f>'Anx C '!H41</f>
        <v>7.4489999999999998</v>
      </c>
      <c r="O16" s="965">
        <f t="shared" si="9"/>
        <v>61.418582999999991</v>
      </c>
      <c r="P16" s="965">
        <f>'Anx C '!J41</f>
        <v>7.4489999999999998</v>
      </c>
      <c r="Q16" s="965">
        <f t="shared" si="3"/>
        <v>36.936357999999998</v>
      </c>
      <c r="R16" s="965"/>
      <c r="S16" s="466"/>
      <c r="T16" s="436"/>
      <c r="U16" s="42">
        <v>36.855582999999996</v>
      </c>
      <c r="V16" s="42">
        <v>29.652583</v>
      </c>
      <c r="W16" s="108">
        <v>29.487000000000002</v>
      </c>
      <c r="X16" s="790">
        <v>29.487000000000002</v>
      </c>
      <c r="Y16" s="790">
        <f t="shared" si="4"/>
        <v>17.113999999999997</v>
      </c>
      <c r="Z16" s="225">
        <f t="shared" si="5"/>
        <v>-29.651583000000002</v>
      </c>
      <c r="AA16" s="225">
        <f t="shared" si="6"/>
        <v>3.5799999999852616E-4</v>
      </c>
      <c r="AB16" s="284">
        <f t="shared" si="7"/>
        <v>-29.487000000000002</v>
      </c>
      <c r="AC16" s="151"/>
      <c r="AD16" s="225"/>
      <c r="AE16" s="225"/>
      <c r="AF16" s="225"/>
      <c r="AG16" s="225"/>
    </row>
    <row r="17" spans="1:33" s="42" customFormat="1" ht="15.75" x14ac:dyDescent="0.25">
      <c r="A17" s="257">
        <f t="shared" si="8"/>
        <v>10</v>
      </c>
      <c r="B17" s="1122" t="s">
        <v>406</v>
      </c>
      <c r="C17" s="277">
        <f>41.334-24.897</f>
        <v>16.437000000000005</v>
      </c>
      <c r="D17" s="248">
        <f>85.159-111.977-1.63-1.482</f>
        <v>-29.929999999999996</v>
      </c>
      <c r="E17" s="1090">
        <f t="shared" si="0"/>
        <v>34.600466000000026</v>
      </c>
      <c r="F17" s="248">
        <f t="shared" si="1"/>
        <v>-29.929999999999996</v>
      </c>
      <c r="G17" s="970">
        <v>64.53</v>
      </c>
      <c r="H17" s="969">
        <v>0</v>
      </c>
      <c r="I17" s="977"/>
      <c r="J17" s="283">
        <v>64.530466000000018</v>
      </c>
      <c r="K17" s="283">
        <v>0.19800000000000217</v>
      </c>
      <c r="L17" s="283">
        <v>64.53</v>
      </c>
      <c r="M17" s="978">
        <v>-0.46699999999999253</v>
      </c>
      <c r="N17" s="965">
        <f>'Anx C '!H17+'Anx C '!H18+'Anx C '!H20+'Anx C '!H43</f>
        <v>21.46</v>
      </c>
      <c r="O17" s="965">
        <f t="shared" si="9"/>
        <v>56.060466000000027</v>
      </c>
      <c r="P17" s="965">
        <f>'Anx C '!J17+'Anx C '!J18+'Anx C '!J20+'Anx C '!J43</f>
        <v>21.460121000000001</v>
      </c>
      <c r="Q17" s="965">
        <f t="shared" si="3"/>
        <v>85.990121000000002</v>
      </c>
      <c r="R17" s="965"/>
      <c r="S17" s="466"/>
      <c r="T17" s="436"/>
      <c r="U17" s="42">
        <v>73.57046600000001</v>
      </c>
      <c r="V17" s="42">
        <v>9.2379999999999995</v>
      </c>
      <c r="W17" s="108">
        <v>64.331999999999994</v>
      </c>
      <c r="X17" s="790">
        <v>-0.66500000000000004</v>
      </c>
      <c r="Y17" s="790">
        <f t="shared" si="4"/>
        <v>-38.969999999999985</v>
      </c>
      <c r="Z17" s="225">
        <f t="shared" si="5"/>
        <v>-39.167999999999992</v>
      </c>
      <c r="AA17" s="225">
        <f t="shared" si="6"/>
        <v>0.1980000000000075</v>
      </c>
      <c r="AB17" s="284">
        <f t="shared" si="7"/>
        <v>0.66500000000000004</v>
      </c>
      <c r="AC17" s="151"/>
      <c r="AD17" s="225"/>
      <c r="AE17" s="225"/>
      <c r="AF17" s="225"/>
      <c r="AG17" s="225"/>
    </row>
    <row r="18" spans="1:33" s="42" customFormat="1" ht="15.75" x14ac:dyDescent="0.25">
      <c r="A18" s="257">
        <f t="shared" si="8"/>
        <v>11</v>
      </c>
      <c r="B18" s="258" t="s">
        <v>407</v>
      </c>
      <c r="C18" s="277">
        <v>60.337000000000003</v>
      </c>
      <c r="D18" s="265">
        <v>0</v>
      </c>
      <c r="E18" s="1035">
        <f t="shared" si="0"/>
        <v>0</v>
      </c>
      <c r="F18" s="248">
        <f t="shared" si="1"/>
        <v>0</v>
      </c>
      <c r="G18" s="970">
        <v>0</v>
      </c>
      <c r="H18" s="969">
        <v>0</v>
      </c>
      <c r="I18" s="977"/>
      <c r="J18" s="283">
        <v>0</v>
      </c>
      <c r="K18" s="283">
        <v>0</v>
      </c>
      <c r="L18" s="283">
        <v>0</v>
      </c>
      <c r="M18" s="978">
        <v>0</v>
      </c>
      <c r="N18" s="965">
        <v>0</v>
      </c>
      <c r="O18" s="965">
        <f t="shared" si="9"/>
        <v>0</v>
      </c>
      <c r="P18" s="965">
        <v>0</v>
      </c>
      <c r="Q18" s="965">
        <f t="shared" si="3"/>
        <v>0</v>
      </c>
      <c r="R18" s="965"/>
      <c r="S18" s="466"/>
      <c r="T18" s="466"/>
      <c r="W18" s="108"/>
      <c r="X18" s="790"/>
      <c r="Y18" s="790">
        <f t="shared" si="4"/>
        <v>0</v>
      </c>
      <c r="Z18" s="225">
        <f t="shared" si="5"/>
        <v>0</v>
      </c>
      <c r="AA18" s="225">
        <f t="shared" si="6"/>
        <v>0</v>
      </c>
      <c r="AB18" s="284">
        <f t="shared" si="7"/>
        <v>0</v>
      </c>
      <c r="AC18" s="151"/>
      <c r="AD18" s="225"/>
      <c r="AE18" s="225"/>
      <c r="AF18" s="225"/>
      <c r="AG18" s="225"/>
    </row>
    <row r="19" spans="1:33" s="42" customFormat="1" ht="15.75" x14ac:dyDescent="0.25">
      <c r="A19" s="257"/>
      <c r="B19" s="258" t="s">
        <v>676</v>
      </c>
      <c r="C19" s="277"/>
      <c r="D19" s="265">
        <f>223.838-137.193</f>
        <v>86.644999999999982</v>
      </c>
      <c r="E19" s="1035">
        <f t="shared" si="0"/>
        <v>128.94599999999997</v>
      </c>
      <c r="F19" s="248">
        <f t="shared" si="1"/>
        <v>86.644999999999982</v>
      </c>
      <c r="G19" s="970">
        <f>110.29296-74.609</f>
        <v>35.683959999999999</v>
      </c>
      <c r="H19" s="969">
        <v>0</v>
      </c>
      <c r="I19" s="977">
        <v>-27.625</v>
      </c>
      <c r="J19" s="283">
        <v>42.300999999999988</v>
      </c>
      <c r="K19" s="283">
        <v>42.300999999999988</v>
      </c>
      <c r="L19" s="283">
        <v>35.683959999999999</v>
      </c>
      <c r="M19" s="978">
        <v>30.727667999999998</v>
      </c>
      <c r="N19" s="965">
        <f>'Anx C '!H52+'Anx C '!I38+'Anx C '!I39+'Anx C '!H35+'Anx C '!H37+'Anx C '!H56+'Anx C '!H48+'Anx C '!H47+'Anx C '!H46</f>
        <v>94.89200000000001</v>
      </c>
      <c r="O19" s="965">
        <f t="shared" si="9"/>
        <v>223.83799999999997</v>
      </c>
      <c r="P19" s="965">
        <f>'Anx C '!J46+'Anx C '!J47+'Anx C '!J48+'Anx C '!J52+'Anx C '!J56</f>
        <v>74.609000000000009</v>
      </c>
      <c r="Q19" s="965">
        <f t="shared" si="3"/>
        <v>110.29296000000001</v>
      </c>
      <c r="R19" s="965"/>
      <c r="S19" s="466"/>
      <c r="T19" s="436"/>
      <c r="U19" s="42">
        <v>33.251999999999995</v>
      </c>
      <c r="V19" s="42">
        <v>33.251999999999995</v>
      </c>
      <c r="W19" s="108">
        <v>33.254756</v>
      </c>
      <c r="X19" s="790">
        <v>28.298463999999999</v>
      </c>
      <c r="Y19" s="790">
        <f t="shared" si="4"/>
        <v>95.693999999999974</v>
      </c>
      <c r="Z19" s="225">
        <f t="shared" si="5"/>
        <v>53.392999999999986</v>
      </c>
      <c r="AA19" s="225">
        <f t="shared" si="6"/>
        <v>2.4292039999999986</v>
      </c>
      <c r="AB19" s="284">
        <f t="shared" si="7"/>
        <v>-28.298463999999999</v>
      </c>
      <c r="AC19" s="151"/>
      <c r="AD19" s="225"/>
      <c r="AE19" s="225"/>
      <c r="AF19" s="225"/>
      <c r="AG19" s="225"/>
    </row>
    <row r="20" spans="1:33" s="42" customFormat="1" ht="15.75" x14ac:dyDescent="0.25">
      <c r="A20" s="257"/>
      <c r="B20" s="258" t="s">
        <v>619</v>
      </c>
      <c r="C20" s="277">
        <f>AB20/1000000</f>
        <v>-5.9257999999999994E-5</v>
      </c>
      <c r="D20" s="248">
        <f>211.517-162.106</f>
        <v>49.411000000000001</v>
      </c>
      <c r="E20" s="1035">
        <f t="shared" si="0"/>
        <v>211.51748799999999</v>
      </c>
      <c r="F20" s="248">
        <f t="shared" si="1"/>
        <v>49.411000000000001</v>
      </c>
      <c r="G20" s="283">
        <f>220.921537-40.625-7.372</f>
        <v>172.92453699999999</v>
      </c>
      <c r="H20" s="969">
        <v>0</v>
      </c>
      <c r="I20" s="977">
        <v>0</v>
      </c>
      <c r="J20" s="283">
        <v>162.10648799999998</v>
      </c>
      <c r="K20" s="283">
        <v>78.664487999999977</v>
      </c>
      <c r="L20" s="283">
        <v>172.92453699999999</v>
      </c>
      <c r="M20" s="978">
        <v>111.26341900000001</v>
      </c>
      <c r="N20" s="965">
        <v>0</v>
      </c>
      <c r="O20" s="965">
        <f t="shared" si="9"/>
        <v>211.51748799999999</v>
      </c>
      <c r="P20" s="965">
        <f>'Anx C '!J57+'Anx C '!J37+'Anx C '!J35+'Anx C '!J34+'Anx C '!J33</f>
        <v>40.624511999999996</v>
      </c>
      <c r="Q20" s="965">
        <f t="shared" si="3"/>
        <v>213.54904899999997</v>
      </c>
      <c r="R20" s="965"/>
      <c r="S20" s="49"/>
      <c r="T20" s="108"/>
      <c r="U20" s="49">
        <v>137.601</v>
      </c>
      <c r="V20" s="49">
        <v>54.158999999999992</v>
      </c>
      <c r="W20" s="108">
        <v>120.91911799999997</v>
      </c>
      <c r="X20" s="790">
        <v>59.257999999999996</v>
      </c>
      <c r="Y20" s="790">
        <f t="shared" si="4"/>
        <v>73.916487999999987</v>
      </c>
      <c r="Z20" s="225">
        <f t="shared" si="5"/>
        <v>-4.7479999999999905</v>
      </c>
      <c r="AA20" s="225">
        <f t="shared" si="6"/>
        <v>52.005419000000018</v>
      </c>
      <c r="AB20" s="284">
        <f t="shared" si="7"/>
        <v>-59.257999999999996</v>
      </c>
      <c r="AC20" s="151"/>
      <c r="AD20" s="225"/>
      <c r="AE20" s="225"/>
      <c r="AF20" s="225"/>
      <c r="AG20" s="225"/>
    </row>
    <row r="21" spans="1:33" ht="18" customHeight="1" thickBot="1" x14ac:dyDescent="0.3">
      <c r="A21" s="1180" t="s">
        <v>52</v>
      </c>
      <c r="B21" s="1180"/>
      <c r="C21" s="278">
        <f t="shared" ref="C21:P21" si="10">SUM(C8:C20)</f>
        <v>2510.8399407419997</v>
      </c>
      <c r="D21" s="319">
        <f>SUM(D8:D20)</f>
        <v>20.436999999999941</v>
      </c>
      <c r="E21" s="319">
        <f t="shared" si="10"/>
        <v>2618.6295449999998</v>
      </c>
      <c r="F21" s="319">
        <f t="shared" si="10"/>
        <v>20.436999999999941</v>
      </c>
      <c r="G21" s="319">
        <f t="shared" si="10"/>
        <v>2212.5507880000005</v>
      </c>
      <c r="H21" s="972">
        <f t="shared" si="10"/>
        <v>0</v>
      </c>
      <c r="I21" s="981">
        <f t="shared" si="10"/>
        <v>205.22500000000014</v>
      </c>
      <c r="J21" s="319">
        <f t="shared" si="10"/>
        <v>2598.1925449999999</v>
      </c>
      <c r="K21" s="319">
        <f t="shared" si="10"/>
        <v>1123.629314</v>
      </c>
      <c r="L21" s="319">
        <f t="shared" si="10"/>
        <v>2212.5507880000005</v>
      </c>
      <c r="M21" s="982">
        <f t="shared" si="10"/>
        <v>946.71930599999996</v>
      </c>
      <c r="N21" s="972"/>
      <c r="O21" s="972"/>
      <c r="P21" s="319">
        <f t="shared" si="10"/>
        <v>484.35057500000005</v>
      </c>
      <c r="Q21" s="319">
        <f>SUM(Q8:Q20)</f>
        <v>2696.9013629999999</v>
      </c>
      <c r="R21" s="966"/>
      <c r="S21" s="292"/>
      <c r="T21" s="711"/>
      <c r="U21" s="292"/>
      <c r="V21" s="292"/>
      <c r="W21" s="108"/>
      <c r="X21" s="790"/>
      <c r="Y21" s="790"/>
      <c r="Z21" s="225"/>
      <c r="AA21" s="225"/>
      <c r="AB21" s="151"/>
      <c r="AC21" s="151"/>
      <c r="AD21" s="225"/>
      <c r="AE21" s="225"/>
      <c r="AF21" s="225"/>
      <c r="AG21" s="225"/>
    </row>
    <row r="22" spans="1:33" ht="18" customHeight="1" thickTop="1" x14ac:dyDescent="0.25">
      <c r="A22" s="1180" t="s">
        <v>262</v>
      </c>
      <c r="B22" s="1180"/>
      <c r="C22" s="265">
        <f t="shared" ref="C22:H22" si="11">+C21*5%</f>
        <v>125.54199703709999</v>
      </c>
      <c r="D22" s="248">
        <f t="shared" si="11"/>
        <v>1.021849999999997</v>
      </c>
      <c r="E22" s="248">
        <f t="shared" si="11"/>
        <v>130.93147725</v>
      </c>
      <c r="F22" s="248">
        <f t="shared" si="11"/>
        <v>1.021849999999997</v>
      </c>
      <c r="G22" s="248">
        <f t="shared" si="11"/>
        <v>110.62753940000003</v>
      </c>
      <c r="H22" s="973">
        <f t="shared" si="11"/>
        <v>0</v>
      </c>
      <c r="I22" s="983">
        <f>+I21*5%</f>
        <v>10.261250000000008</v>
      </c>
      <c r="J22" s="248">
        <f>+J21*5%</f>
        <v>129.90962725</v>
      </c>
      <c r="K22" s="248">
        <f>+K21*5%</f>
        <v>56.181465700000004</v>
      </c>
      <c r="L22" s="248">
        <f>+L21*5%</f>
        <v>110.62753940000003</v>
      </c>
      <c r="M22" s="984">
        <f>+M21*5%</f>
        <v>47.335965299999998</v>
      </c>
      <c r="N22" s="984"/>
      <c r="O22" s="984"/>
      <c r="P22" s="984">
        <f>+P21*5%</f>
        <v>24.217528750000003</v>
      </c>
      <c r="Q22" s="984">
        <f>+Q21*5%</f>
        <v>134.84506815</v>
      </c>
      <c r="R22" s="790"/>
      <c r="S22" s="89"/>
      <c r="T22" s="184"/>
      <c r="U22" s="687"/>
      <c r="W22" s="108"/>
      <c r="X22" s="790"/>
      <c r="Y22" s="790"/>
      <c r="Z22" s="225"/>
      <c r="AA22" s="225"/>
      <c r="AB22" s="151"/>
      <c r="AC22" s="151"/>
      <c r="AD22" s="225"/>
      <c r="AE22" s="225"/>
      <c r="AF22" s="225"/>
      <c r="AG22" s="225"/>
    </row>
    <row r="23" spans="1:33" ht="18" customHeight="1" thickBot="1" x14ac:dyDescent="0.3">
      <c r="A23" s="1190" t="s">
        <v>263</v>
      </c>
      <c r="B23" s="1190"/>
      <c r="C23" s="266">
        <f t="shared" ref="C23:H23" si="12">+C21+C22</f>
        <v>2636.3819377790996</v>
      </c>
      <c r="D23" s="227">
        <f t="shared" si="12"/>
        <v>21.458849999999938</v>
      </c>
      <c r="E23" s="227">
        <f t="shared" si="12"/>
        <v>2749.56102225</v>
      </c>
      <c r="F23" s="227">
        <f t="shared" si="12"/>
        <v>21.458849999999938</v>
      </c>
      <c r="G23" s="227">
        <f t="shared" si="12"/>
        <v>2323.1783274000004</v>
      </c>
      <c r="H23" s="974">
        <f t="shared" si="12"/>
        <v>0</v>
      </c>
      <c r="I23" s="985">
        <f>+I21+I22</f>
        <v>215.48625000000015</v>
      </c>
      <c r="J23" s="986">
        <f>+J21+J22</f>
        <v>2728.10217225</v>
      </c>
      <c r="K23" s="986">
        <f>+K21+K22</f>
        <v>1179.8107797</v>
      </c>
      <c r="L23" s="986">
        <f>+L21+L22</f>
        <v>2323.1783274000004</v>
      </c>
      <c r="M23" s="987">
        <f>+M21+M22</f>
        <v>994.05527129999996</v>
      </c>
      <c r="N23" s="987"/>
      <c r="O23" s="987"/>
      <c r="P23" s="987">
        <f>+P21+P22</f>
        <v>508.56810375000003</v>
      </c>
      <c r="Q23" s="987">
        <f>+Q21+Q22</f>
        <v>2831.7464311499998</v>
      </c>
      <c r="R23" s="967"/>
      <c r="T23" s="90"/>
      <c r="X23" s="781"/>
      <c r="Y23" s="781"/>
      <c r="AB23" s="284"/>
      <c r="AC23" s="151"/>
      <c r="AD23" s="225"/>
      <c r="AE23" s="225"/>
      <c r="AF23" s="225"/>
      <c r="AG23" s="225"/>
    </row>
    <row r="24" spans="1:33" x14ac:dyDescent="0.25">
      <c r="C24" s="254">
        <v>0</v>
      </c>
      <c r="D24" s="106"/>
      <c r="E24" s="106"/>
      <c r="G24" s="90" t="s">
        <v>232</v>
      </c>
      <c r="H24" s="90"/>
      <c r="I24" s="90"/>
      <c r="J24" s="90"/>
      <c r="K24" s="90"/>
      <c r="L24" s="90"/>
      <c r="M24" s="90"/>
      <c r="N24" s="90"/>
      <c r="O24" s="90"/>
      <c r="P24" s="90"/>
      <c r="Q24" s="90"/>
      <c r="R24" s="90"/>
      <c r="T24" s="687"/>
    </row>
    <row r="25" spans="1:33" x14ac:dyDescent="0.25">
      <c r="C25" s="254">
        <f>C23+'Anx C '!E63</f>
        <v>3555.0240051290998</v>
      </c>
      <c r="D25" s="107">
        <f>D23+'Anx C '!G63-'Anx B'!D20</f>
        <v>-25.619827000000065</v>
      </c>
      <c r="E25" s="106">
        <f>E23+'Anx C '!H63-E20</f>
        <v>3077.3347839500002</v>
      </c>
      <c r="G25" s="90">
        <f>E22+'Anx C '!H62</f>
        <v>156.61201295000001</v>
      </c>
      <c r="H25" s="90"/>
      <c r="I25" s="90"/>
      <c r="J25" s="90"/>
      <c r="K25" s="90"/>
      <c r="L25" s="90"/>
      <c r="M25" s="90"/>
      <c r="N25" s="90"/>
      <c r="O25" s="90"/>
      <c r="P25" s="90"/>
      <c r="Q25" s="90"/>
      <c r="R25" s="90"/>
      <c r="V25" s="89">
        <f>46.937-G13</f>
        <v>17.947569999999999</v>
      </c>
    </row>
    <row r="26" spans="1:33" x14ac:dyDescent="0.25">
      <c r="B26" s="21" t="s">
        <v>718</v>
      </c>
      <c r="C26" s="255"/>
      <c r="D26" s="282"/>
      <c r="E26" s="106"/>
      <c r="G26" s="90">
        <f>G22+'Anx C '!J62</f>
        <v>134.84506815000003</v>
      </c>
      <c r="H26" s="90"/>
      <c r="I26" s="90"/>
      <c r="J26" s="90"/>
      <c r="K26" s="90"/>
      <c r="L26" s="90"/>
      <c r="M26" s="90"/>
      <c r="N26" s="90"/>
      <c r="O26" s="90"/>
      <c r="P26" s="90"/>
      <c r="Q26" s="90"/>
      <c r="R26" s="90"/>
      <c r="S26" s="185"/>
      <c r="T26" s="185"/>
      <c r="U26" s="185"/>
      <c r="V26" s="834">
        <f>149.959-G9</f>
        <v>-121.15129999999999</v>
      </c>
      <c r="W26" s="185"/>
      <c r="X26" s="185"/>
      <c r="Y26" s="185"/>
      <c r="Z26" s="185"/>
      <c r="AA26" s="185"/>
      <c r="AB26" s="282"/>
      <c r="AC26" s="282"/>
    </row>
    <row r="27" spans="1:33" ht="28.5" x14ac:dyDescent="0.25">
      <c r="B27" s="176">
        <f>15.732-6.346</f>
        <v>9.3859999999999992</v>
      </c>
      <c r="C27" s="145"/>
      <c r="D27" s="1072">
        <f>D21+'Anx C '!G61</f>
        <v>22.658259999999942</v>
      </c>
      <c r="E27" s="106">
        <f>E21+'Anx C '!H61</f>
        <v>3132.2402590000002</v>
      </c>
      <c r="F27" s="40" t="s">
        <v>672</v>
      </c>
      <c r="G27" s="1051">
        <f>G21+'Anx C '!J61</f>
        <v>2696.9013630000004</v>
      </c>
      <c r="H27" s="187"/>
      <c r="I27" s="187">
        <f>22565</f>
        <v>22565</v>
      </c>
      <c r="J27" s="187">
        <v>13935</v>
      </c>
      <c r="K27" s="187"/>
      <c r="L27" s="187"/>
      <c r="M27" s="187"/>
      <c r="N27" s="187"/>
      <c r="O27" s="187"/>
      <c r="P27" s="187"/>
      <c r="Q27" s="187"/>
      <c r="R27" s="187"/>
      <c r="S27" s="176"/>
      <c r="T27" s="176"/>
      <c r="U27" s="176"/>
      <c r="V27" s="176"/>
      <c r="W27" s="176"/>
      <c r="X27" s="176">
        <f>1956.746-2104.086</f>
        <v>-147.33999999999969</v>
      </c>
      <c r="Y27" s="176"/>
      <c r="Z27" s="176"/>
      <c r="AA27" s="176"/>
      <c r="AB27" s="189"/>
      <c r="AC27" s="189"/>
    </row>
    <row r="28" spans="1:33" ht="28.5" x14ac:dyDescent="0.25">
      <c r="B28" s="176"/>
      <c r="D28" s="1073">
        <f>D23+'Anx C '!G63</f>
        <v>23.791172999999937</v>
      </c>
      <c r="E28" s="189">
        <f>E23+'Anx C '!H63</f>
        <v>3288.8522719500002</v>
      </c>
      <c r="F28" s="40" t="s">
        <v>673</v>
      </c>
      <c r="G28" s="687">
        <f>G23+'Anx C '!J63</f>
        <v>2831.7464311500007</v>
      </c>
      <c r="H28" s="187"/>
      <c r="I28" s="187">
        <f>14118</f>
        <v>14118</v>
      </c>
      <c r="J28" s="187">
        <v>11582</v>
      </c>
      <c r="K28" s="187"/>
      <c r="L28" s="187"/>
      <c r="M28" s="187"/>
      <c r="N28" s="187"/>
      <c r="O28" s="187"/>
      <c r="P28" s="187"/>
      <c r="Q28" s="187"/>
      <c r="R28" s="187"/>
      <c r="S28" s="176"/>
      <c r="T28" s="176"/>
      <c r="U28" s="176"/>
      <c r="V28" s="176">
        <f>1863.568-2104.086</f>
        <v>-240.5179999999998</v>
      </c>
      <c r="W28" s="176"/>
      <c r="X28" s="176"/>
      <c r="Y28" s="176"/>
      <c r="Z28" s="176"/>
      <c r="AA28" s="176"/>
      <c r="AB28" s="189"/>
      <c r="AC28" s="189"/>
    </row>
    <row r="29" spans="1:33" x14ac:dyDescent="0.25">
      <c r="B29" s="188"/>
      <c r="E29" s="189"/>
      <c r="F29" s="176"/>
      <c r="G29" s="176"/>
      <c r="H29" s="187"/>
      <c r="I29" s="187"/>
      <c r="J29" s="187"/>
      <c r="K29" s="187"/>
      <c r="L29" s="187"/>
      <c r="M29" s="187"/>
      <c r="N29" s="187"/>
      <c r="O29" s="187"/>
      <c r="P29" s="187"/>
      <c r="Q29" s="187"/>
      <c r="R29" s="187"/>
    </row>
    <row r="30" spans="1:33" ht="42.75" x14ac:dyDescent="0.25">
      <c r="A30" s="357" t="s">
        <v>982</v>
      </c>
      <c r="B30" s="1160" t="s">
        <v>983</v>
      </c>
      <c r="E30" s="189"/>
      <c r="F30" s="187"/>
      <c r="G30" s="176"/>
      <c r="H30" s="187"/>
      <c r="I30" s="187"/>
      <c r="J30" s="187"/>
      <c r="K30" s="187"/>
      <c r="L30" s="187"/>
      <c r="M30" s="187"/>
      <c r="N30" s="187"/>
      <c r="O30" s="187"/>
      <c r="P30" s="187"/>
      <c r="Q30" s="187"/>
      <c r="R30" s="187"/>
    </row>
    <row r="31" spans="1:33" x14ac:dyDescent="0.25">
      <c r="B31" s="188"/>
      <c r="E31" s="189"/>
      <c r="F31" s="176"/>
      <c r="G31" s="176"/>
      <c r="H31" s="176"/>
      <c r="I31" s="176"/>
      <c r="J31" s="176"/>
      <c r="K31" s="176"/>
      <c r="L31" s="176"/>
      <c r="M31" s="176"/>
      <c r="N31" s="176"/>
      <c r="O31" s="176"/>
      <c r="P31" s="176"/>
      <c r="Q31" s="176"/>
      <c r="R31" s="176"/>
    </row>
    <row r="32" spans="1:33" x14ac:dyDescent="0.25">
      <c r="B32" s="189"/>
      <c r="C32" s="162"/>
      <c r="E32" s="190"/>
      <c r="F32" s="187"/>
      <c r="G32" s="176"/>
      <c r="H32" s="176" t="s">
        <v>232</v>
      </c>
      <c r="I32" s="176"/>
      <c r="J32" s="176"/>
      <c r="K32" s="176"/>
      <c r="L32" s="176"/>
      <c r="M32" s="176"/>
      <c r="N32" s="176"/>
      <c r="O32" s="176"/>
      <c r="P32" s="176"/>
      <c r="Q32" s="176"/>
      <c r="R32" s="176"/>
    </row>
    <row r="33" spans="1:18" x14ac:dyDescent="0.25">
      <c r="B33" s="189"/>
      <c r="E33" s="176"/>
      <c r="F33" s="176"/>
      <c r="G33" s="176"/>
      <c r="H33" s="176"/>
      <c r="I33" s="176"/>
      <c r="J33" s="176"/>
      <c r="K33" s="176"/>
      <c r="L33" s="176"/>
      <c r="M33" s="176"/>
      <c r="N33" s="176"/>
      <c r="O33" s="176"/>
      <c r="P33" s="176"/>
      <c r="Q33" s="176"/>
      <c r="R33" s="176"/>
    </row>
    <row r="34" spans="1:18" x14ac:dyDescent="0.25">
      <c r="B34" s="106"/>
      <c r="C34" s="162"/>
      <c r="D34" s="106"/>
      <c r="E34" s="106"/>
      <c r="G34" s="183"/>
    </row>
    <row r="35" spans="1:18" x14ac:dyDescent="0.25">
      <c r="D35" s="106"/>
      <c r="E35" s="106"/>
      <c r="G35" s="90"/>
    </row>
    <row r="36" spans="1:18" x14ac:dyDescent="0.25">
      <c r="D36" s="106"/>
      <c r="E36" s="177"/>
      <c r="F36" s="90"/>
      <c r="G36" s="106"/>
      <c r="H36" s="106"/>
      <c r="I36" s="106"/>
      <c r="J36" s="106"/>
      <c r="K36" s="106"/>
      <c r="L36" s="106"/>
      <c r="M36" s="106"/>
      <c r="N36" s="106"/>
      <c r="O36" s="106"/>
      <c r="P36" s="106"/>
      <c r="Q36" s="106"/>
      <c r="R36" s="106"/>
    </row>
    <row r="37" spans="1:18" x14ac:dyDescent="0.25">
      <c r="D37" s="106"/>
      <c r="E37" s="177"/>
      <c r="F37" s="90"/>
      <c r="G37" s="158"/>
      <c r="H37" s="106"/>
      <c r="I37" s="106"/>
      <c r="J37" s="106"/>
      <c r="K37" s="106"/>
      <c r="L37" s="106"/>
      <c r="M37" s="106"/>
      <c r="N37" s="106"/>
      <c r="O37" s="106"/>
      <c r="P37" s="106"/>
      <c r="Q37" s="106"/>
      <c r="R37" s="106"/>
    </row>
    <row r="38" spans="1:18" x14ac:dyDescent="0.25">
      <c r="B38" s="181"/>
      <c r="E38" s="177"/>
      <c r="G38" s="160"/>
      <c r="H38" s="184"/>
      <c r="I38" s="184"/>
      <c r="J38" s="184"/>
      <c r="K38" s="184"/>
      <c r="L38" s="184"/>
      <c r="M38" s="184"/>
      <c r="N38" s="184"/>
      <c r="O38" s="184"/>
      <c r="P38" s="184"/>
      <c r="Q38" s="184"/>
      <c r="R38" s="184"/>
    </row>
    <row r="39" spans="1:18" ht="20.100000000000001" customHeight="1" x14ac:dyDescent="0.25">
      <c r="A39" s="156"/>
      <c r="B39" s="181"/>
      <c r="D39" s="150"/>
      <c r="G39" s="160"/>
      <c r="H39" s="178"/>
      <c r="I39" s="178"/>
      <c r="J39" s="178"/>
      <c r="K39" s="178"/>
      <c r="L39" s="178"/>
      <c r="M39" s="178"/>
      <c r="N39" s="178"/>
      <c r="O39" s="178"/>
      <c r="P39" s="178"/>
      <c r="Q39" s="178"/>
      <c r="R39" s="178"/>
    </row>
    <row r="40" spans="1:18" ht="20.100000000000001" customHeight="1" x14ac:dyDescent="0.25">
      <c r="A40" s="156"/>
      <c r="B40" s="182"/>
      <c r="D40" s="150"/>
      <c r="G40" s="160"/>
      <c r="H40" s="178"/>
      <c r="I40" s="178"/>
      <c r="J40" s="178"/>
      <c r="K40" s="178"/>
      <c r="L40" s="178"/>
      <c r="M40" s="178"/>
      <c r="N40" s="178"/>
      <c r="O40" s="178"/>
      <c r="P40" s="178"/>
      <c r="Q40" s="178"/>
      <c r="R40" s="178"/>
    </row>
    <row r="41" spans="1:18" ht="20.100000000000001" customHeight="1" x14ac:dyDescent="0.25">
      <c r="A41" s="156"/>
      <c r="B41" s="182"/>
      <c r="D41" s="150"/>
      <c r="G41" s="184"/>
      <c r="H41" s="184"/>
      <c r="I41" s="184"/>
      <c r="J41" s="184"/>
      <c r="K41" s="184"/>
      <c r="L41" s="184"/>
      <c r="M41" s="184"/>
      <c r="N41" s="184"/>
      <c r="O41" s="184"/>
      <c r="P41" s="184"/>
      <c r="Q41" s="184"/>
      <c r="R41" s="184"/>
    </row>
    <row r="42" spans="1:18" x14ac:dyDescent="0.25">
      <c r="A42" s="156"/>
      <c r="B42" s="157"/>
      <c r="D42" s="150"/>
      <c r="E42" s="179"/>
      <c r="G42" s="184"/>
      <c r="H42" s="184"/>
      <c r="I42" s="184"/>
      <c r="J42" s="184"/>
      <c r="K42" s="184"/>
      <c r="L42" s="184"/>
      <c r="M42" s="184"/>
      <c r="N42" s="184"/>
      <c r="O42" s="184"/>
      <c r="P42" s="184"/>
      <c r="Q42" s="184"/>
      <c r="R42" s="184"/>
    </row>
    <row r="43" spans="1:18" x14ac:dyDescent="0.25">
      <c r="B43" s="158"/>
      <c r="D43" s="150"/>
      <c r="F43" s="178"/>
      <c r="G43" s="160"/>
    </row>
    <row r="44" spans="1:18" x14ac:dyDescent="0.25">
      <c r="B44" s="158"/>
      <c r="D44" s="150"/>
      <c r="F44" s="178"/>
      <c r="G44" s="160"/>
    </row>
    <row r="45" spans="1:18" x14ac:dyDescent="0.25">
      <c r="B45" s="158"/>
      <c r="D45" s="150"/>
      <c r="G45" s="160"/>
    </row>
    <row r="46" spans="1:18" x14ac:dyDescent="0.25">
      <c r="B46" s="158"/>
      <c r="D46" s="150"/>
      <c r="E46" s="150"/>
      <c r="F46" s="178"/>
      <c r="G46" s="160"/>
    </row>
    <row r="47" spans="1:18" x14ac:dyDescent="0.25">
      <c r="D47" s="150"/>
      <c r="E47" s="150"/>
      <c r="F47" s="178"/>
      <c r="G47" s="160"/>
    </row>
    <row r="48" spans="1:18" ht="15" x14ac:dyDescent="0.25">
      <c r="D48" s="502"/>
      <c r="E48" s="503"/>
      <c r="F48" s="160"/>
      <c r="G48" s="160"/>
    </row>
    <row r="49" spans="3:7" x14ac:dyDescent="0.25">
      <c r="C49" s="256"/>
      <c r="D49" s="177"/>
      <c r="E49" s="118"/>
      <c r="F49" s="146"/>
      <c r="G49" s="160"/>
    </row>
    <row r="50" spans="3:7" x14ac:dyDescent="0.25">
      <c r="C50" s="256"/>
      <c r="D50" s="150"/>
      <c r="G50" s="160"/>
    </row>
    <row r="51" spans="3:7" x14ac:dyDescent="0.25">
      <c r="C51" s="256"/>
      <c r="G51" s="160"/>
    </row>
    <row r="52" spans="3:7" x14ac:dyDescent="0.25">
      <c r="C52" s="256"/>
      <c r="G52" s="160"/>
    </row>
    <row r="53" spans="3:7" x14ac:dyDescent="0.25">
      <c r="C53" s="256"/>
      <c r="G53" s="160"/>
    </row>
    <row r="54" spans="3:7" x14ac:dyDescent="0.25">
      <c r="C54" s="256"/>
      <c r="D54" s="21">
        <f>0.024+0.045+0.019+0.003+0.002</f>
        <v>9.3000000000000013E-2</v>
      </c>
      <c r="E54" s="21">
        <f>0.024+0.045+0.019+0.003+0.002</f>
        <v>9.3000000000000013E-2</v>
      </c>
      <c r="G54" s="160"/>
    </row>
    <row r="55" spans="3:7" x14ac:dyDescent="0.25">
      <c r="C55" s="256"/>
      <c r="G55" s="160"/>
    </row>
    <row r="56" spans="3:7" x14ac:dyDescent="0.25">
      <c r="C56" s="256"/>
      <c r="G56" s="160"/>
    </row>
    <row r="57" spans="3:7" x14ac:dyDescent="0.25">
      <c r="C57" s="256"/>
      <c r="G57" s="160"/>
    </row>
    <row r="58" spans="3:7" x14ac:dyDescent="0.25">
      <c r="C58" s="256"/>
      <c r="D58" s="21">
        <f>0.001+0.004+0.012</f>
        <v>1.7000000000000001E-2</v>
      </c>
      <c r="E58" s="21">
        <f>0.001+0.004+0.012</f>
        <v>1.7000000000000001E-2</v>
      </c>
      <c r="G58" s="160"/>
    </row>
    <row r="59" spans="3:7" x14ac:dyDescent="0.25">
      <c r="C59" s="256"/>
      <c r="G59" s="160"/>
    </row>
    <row r="60" spans="3:7" x14ac:dyDescent="0.25">
      <c r="C60" s="256"/>
      <c r="G60" s="160"/>
    </row>
    <row r="61" spans="3:7" x14ac:dyDescent="0.25">
      <c r="C61" s="256"/>
      <c r="G61" s="160"/>
    </row>
    <row r="62" spans="3:7" x14ac:dyDescent="0.25">
      <c r="C62" s="256"/>
      <c r="D62" s="21">
        <f>0.006+0.001+0.002+0.001+0.004</f>
        <v>1.4000000000000002E-2</v>
      </c>
      <c r="E62" s="21">
        <f>0.006+0.001+0.002+0.001+0.004</f>
        <v>1.4000000000000002E-2</v>
      </c>
      <c r="G62" s="160"/>
    </row>
    <row r="63" spans="3:7" x14ac:dyDescent="0.25">
      <c r="C63" s="256"/>
      <c r="G63" s="160"/>
    </row>
    <row r="64" spans="3:7" x14ac:dyDescent="0.25">
      <c r="C64" s="256"/>
      <c r="G64" s="160"/>
    </row>
    <row r="65" spans="3:7" x14ac:dyDescent="0.25">
      <c r="C65" s="256"/>
      <c r="G65" s="160"/>
    </row>
    <row r="66" spans="3:7" x14ac:dyDescent="0.25">
      <c r="G66" s="160"/>
    </row>
    <row r="67" spans="3:7" x14ac:dyDescent="0.25">
      <c r="G67" s="160"/>
    </row>
  </sheetData>
  <mergeCells count="12">
    <mergeCell ref="P6:Q6"/>
    <mergeCell ref="N6:O6"/>
    <mergeCell ref="I6:M6"/>
    <mergeCell ref="A22:B22"/>
    <mergeCell ref="A23:B23"/>
    <mergeCell ref="A1:H1"/>
    <mergeCell ref="A3:H3"/>
    <mergeCell ref="A4:H4"/>
    <mergeCell ref="A21:B21"/>
    <mergeCell ref="A6:A7"/>
    <mergeCell ref="B6:B7"/>
    <mergeCell ref="C6:H6"/>
  </mergeCells>
  <printOptions horizontalCentered="1"/>
  <pageMargins left="0.16" right="0.2" top="0.35" bottom="0.33" header="0.17" footer="0.18"/>
  <pageSetup paperSize="9" orientation="landscape" r:id="rId1"/>
  <drawing r:id="rId2"/>
  <legacyDrawing r:id="rId3"/>
  <oleObjects>
    <mc:AlternateContent xmlns:mc="http://schemas.openxmlformats.org/markup-compatibility/2006">
      <mc:Choice Requires="x14">
        <oleObject progId="Word.Picture.8" shapeId="3073" r:id="rId4">
          <objectPr defaultSize="0" autoPict="0" r:id="rId5">
            <anchor moveWithCells="1" sizeWithCells="1">
              <from>
                <xdr:col>0</xdr:col>
                <xdr:colOff>0</xdr:colOff>
                <xdr:row>0</xdr:row>
                <xdr:rowOff>0</xdr:rowOff>
              </from>
              <to>
                <xdr:col>1</xdr:col>
                <xdr:colOff>123825</xdr:colOff>
                <xdr:row>3</xdr:row>
                <xdr:rowOff>9525</xdr:rowOff>
              </to>
            </anchor>
          </objectPr>
        </oleObject>
      </mc:Choice>
      <mc:Fallback>
        <oleObject progId="Word.Picture.8" shapeId="3073"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50"/>
    <pageSetUpPr fitToPage="1"/>
  </sheetPr>
  <dimension ref="A1:AA91"/>
  <sheetViews>
    <sheetView view="pageBreakPreview" zoomScale="67" zoomScaleNormal="70" zoomScaleSheetLayoutView="55" workbookViewId="0">
      <pane ySplit="7" topLeftCell="A8" activePane="bottomLeft" state="frozen"/>
      <selection activeCell="I33" sqref="I33"/>
      <selection pane="bottomLeft" activeCell="H27" activeCellId="4" sqref="H51 H42 H32 H31 H27"/>
    </sheetView>
  </sheetViews>
  <sheetFormatPr defaultColWidth="9.140625" defaultRowHeight="14.25" x14ac:dyDescent="0.25"/>
  <cols>
    <col min="1" max="1" width="5.7109375" style="20" customWidth="1"/>
    <col min="2" max="2" width="20.5703125" style="20" customWidth="1"/>
    <col min="3" max="3" width="22.42578125" style="18" customWidth="1"/>
    <col min="4" max="4" width="21.7109375" style="18" customWidth="1"/>
    <col min="5" max="5" width="13.7109375" style="18" customWidth="1"/>
    <col min="6" max="6" width="13" style="18" customWidth="1"/>
    <col min="7" max="7" width="10.85546875" style="18" customWidth="1"/>
    <col min="8" max="8" width="14" style="18" customWidth="1"/>
    <col min="9" max="9" width="12.85546875" style="18" bestFit="1" customWidth="1"/>
    <col min="10" max="10" width="12.7109375" style="18" customWidth="1"/>
    <col min="11" max="16" width="14.7109375" style="18" customWidth="1"/>
    <col min="17" max="17" width="5.85546875" style="18" customWidth="1"/>
    <col min="18" max="21" width="14.7109375" style="18" customWidth="1"/>
    <col min="22" max="22" width="18.42578125" style="18" bestFit="1" customWidth="1"/>
    <col min="23" max="23" width="17.140625" style="18" bestFit="1" customWidth="1"/>
    <col min="24" max="24" width="9.5703125" style="18" bestFit="1" customWidth="1"/>
    <col min="25" max="29" width="9.140625" style="18"/>
    <col min="30" max="30" width="14.140625" style="18" bestFit="1" customWidth="1"/>
    <col min="31" max="16384" width="9.140625" style="18"/>
  </cols>
  <sheetData>
    <row r="1" spans="1:27" ht="17.25" customHeight="1" x14ac:dyDescent="0.25">
      <c r="A1" s="1196" t="s">
        <v>11</v>
      </c>
      <c r="B1" s="1196"/>
      <c r="C1" s="1196"/>
      <c r="D1" s="1196"/>
      <c r="E1" s="1196"/>
      <c r="F1" s="1196"/>
      <c r="G1" s="1196"/>
      <c r="H1" s="1196"/>
      <c r="I1" s="1196"/>
      <c r="J1" s="1196"/>
      <c r="K1" s="1196"/>
      <c r="L1" s="949"/>
      <c r="M1" s="949"/>
      <c r="N1" s="949"/>
      <c r="O1" s="949"/>
      <c r="P1" s="949"/>
      <c r="Q1" s="101"/>
      <c r="R1" s="101"/>
      <c r="S1" s="101"/>
      <c r="T1" s="101"/>
      <c r="U1" s="101"/>
    </row>
    <row r="2" spans="1:27" ht="17.25" customHeight="1" x14ac:dyDescent="0.25">
      <c r="A2" s="231"/>
      <c r="B2" s="231"/>
      <c r="C2" s="101"/>
      <c r="D2" s="101"/>
      <c r="E2" s="101"/>
      <c r="F2" s="101"/>
      <c r="G2" s="101"/>
      <c r="H2" s="101"/>
      <c r="I2" s="101"/>
      <c r="J2" s="101"/>
      <c r="K2" s="103" t="str">
        <f>"MONTH - "&amp;Summary!$G$6</f>
        <v>MONTH - July 2025</v>
      </c>
      <c r="L2" s="944"/>
      <c r="M2" s="944"/>
      <c r="N2" s="944"/>
      <c r="O2" s="944"/>
      <c r="P2" s="944"/>
      <c r="Q2" s="103"/>
      <c r="R2" s="103"/>
      <c r="S2" s="103"/>
      <c r="T2" s="103"/>
      <c r="U2" s="103"/>
    </row>
    <row r="3" spans="1:27" ht="21" customHeight="1" x14ac:dyDescent="0.25">
      <c r="A3" s="1177" t="s">
        <v>115</v>
      </c>
      <c r="B3" s="1177"/>
      <c r="C3" s="1177"/>
      <c r="D3" s="1177"/>
      <c r="E3" s="1177"/>
      <c r="F3" s="1177"/>
      <c r="G3" s="1177"/>
      <c r="H3" s="1177"/>
      <c r="I3" s="1177"/>
      <c r="J3" s="1177"/>
      <c r="K3" s="1177"/>
      <c r="L3" s="945"/>
      <c r="M3" s="945"/>
      <c r="N3" s="945"/>
      <c r="O3" s="945"/>
      <c r="P3" s="945"/>
      <c r="Q3" s="230"/>
      <c r="R3" s="230"/>
      <c r="S3" s="230"/>
      <c r="T3" s="230"/>
      <c r="U3" s="230"/>
    </row>
    <row r="4" spans="1:27" ht="19.149999999999999" customHeight="1" x14ac:dyDescent="0.25">
      <c r="A4" s="1177" t="str">
        <f>'Anx B'!A4:H4</f>
        <v xml:space="preserve">PMU NLC INFRA DEV WORKS at Chahar Bagh (RUDA ) </v>
      </c>
      <c r="B4" s="1177"/>
      <c r="C4" s="1177"/>
      <c r="D4" s="1177"/>
      <c r="E4" s="1177"/>
      <c r="F4" s="1177"/>
      <c r="G4" s="1177"/>
      <c r="H4" s="1177"/>
      <c r="I4" s="1177"/>
      <c r="J4" s="1177"/>
      <c r="K4" s="1177"/>
      <c r="L4" s="945"/>
      <c r="M4" s="945"/>
      <c r="N4" s="945"/>
      <c r="O4" s="945"/>
      <c r="P4" s="945"/>
      <c r="Q4" s="230"/>
      <c r="R4" s="230"/>
      <c r="S4" s="230"/>
      <c r="T4" s="230"/>
      <c r="U4" s="230"/>
    </row>
    <row r="5" spans="1:27" ht="17.25" customHeight="1" thickBot="1" x14ac:dyDescent="0.3">
      <c r="A5" s="44"/>
      <c r="B5" s="44"/>
      <c r="C5" s="44"/>
      <c r="D5" s="44"/>
      <c r="E5" s="44"/>
      <c r="F5" s="44"/>
      <c r="G5" s="44"/>
      <c r="H5" s="44"/>
      <c r="I5" s="1195" t="s">
        <v>76</v>
      </c>
      <c r="J5" s="1195"/>
      <c r="K5" s="1195"/>
      <c r="L5" s="988"/>
      <c r="M5" s="988"/>
      <c r="N5" s="988"/>
      <c r="O5" s="988"/>
      <c r="P5" s="988"/>
      <c r="Q5" s="297"/>
      <c r="R5" s="297"/>
      <c r="S5" s="297"/>
      <c r="T5" s="297"/>
      <c r="U5" s="297"/>
    </row>
    <row r="6" spans="1:27" s="20" customFormat="1" ht="29.45" customHeight="1" thickTop="1" thickBot="1" x14ac:dyDescent="0.3">
      <c r="A6" s="1197" t="s">
        <v>7</v>
      </c>
      <c r="B6" s="1197" t="s">
        <v>75</v>
      </c>
      <c r="C6" s="1198" t="s">
        <v>189</v>
      </c>
      <c r="D6" s="1198" t="s">
        <v>8</v>
      </c>
      <c r="E6" s="1170" t="s">
        <v>9</v>
      </c>
      <c r="F6" s="1172"/>
      <c r="G6" s="1172"/>
      <c r="H6" s="1172"/>
      <c r="I6" s="1172"/>
      <c r="J6" s="1172"/>
      <c r="K6" s="1171"/>
      <c r="L6" s="1191" t="s">
        <v>312</v>
      </c>
      <c r="M6" s="1192"/>
      <c r="N6" s="1192"/>
      <c r="O6" s="1192"/>
      <c r="P6" s="1192"/>
      <c r="Q6" s="19"/>
      <c r="R6" s="19"/>
      <c r="S6" s="19"/>
      <c r="T6" s="19"/>
      <c r="U6" s="19"/>
    </row>
    <row r="7" spans="1:27" s="20" customFormat="1" ht="84" customHeight="1" thickTop="1" x14ac:dyDescent="0.25">
      <c r="A7" s="1198"/>
      <c r="B7" s="1198"/>
      <c r="C7" s="1199"/>
      <c r="D7" s="1199"/>
      <c r="E7" s="201" t="s">
        <v>217</v>
      </c>
      <c r="F7" s="201" t="s">
        <v>147</v>
      </c>
      <c r="G7" s="201" t="s">
        <v>42</v>
      </c>
      <c r="H7" s="201" t="s">
        <v>183</v>
      </c>
      <c r="I7" s="201" t="s">
        <v>184</v>
      </c>
      <c r="J7" s="1038" t="s">
        <v>43</v>
      </c>
      <c r="K7" s="201" t="s">
        <v>116</v>
      </c>
      <c r="L7" s="948" t="s">
        <v>42</v>
      </c>
      <c r="M7" s="948" t="s">
        <v>183</v>
      </c>
      <c r="N7" s="948" t="s">
        <v>184</v>
      </c>
      <c r="O7" s="948" t="s">
        <v>43</v>
      </c>
      <c r="P7" s="948" t="s">
        <v>116</v>
      </c>
      <c r="Q7" s="79"/>
      <c r="R7" s="692" t="s">
        <v>564</v>
      </c>
      <c r="S7" s="692" t="s">
        <v>341</v>
      </c>
      <c r="T7" s="692" t="s">
        <v>565</v>
      </c>
      <c r="U7" s="692" t="s">
        <v>567</v>
      </c>
    </row>
    <row r="8" spans="1:27" ht="51" x14ac:dyDescent="0.25">
      <c r="A8" s="45">
        <v>1</v>
      </c>
      <c r="B8" s="368" t="s">
        <v>543</v>
      </c>
      <c r="C8" s="367" t="s">
        <v>463</v>
      </c>
      <c r="D8" s="161" t="s">
        <v>464</v>
      </c>
      <c r="E8" s="364">
        <v>20.753</v>
      </c>
      <c r="F8" s="364">
        <v>14.686</v>
      </c>
      <c r="G8" s="334"/>
      <c r="H8" s="919">
        <f>G8+M8</f>
        <v>11.548</v>
      </c>
      <c r="I8" s="334">
        <f>G8</f>
        <v>0</v>
      </c>
      <c r="J8" s="1059">
        <f>11.548+6.766-6.766</f>
        <v>11.548</v>
      </c>
      <c r="K8" s="363">
        <v>0</v>
      </c>
      <c r="L8" s="363"/>
      <c r="M8" s="363">
        <v>11.548</v>
      </c>
      <c r="N8" s="363">
        <v>0</v>
      </c>
      <c r="O8" s="363">
        <v>11.548</v>
      </c>
      <c r="P8" s="363">
        <v>0</v>
      </c>
      <c r="Q8" s="476"/>
      <c r="R8" s="363">
        <f t="shared" ref="R8:R56" si="0">E8-F8</f>
        <v>6.0670000000000002</v>
      </c>
      <c r="S8" s="363">
        <f>R8/E8*100</f>
        <v>29.234327567098735</v>
      </c>
      <c r="T8" s="264">
        <f>100-S8</f>
        <v>70.765672432901269</v>
      </c>
      <c r="U8" s="264">
        <f t="shared" ref="U8:U17" si="1">H8*T8/100</f>
        <v>8.172019852551438</v>
      </c>
      <c r="V8" s="366">
        <f>J8-H8</f>
        <v>0</v>
      </c>
      <c r="W8" s="366">
        <v>14945188</v>
      </c>
      <c r="X8" s="369" t="e">
        <f>W8/V8-1</f>
        <v>#DIV/0!</v>
      </c>
      <c r="Z8" s="25">
        <f>+E8-F8</f>
        <v>6.0670000000000002</v>
      </c>
      <c r="AA8" s="25">
        <f>+Z8/E8</f>
        <v>0.29234327567098733</v>
      </c>
    </row>
    <row r="9" spans="1:27" ht="51" x14ac:dyDescent="0.25">
      <c r="A9" s="45">
        <f>A8+1</f>
        <v>2</v>
      </c>
      <c r="B9" s="368" t="s">
        <v>544</v>
      </c>
      <c r="C9" s="367" t="s">
        <v>463</v>
      </c>
      <c r="D9" s="161" t="s">
        <v>464</v>
      </c>
      <c r="E9" s="364">
        <v>20.753</v>
      </c>
      <c r="F9" s="364">
        <v>14.686</v>
      </c>
      <c r="G9" s="334"/>
      <c r="H9" s="919">
        <f t="shared" ref="H9:H56" si="2">G9+M9</f>
        <v>16.509000000000004</v>
      </c>
      <c r="I9" s="334">
        <f t="shared" ref="I9:I59" si="3">G9</f>
        <v>0</v>
      </c>
      <c r="J9" s="1059">
        <f>17.885-6.585+6.767</f>
        <v>18.067</v>
      </c>
      <c r="K9" s="363">
        <v>0</v>
      </c>
      <c r="L9" s="363"/>
      <c r="M9" s="363">
        <v>16.509000000000004</v>
      </c>
      <c r="N9" s="363">
        <v>0</v>
      </c>
      <c r="O9" s="363">
        <v>18.067</v>
      </c>
      <c r="P9" s="363">
        <v>0</v>
      </c>
      <c r="Q9" s="476"/>
      <c r="R9" s="363">
        <f t="shared" si="0"/>
        <v>6.0670000000000002</v>
      </c>
      <c r="S9" s="363">
        <f t="shared" ref="S9:S19" si="4">R9/E9*100</f>
        <v>29.234327567098735</v>
      </c>
      <c r="T9" s="264">
        <f t="shared" ref="T9:T19" si="5">100-S9</f>
        <v>70.765672432901269</v>
      </c>
      <c r="U9" s="264">
        <f t="shared" si="1"/>
        <v>11.682704861947673</v>
      </c>
      <c r="V9" s="365">
        <f t="shared" ref="V9:V57" si="6">J9-H9</f>
        <v>1.5579999999999963</v>
      </c>
      <c r="W9" s="366"/>
      <c r="X9" s="369"/>
    </row>
    <row r="10" spans="1:27" ht="51" x14ac:dyDescent="0.25">
      <c r="A10" s="45">
        <f t="shared" ref="A10:A30" si="7">A9+1</f>
        <v>3</v>
      </c>
      <c r="B10" s="368" t="s">
        <v>537</v>
      </c>
      <c r="C10" s="367" t="s">
        <v>463</v>
      </c>
      <c r="D10" s="161" t="s">
        <v>464</v>
      </c>
      <c r="E10" s="364">
        <v>17.98</v>
      </c>
      <c r="F10" s="364">
        <v>12.973000000000001</v>
      </c>
      <c r="G10" s="334"/>
      <c r="H10" s="919">
        <f t="shared" si="2"/>
        <v>4.2279999999999998</v>
      </c>
      <c r="I10" s="334">
        <f t="shared" si="3"/>
        <v>0</v>
      </c>
      <c r="J10" s="1059">
        <f>2.664+1.117+0.447</f>
        <v>4.2279999999999998</v>
      </c>
      <c r="K10" s="363">
        <v>0</v>
      </c>
      <c r="L10" s="363"/>
      <c r="M10" s="363">
        <v>4.2279999999999998</v>
      </c>
      <c r="N10" s="363">
        <v>0</v>
      </c>
      <c r="O10" s="363">
        <v>4.2279999999999998</v>
      </c>
      <c r="P10" s="363">
        <v>0</v>
      </c>
      <c r="Q10" s="476"/>
      <c r="R10" s="363">
        <f t="shared" si="0"/>
        <v>5.0069999999999997</v>
      </c>
      <c r="S10" s="363">
        <f t="shared" si="4"/>
        <v>27.847608453837598</v>
      </c>
      <c r="T10" s="264">
        <f t="shared" si="5"/>
        <v>72.152391546162406</v>
      </c>
      <c r="U10" s="264">
        <f t="shared" si="1"/>
        <v>3.0506031145717465</v>
      </c>
      <c r="V10" s="366">
        <f t="shared" si="6"/>
        <v>0</v>
      </c>
      <c r="W10" s="366"/>
      <c r="X10" s="369"/>
    </row>
    <row r="11" spans="1:27" ht="51" x14ac:dyDescent="0.25">
      <c r="A11" s="45">
        <f t="shared" si="7"/>
        <v>4</v>
      </c>
      <c r="B11" s="368" t="s">
        <v>538</v>
      </c>
      <c r="C11" s="367" t="s">
        <v>463</v>
      </c>
      <c r="D11" s="161" t="s">
        <v>464</v>
      </c>
      <c r="E11" s="364">
        <v>20.262</v>
      </c>
      <c r="F11" s="364">
        <v>14.612</v>
      </c>
      <c r="G11" s="334"/>
      <c r="H11" s="919">
        <f t="shared" si="2"/>
        <v>4.4530000000000012</v>
      </c>
      <c r="I11" s="334">
        <f t="shared" si="3"/>
        <v>0</v>
      </c>
      <c r="J11" s="1059">
        <f>2.361+0.719+1.494</f>
        <v>4.5739999999999998</v>
      </c>
      <c r="K11" s="363">
        <v>0</v>
      </c>
      <c r="L11" s="363"/>
      <c r="M11" s="363">
        <v>4.4530000000000012</v>
      </c>
      <c r="N11" s="363">
        <v>0</v>
      </c>
      <c r="O11" s="363">
        <v>4.5739999999999998</v>
      </c>
      <c r="P11" s="363">
        <v>0</v>
      </c>
      <c r="Q11" s="476"/>
      <c r="R11" s="363">
        <f t="shared" si="0"/>
        <v>5.65</v>
      </c>
      <c r="S11" s="363">
        <f t="shared" si="4"/>
        <v>27.884710295133747</v>
      </c>
      <c r="T11" s="264">
        <f t="shared" si="5"/>
        <v>72.115289704866257</v>
      </c>
      <c r="U11" s="264">
        <f t="shared" si="1"/>
        <v>3.2112938505576953</v>
      </c>
      <c r="V11" s="366">
        <f t="shared" si="6"/>
        <v>0.12099999999999866</v>
      </c>
      <c r="W11" s="366"/>
      <c r="X11" s="369"/>
    </row>
    <row r="12" spans="1:27" ht="51" x14ac:dyDescent="0.25">
      <c r="A12" s="45">
        <f t="shared" si="7"/>
        <v>5</v>
      </c>
      <c r="B12" s="368" t="s">
        <v>539</v>
      </c>
      <c r="C12" s="367" t="s">
        <v>463</v>
      </c>
      <c r="D12" s="161" t="s">
        <v>464</v>
      </c>
      <c r="E12" s="364">
        <v>17.015000000000001</v>
      </c>
      <c r="F12" s="364">
        <v>12.363</v>
      </c>
      <c r="G12" s="334"/>
      <c r="H12" s="919">
        <f t="shared" si="2"/>
        <v>16.847999999999999</v>
      </c>
      <c r="I12" s="334">
        <f t="shared" si="3"/>
        <v>0</v>
      </c>
      <c r="J12" s="1060">
        <f>16.848-17.96</f>
        <v>-1.1120000000000019</v>
      </c>
      <c r="K12" s="363">
        <v>0</v>
      </c>
      <c r="L12" s="363"/>
      <c r="M12" s="363">
        <v>16.847999999999999</v>
      </c>
      <c r="N12" s="363">
        <v>0</v>
      </c>
      <c r="O12" s="363">
        <v>-1.1120000000000019</v>
      </c>
      <c r="P12" s="363">
        <v>-19.072000000000003</v>
      </c>
      <c r="Q12" s="476"/>
      <c r="R12" s="363">
        <f t="shared" si="0"/>
        <v>4.652000000000001</v>
      </c>
      <c r="S12" s="363">
        <f>R12/E12*100</f>
        <v>27.340581839553341</v>
      </c>
      <c r="T12" s="264">
        <f>100-S12</f>
        <v>72.659418160446663</v>
      </c>
      <c r="U12" s="264">
        <f t="shared" si="1"/>
        <v>12.241658771672054</v>
      </c>
      <c r="V12" s="366">
        <f t="shared" si="6"/>
        <v>-17.96</v>
      </c>
      <c r="W12" s="366"/>
      <c r="X12" s="369"/>
    </row>
    <row r="13" spans="1:27" ht="51" x14ac:dyDescent="0.25">
      <c r="A13" s="45">
        <f t="shared" si="7"/>
        <v>6</v>
      </c>
      <c r="B13" s="368" t="s">
        <v>545</v>
      </c>
      <c r="C13" s="367" t="s">
        <v>463</v>
      </c>
      <c r="D13" s="161" t="s">
        <v>464</v>
      </c>
      <c r="E13" s="364">
        <v>17.689</v>
      </c>
      <c r="F13" s="364">
        <v>13.698</v>
      </c>
      <c r="G13" s="334"/>
      <c r="H13" s="919">
        <f t="shared" si="2"/>
        <v>11.093</v>
      </c>
      <c r="I13" s="334">
        <f t="shared" si="3"/>
        <v>0</v>
      </c>
      <c r="J13" s="1059">
        <f>8.926+2.167</f>
        <v>11.093</v>
      </c>
      <c r="K13" s="363">
        <v>0</v>
      </c>
      <c r="L13" s="363"/>
      <c r="M13" s="363">
        <v>11.093</v>
      </c>
      <c r="N13" s="363">
        <v>0</v>
      </c>
      <c r="O13" s="363">
        <v>11.093</v>
      </c>
      <c r="P13" s="363">
        <v>0</v>
      </c>
      <c r="Q13" s="476"/>
      <c r="R13" s="363">
        <f t="shared" si="0"/>
        <v>3.9909999999999997</v>
      </c>
      <c r="S13" s="363">
        <f t="shared" si="4"/>
        <v>22.562044208265021</v>
      </c>
      <c r="T13" s="264">
        <f t="shared" si="5"/>
        <v>77.437955791734979</v>
      </c>
      <c r="U13" s="264">
        <f t="shared" si="1"/>
        <v>8.590192435977162</v>
      </c>
      <c r="V13" s="366">
        <f t="shared" si="6"/>
        <v>0</v>
      </c>
      <c r="W13" s="366"/>
      <c r="X13" s="369"/>
    </row>
    <row r="14" spans="1:27" ht="42.75" x14ac:dyDescent="0.25">
      <c r="A14" s="45">
        <f t="shared" si="7"/>
        <v>7</v>
      </c>
      <c r="B14" s="368" t="s">
        <v>588</v>
      </c>
      <c r="C14" s="367" t="s">
        <v>463</v>
      </c>
      <c r="D14" s="161" t="s">
        <v>464</v>
      </c>
      <c r="E14" s="364">
        <v>19.283000000000001</v>
      </c>
      <c r="F14" s="364">
        <v>14.935</v>
      </c>
      <c r="G14" s="334"/>
      <c r="H14" s="919">
        <f t="shared" si="2"/>
        <v>8.8940000000000001</v>
      </c>
      <c r="I14" s="334">
        <f t="shared" si="3"/>
        <v>0</v>
      </c>
      <c r="J14" s="1059">
        <f>1.938+6.956</f>
        <v>8.8940000000000001</v>
      </c>
      <c r="K14" s="363">
        <v>0</v>
      </c>
      <c r="L14" s="363"/>
      <c r="M14" s="363">
        <v>8.8940000000000001</v>
      </c>
      <c r="N14" s="363">
        <v>0</v>
      </c>
      <c r="O14" s="363">
        <v>8.8940000000000001</v>
      </c>
      <c r="P14" s="363">
        <v>0</v>
      </c>
      <c r="Q14" s="476"/>
      <c r="R14" s="363">
        <f t="shared" si="0"/>
        <v>4.3480000000000008</v>
      </c>
      <c r="S14" s="363">
        <f>R14/E14*100</f>
        <v>22.548358657885188</v>
      </c>
      <c r="T14" s="264">
        <f>100-S14</f>
        <v>77.451641342114812</v>
      </c>
      <c r="U14" s="264">
        <f t="shared" si="1"/>
        <v>6.8885489809676912</v>
      </c>
      <c r="V14" s="366">
        <f t="shared" si="6"/>
        <v>0</v>
      </c>
      <c r="W14" s="366"/>
      <c r="X14" s="369"/>
    </row>
    <row r="15" spans="1:27" ht="42.75" x14ac:dyDescent="0.25">
      <c r="A15" s="45">
        <f t="shared" si="7"/>
        <v>8</v>
      </c>
      <c r="B15" s="368" t="s">
        <v>627</v>
      </c>
      <c r="C15" s="367" t="s">
        <v>463</v>
      </c>
      <c r="D15" s="161" t="s">
        <v>464</v>
      </c>
      <c r="E15" s="364">
        <v>11.803000000000001</v>
      </c>
      <c r="F15" s="364">
        <v>9.141</v>
      </c>
      <c r="G15" s="334"/>
      <c r="H15" s="919">
        <f t="shared" si="2"/>
        <v>11.797000000000001</v>
      </c>
      <c r="I15" s="334">
        <f t="shared" si="3"/>
        <v>0</v>
      </c>
      <c r="J15" s="1059">
        <v>11.797000000000001</v>
      </c>
      <c r="K15" s="363">
        <v>0</v>
      </c>
      <c r="L15" s="363"/>
      <c r="M15" s="363">
        <v>11.797000000000001</v>
      </c>
      <c r="N15" s="363">
        <v>0</v>
      </c>
      <c r="O15" s="363">
        <v>11.797000000000001</v>
      </c>
      <c r="P15" s="363">
        <v>0</v>
      </c>
      <c r="Q15" s="476"/>
      <c r="R15" s="363">
        <f t="shared" si="0"/>
        <v>2.6620000000000008</v>
      </c>
      <c r="S15" s="363">
        <f>R15/E15*100</f>
        <v>22.553588070829456</v>
      </c>
      <c r="T15" s="264">
        <f>100-S15</f>
        <v>77.446411929170552</v>
      </c>
      <c r="U15" s="264">
        <f t="shared" si="1"/>
        <v>9.1363532152842506</v>
      </c>
      <c r="V15" s="366">
        <f t="shared" si="6"/>
        <v>0</v>
      </c>
      <c r="W15" s="366"/>
      <c r="X15" s="369"/>
    </row>
    <row r="16" spans="1:27" ht="37.9" customHeight="1" x14ac:dyDescent="0.25">
      <c r="A16" s="45">
        <f t="shared" si="7"/>
        <v>9</v>
      </c>
      <c r="B16" s="368" t="s">
        <v>540</v>
      </c>
      <c r="C16" s="367" t="s">
        <v>503</v>
      </c>
      <c r="D16" s="161" t="s">
        <v>464</v>
      </c>
      <c r="E16" s="364">
        <v>18.391999999999999</v>
      </c>
      <c r="F16" s="364">
        <v>14.23</v>
      </c>
      <c r="G16" s="689"/>
      <c r="H16" s="919">
        <f t="shared" si="2"/>
        <v>15.369</v>
      </c>
      <c r="I16" s="334">
        <f t="shared" si="3"/>
        <v>0</v>
      </c>
      <c r="J16" s="1059">
        <f>13.281+2.331-0.243</f>
        <v>15.369</v>
      </c>
      <c r="K16" s="363">
        <v>0</v>
      </c>
      <c r="L16" s="678"/>
      <c r="M16" s="678">
        <v>15.369</v>
      </c>
      <c r="N16" s="678">
        <v>0</v>
      </c>
      <c r="O16" s="678">
        <v>15.369</v>
      </c>
      <c r="P16" s="678">
        <v>-0.24299999999999999</v>
      </c>
      <c r="Q16" s="478"/>
      <c r="R16" s="363">
        <f t="shared" si="0"/>
        <v>4.161999999999999</v>
      </c>
      <c r="S16" s="363">
        <f>R16/E16*100</f>
        <v>22.62940408873423</v>
      </c>
      <c r="T16" s="264">
        <f>100-S16</f>
        <v>77.370595911265767</v>
      </c>
      <c r="U16" s="264">
        <f t="shared" si="1"/>
        <v>11.891086885602435</v>
      </c>
      <c r="V16" s="366">
        <f t="shared" si="6"/>
        <v>0</v>
      </c>
      <c r="W16" s="366">
        <v>2445678</v>
      </c>
      <c r="X16" s="369" t="e">
        <f>W16/V16-1</f>
        <v>#DIV/0!</v>
      </c>
    </row>
    <row r="17" spans="1:26" ht="37.9" customHeight="1" x14ac:dyDescent="0.25">
      <c r="A17" s="45">
        <f t="shared" si="7"/>
        <v>10</v>
      </c>
      <c r="B17" s="368" t="s">
        <v>541</v>
      </c>
      <c r="C17" s="367" t="s">
        <v>504</v>
      </c>
      <c r="D17" s="161" t="s">
        <v>505</v>
      </c>
      <c r="E17" s="510">
        <v>7.6980000000000004</v>
      </c>
      <c r="F17" s="510">
        <v>6.7190000000000003</v>
      </c>
      <c r="G17" s="510"/>
      <c r="H17" s="1037">
        <f t="shared" si="2"/>
        <v>4.0599999999999987</v>
      </c>
      <c r="I17" s="334">
        <f t="shared" si="3"/>
        <v>0</v>
      </c>
      <c r="J17" s="1068">
        <f>3.626+0.434</f>
        <v>4.0599999999999996</v>
      </c>
      <c r="K17" s="363">
        <v>0</v>
      </c>
      <c r="L17" s="678"/>
      <c r="M17" s="678">
        <v>4.0599999999999987</v>
      </c>
      <c r="N17" s="678">
        <v>0</v>
      </c>
      <c r="O17" s="678">
        <v>4.0599999999999996</v>
      </c>
      <c r="P17" s="678">
        <v>0</v>
      </c>
      <c r="Q17" s="478"/>
      <c r="R17" s="363">
        <f t="shared" si="0"/>
        <v>0.97900000000000009</v>
      </c>
      <c r="S17" s="363">
        <f t="shared" si="4"/>
        <v>12.717588984151728</v>
      </c>
      <c r="T17" s="264">
        <f t="shared" si="5"/>
        <v>87.282411015848268</v>
      </c>
      <c r="U17" s="264">
        <f t="shared" si="1"/>
        <v>3.5436658872434386</v>
      </c>
      <c r="V17" s="366">
        <f t="shared" si="6"/>
        <v>0</v>
      </c>
      <c r="W17" s="366">
        <v>2445678</v>
      </c>
      <c r="X17" s="369" t="e">
        <f>W17/V17-1</f>
        <v>#DIV/0!</v>
      </c>
    </row>
    <row r="18" spans="1:26" ht="51" x14ac:dyDescent="0.25">
      <c r="A18" s="45">
        <f t="shared" si="7"/>
        <v>11</v>
      </c>
      <c r="B18" s="368" t="s">
        <v>542</v>
      </c>
      <c r="C18" s="367" t="s">
        <v>516</v>
      </c>
      <c r="D18" s="161" t="s">
        <v>505</v>
      </c>
      <c r="E18" s="364">
        <v>17.199000000000002</v>
      </c>
      <c r="F18" s="364">
        <v>14.967000000000001</v>
      </c>
      <c r="G18" s="363"/>
      <c r="H18" s="1037">
        <f t="shared" si="2"/>
        <v>0.30399999999999983</v>
      </c>
      <c r="I18" s="334">
        <f t="shared" si="3"/>
        <v>0</v>
      </c>
      <c r="J18" s="1068">
        <f>0.200121+0.104</f>
        <v>0.30412099999999997</v>
      </c>
      <c r="K18" s="363">
        <v>0</v>
      </c>
      <c r="L18" s="363"/>
      <c r="M18" s="363">
        <v>0.30399999999999983</v>
      </c>
      <c r="N18" s="363">
        <v>0</v>
      </c>
      <c r="O18" s="363">
        <v>0.30412099999999997</v>
      </c>
      <c r="P18" s="363">
        <v>0</v>
      </c>
      <c r="Q18" s="476"/>
      <c r="R18" s="363">
        <f t="shared" si="0"/>
        <v>2.2320000000000011</v>
      </c>
      <c r="S18" s="363">
        <f t="shared" si="4"/>
        <v>12.977498691784412</v>
      </c>
      <c r="T18" s="264">
        <f t="shared" si="5"/>
        <v>87.022501308215595</v>
      </c>
      <c r="U18" s="264">
        <f t="shared" ref="U18:U25" si="8">H18*T18/100</f>
        <v>0.26454840397697527</v>
      </c>
      <c r="V18" s="366">
        <f t="shared" si="6"/>
        <v>1.2100000000014877E-4</v>
      </c>
      <c r="W18" s="366">
        <v>2996342</v>
      </c>
      <c r="X18" s="369">
        <f>W18/V18-1</f>
        <v>24763157023.762943</v>
      </c>
    </row>
    <row r="19" spans="1:26" ht="38.25" x14ac:dyDescent="0.25">
      <c r="A19" s="715">
        <f t="shared" si="7"/>
        <v>12</v>
      </c>
      <c r="B19" s="368" t="s">
        <v>645</v>
      </c>
      <c r="C19" s="1123" t="s">
        <v>646</v>
      </c>
      <c r="D19" s="161" t="s">
        <v>647</v>
      </c>
      <c r="E19" s="364">
        <v>16.312000000000001</v>
      </c>
      <c r="F19" s="364">
        <v>14.622999999999999</v>
      </c>
      <c r="G19" s="689"/>
      <c r="H19" s="1037">
        <f t="shared" si="2"/>
        <v>14.897</v>
      </c>
      <c r="I19" s="334">
        <f t="shared" si="3"/>
        <v>0</v>
      </c>
      <c r="J19" s="1065">
        <f>6.242+3.584+2.959+2.112</f>
        <v>14.897</v>
      </c>
      <c r="K19" s="363">
        <v>0</v>
      </c>
      <c r="L19" s="363">
        <v>2.1120000000000001</v>
      </c>
      <c r="M19" s="363">
        <v>14.897</v>
      </c>
      <c r="N19" s="363">
        <v>5.0709999999999997</v>
      </c>
      <c r="O19" s="363">
        <v>14.897</v>
      </c>
      <c r="P19" s="363">
        <v>5.0709999999999997</v>
      </c>
      <c r="Q19" s="476"/>
      <c r="R19" s="363">
        <f t="shared" si="0"/>
        <v>1.6890000000000018</v>
      </c>
      <c r="S19" s="363">
        <f t="shared" si="4"/>
        <v>10.354340362923011</v>
      </c>
      <c r="T19" s="264">
        <f t="shared" si="5"/>
        <v>89.645659637076989</v>
      </c>
      <c r="U19" s="264">
        <f t="shared" si="8"/>
        <v>13.354513916135359</v>
      </c>
      <c r="V19" s="366">
        <f t="shared" si="6"/>
        <v>0</v>
      </c>
      <c r="W19" s="366"/>
      <c r="X19" s="369"/>
    </row>
    <row r="20" spans="1:26" ht="38.25" x14ac:dyDescent="0.25">
      <c r="A20" s="715">
        <f t="shared" si="7"/>
        <v>13</v>
      </c>
      <c r="B20" s="368" t="s">
        <v>635</v>
      </c>
      <c r="C20" s="367" t="s">
        <v>516</v>
      </c>
      <c r="D20" s="161" t="s">
        <v>505</v>
      </c>
      <c r="E20" s="364">
        <v>14.891999999999999</v>
      </c>
      <c r="F20" s="364">
        <v>13.574</v>
      </c>
      <c r="G20" s="689"/>
      <c r="H20" s="1037">
        <f t="shared" si="2"/>
        <v>12.788</v>
      </c>
      <c r="I20" s="334">
        <f t="shared" si="3"/>
        <v>0</v>
      </c>
      <c r="J20" s="1068">
        <f>1.887+1.964+6.249+0.804+0.468+1.416</f>
        <v>12.788</v>
      </c>
      <c r="K20" s="363">
        <v>0</v>
      </c>
      <c r="L20" s="363"/>
      <c r="M20" s="363">
        <v>12.788</v>
      </c>
      <c r="N20" s="363">
        <v>1.4159999999999999</v>
      </c>
      <c r="O20" s="363">
        <v>12.788</v>
      </c>
      <c r="P20" s="363">
        <v>1.4159999999999999</v>
      </c>
      <c r="Q20" s="476"/>
      <c r="R20" s="363">
        <f t="shared" si="0"/>
        <v>1.3179999999999996</v>
      </c>
      <c r="S20" s="363">
        <f t="shared" ref="S20:S56" si="9">R20/E20*100</f>
        <v>8.8503894708568343</v>
      </c>
      <c r="T20" s="264">
        <f t="shared" ref="T20:T56" si="10">100-S20</f>
        <v>91.14961052914316</v>
      </c>
      <c r="U20" s="264">
        <f t="shared" si="8"/>
        <v>11.656212194466827</v>
      </c>
      <c r="V20" s="366">
        <f t="shared" si="6"/>
        <v>0</v>
      </c>
      <c r="W20" s="366"/>
      <c r="X20" s="369"/>
    </row>
    <row r="21" spans="1:26" ht="38.25" customHeight="1" x14ac:dyDescent="0.25">
      <c r="A21" s="726">
        <f t="shared" si="7"/>
        <v>14</v>
      </c>
      <c r="B21" s="368" t="s">
        <v>657</v>
      </c>
      <c r="C21" s="367" t="s">
        <v>659</v>
      </c>
      <c r="D21" s="161" t="s">
        <v>647</v>
      </c>
      <c r="E21" s="364">
        <v>16.98</v>
      </c>
      <c r="F21" s="364">
        <v>14.375</v>
      </c>
      <c r="G21" s="689"/>
      <c r="H21" s="1037">
        <f t="shared" si="2"/>
        <v>15.297000000000001</v>
      </c>
      <c r="I21" s="334">
        <f t="shared" si="3"/>
        <v>0</v>
      </c>
      <c r="J21" s="1065">
        <f>5.277+8.342+1.678</f>
        <v>15.297000000000001</v>
      </c>
      <c r="K21" s="363">
        <v>0</v>
      </c>
      <c r="L21" s="363">
        <v>1.6780000000000008</v>
      </c>
      <c r="M21" s="363">
        <v>15.297000000000001</v>
      </c>
      <c r="N21" s="363">
        <v>6.955000000000001</v>
      </c>
      <c r="O21" s="363">
        <v>15.297000000000001</v>
      </c>
      <c r="P21" s="363">
        <v>6.9550000000000001</v>
      </c>
      <c r="Q21" s="476"/>
      <c r="R21" s="363">
        <f t="shared" si="0"/>
        <v>2.6050000000000004</v>
      </c>
      <c r="S21" s="363">
        <f t="shared" si="9"/>
        <v>15.341578327444052</v>
      </c>
      <c r="T21" s="264">
        <f t="shared" si="10"/>
        <v>84.658421672555946</v>
      </c>
      <c r="U21" s="264">
        <f t="shared" si="8"/>
        <v>12.950198763250883</v>
      </c>
      <c r="V21" s="366">
        <f t="shared" si="6"/>
        <v>0</v>
      </c>
      <c r="W21" s="366"/>
      <c r="X21" s="369"/>
    </row>
    <row r="22" spans="1:26" ht="42" customHeight="1" x14ac:dyDescent="0.25">
      <c r="A22" s="726">
        <f t="shared" si="7"/>
        <v>15</v>
      </c>
      <c r="B22" s="368" t="s">
        <v>656</v>
      </c>
      <c r="C22" s="367" t="s">
        <v>655</v>
      </c>
      <c r="D22" s="161" t="s">
        <v>647</v>
      </c>
      <c r="E22" s="364">
        <v>11.282</v>
      </c>
      <c r="F22" s="364">
        <v>10.772</v>
      </c>
      <c r="G22" s="689"/>
      <c r="H22" s="1037">
        <f t="shared" si="2"/>
        <v>6.0979999999999999</v>
      </c>
      <c r="I22" s="334">
        <f t="shared" si="3"/>
        <v>0</v>
      </c>
      <c r="J22" s="1065">
        <f>3.948+2.15+2.906</f>
        <v>9.0039999999999996</v>
      </c>
      <c r="K22" s="363">
        <v>0</v>
      </c>
      <c r="L22" s="363"/>
      <c r="M22" s="363">
        <v>6.0979999999999999</v>
      </c>
      <c r="N22" s="363">
        <v>2.15</v>
      </c>
      <c r="O22" s="363">
        <v>9.0039999999999996</v>
      </c>
      <c r="P22" s="363">
        <v>5.056</v>
      </c>
      <c r="Q22" s="476"/>
      <c r="R22" s="363">
        <f t="shared" si="0"/>
        <v>0.50999999999999979</v>
      </c>
      <c r="S22" s="363">
        <f t="shared" si="9"/>
        <v>4.5204750930686028</v>
      </c>
      <c r="T22" s="264">
        <f t="shared" si="10"/>
        <v>95.479524906931402</v>
      </c>
      <c r="U22" s="264">
        <f t="shared" si="8"/>
        <v>5.8223414288246769</v>
      </c>
      <c r="V22" s="365">
        <f t="shared" si="6"/>
        <v>2.9059999999999997</v>
      </c>
      <c r="W22" s="366"/>
      <c r="X22" s="369"/>
    </row>
    <row r="23" spans="1:26" ht="38.25" customHeight="1" x14ac:dyDescent="0.25">
      <c r="A23" s="726">
        <f t="shared" si="7"/>
        <v>16</v>
      </c>
      <c r="B23" s="368" t="s">
        <v>658</v>
      </c>
      <c r="C23" s="367" t="s">
        <v>653</v>
      </c>
      <c r="D23" s="161" t="s">
        <v>647</v>
      </c>
      <c r="E23" s="364">
        <v>10.231999999999999</v>
      </c>
      <c r="F23" s="364">
        <v>9.9120000000000008</v>
      </c>
      <c r="G23" s="689"/>
      <c r="H23" s="1037">
        <f t="shared" si="2"/>
        <v>1.44</v>
      </c>
      <c r="I23" s="334">
        <f t="shared" si="3"/>
        <v>0</v>
      </c>
      <c r="J23" s="1065">
        <f>1.021+0.419</f>
        <v>1.44</v>
      </c>
      <c r="K23" s="363">
        <v>0</v>
      </c>
      <c r="L23" s="363"/>
      <c r="M23" s="363">
        <v>1.44</v>
      </c>
      <c r="N23" s="363">
        <v>0.41899999999999998</v>
      </c>
      <c r="O23" s="363">
        <v>1.44</v>
      </c>
      <c r="P23" s="363">
        <v>0.41899999999999998</v>
      </c>
      <c r="Q23" s="476"/>
      <c r="R23" s="363">
        <f t="shared" si="0"/>
        <v>0.31999999999999851</v>
      </c>
      <c r="S23" s="363">
        <f t="shared" si="9"/>
        <v>3.1274433150898999</v>
      </c>
      <c r="T23" s="264">
        <f t="shared" si="10"/>
        <v>96.872556684910094</v>
      </c>
      <c r="U23" s="264">
        <f t="shared" si="8"/>
        <v>1.3949648162627053</v>
      </c>
      <c r="V23" s="366">
        <f t="shared" si="6"/>
        <v>0</v>
      </c>
      <c r="W23" s="366"/>
      <c r="X23" s="369"/>
      <c r="Z23" s="18">
        <f>14.897-12.785</f>
        <v>2.1120000000000001</v>
      </c>
    </row>
    <row r="24" spans="1:26" ht="37.9" customHeight="1" x14ac:dyDescent="0.25">
      <c r="A24" s="726">
        <f t="shared" si="7"/>
        <v>17</v>
      </c>
      <c r="B24" s="882" t="s">
        <v>546</v>
      </c>
      <c r="C24" s="43" t="s">
        <v>522</v>
      </c>
      <c r="D24" s="269" t="s">
        <v>527</v>
      </c>
      <c r="E24" s="364">
        <v>121.116</v>
      </c>
      <c r="F24" s="242">
        <v>112.878</v>
      </c>
      <c r="G24" s="264"/>
      <c r="H24" s="1037">
        <f t="shared" si="2"/>
        <v>33.407000000000004</v>
      </c>
      <c r="I24" s="334">
        <f t="shared" si="3"/>
        <v>0</v>
      </c>
      <c r="J24" s="1066">
        <f>18.264+2.505+10.316+2.322</f>
        <v>33.407000000000004</v>
      </c>
      <c r="K24" s="363">
        <v>0</v>
      </c>
      <c r="L24" s="363"/>
      <c r="M24" s="363">
        <v>33.407000000000004</v>
      </c>
      <c r="N24" s="363">
        <v>0</v>
      </c>
      <c r="O24" s="363">
        <v>33.407000000000004</v>
      </c>
      <c r="P24" s="363">
        <v>0</v>
      </c>
      <c r="Q24" s="298"/>
      <c r="R24" s="363">
        <f t="shared" si="0"/>
        <v>8.2379999999999995</v>
      </c>
      <c r="S24" s="363">
        <f t="shared" si="9"/>
        <v>6.8017437828197762</v>
      </c>
      <c r="T24" s="264">
        <f t="shared" si="10"/>
        <v>93.19825621718023</v>
      </c>
      <c r="U24" s="264">
        <f t="shared" si="8"/>
        <v>31.134741454473399</v>
      </c>
      <c r="V24" s="366">
        <f t="shared" si="6"/>
        <v>0</v>
      </c>
      <c r="W24" s="280"/>
      <c r="X24" s="369" t="e">
        <f>W24/V24-1</f>
        <v>#DIV/0!</v>
      </c>
    </row>
    <row r="25" spans="1:26" ht="37.9" customHeight="1" x14ac:dyDescent="0.25">
      <c r="A25" s="45">
        <f t="shared" si="7"/>
        <v>18</v>
      </c>
      <c r="B25" s="882" t="s">
        <v>595</v>
      </c>
      <c r="C25" s="367" t="s">
        <v>504</v>
      </c>
      <c r="D25" s="269" t="s">
        <v>622</v>
      </c>
      <c r="E25" s="710">
        <v>39.694000000000003</v>
      </c>
      <c r="F25" s="242">
        <v>37.625999999999998</v>
      </c>
      <c r="G25" s="688"/>
      <c r="H25" s="1037">
        <f t="shared" si="2"/>
        <v>14.334999999999997</v>
      </c>
      <c r="I25" s="334">
        <f t="shared" si="3"/>
        <v>0</v>
      </c>
      <c r="J25" s="1066">
        <f>8.553+11.978-10.268+4.072</f>
        <v>14.334999999999997</v>
      </c>
      <c r="K25" s="363">
        <v>0</v>
      </c>
      <c r="L25" s="363"/>
      <c r="M25" s="363">
        <v>14.334999999999997</v>
      </c>
      <c r="N25" s="363">
        <v>0</v>
      </c>
      <c r="O25" s="363">
        <v>14.334999999999997</v>
      </c>
      <c r="P25" s="363">
        <v>0</v>
      </c>
      <c r="Q25" s="298"/>
      <c r="R25" s="363">
        <f t="shared" si="0"/>
        <v>2.0680000000000049</v>
      </c>
      <c r="S25" s="363">
        <f t="shared" si="9"/>
        <v>5.209855393762294</v>
      </c>
      <c r="T25" s="264">
        <f t="shared" si="10"/>
        <v>94.790144606237703</v>
      </c>
      <c r="U25" s="264">
        <f t="shared" si="8"/>
        <v>13.588167229304172</v>
      </c>
      <c r="V25" s="366">
        <f t="shared" si="6"/>
        <v>0</v>
      </c>
      <c r="W25" s="280"/>
      <c r="X25" s="369" t="e">
        <f>W25/V25-1</f>
        <v>#DIV/0!</v>
      </c>
      <c r="Z25" s="25">
        <f>15.297-J21</f>
        <v>0</v>
      </c>
    </row>
    <row r="26" spans="1:26" ht="37.9" customHeight="1" x14ac:dyDescent="0.25">
      <c r="A26" s="45">
        <f t="shared" si="7"/>
        <v>19</v>
      </c>
      <c r="B26" s="882" t="s">
        <v>623</v>
      </c>
      <c r="C26" s="367" t="s">
        <v>504</v>
      </c>
      <c r="D26" s="269" t="s">
        <v>621</v>
      </c>
      <c r="E26" s="279">
        <v>14.976000000000001</v>
      </c>
      <c r="F26" s="242">
        <v>13.685</v>
      </c>
      <c r="G26" s="264"/>
      <c r="H26" s="1037">
        <f t="shared" si="2"/>
        <v>13.471</v>
      </c>
      <c r="I26" s="334">
        <f t="shared" si="3"/>
        <v>0</v>
      </c>
      <c r="J26" s="1066">
        <f>8.909+4.562</f>
        <v>13.471</v>
      </c>
      <c r="K26" s="363">
        <v>0</v>
      </c>
      <c r="L26" s="363"/>
      <c r="M26" s="363">
        <v>13.471</v>
      </c>
      <c r="N26" s="363">
        <v>0</v>
      </c>
      <c r="O26" s="363">
        <v>13.471</v>
      </c>
      <c r="P26" s="363">
        <v>0</v>
      </c>
      <c r="Q26" s="298"/>
      <c r="R26" s="363">
        <f t="shared" si="0"/>
        <v>1.2910000000000004</v>
      </c>
      <c r="S26" s="363">
        <f t="shared" si="9"/>
        <v>8.6204594017094038</v>
      </c>
      <c r="T26" s="264">
        <f t="shared" si="10"/>
        <v>91.379540598290589</v>
      </c>
      <c r="U26" s="264">
        <f>H26*T26/100</f>
        <v>12.309737913995725</v>
      </c>
      <c r="V26" s="366">
        <f t="shared" si="6"/>
        <v>0</v>
      </c>
    </row>
    <row r="27" spans="1:26" ht="37.9" customHeight="1" x14ac:dyDescent="0.25">
      <c r="A27" s="759">
        <f t="shared" si="7"/>
        <v>20</v>
      </c>
      <c r="B27" s="882" t="s">
        <v>696</v>
      </c>
      <c r="C27" s="43" t="s">
        <v>697</v>
      </c>
      <c r="D27" s="1087" t="s">
        <v>698</v>
      </c>
      <c r="E27" s="279">
        <v>13.673999999999999</v>
      </c>
      <c r="F27" s="279">
        <v>12.238</v>
      </c>
      <c r="G27" s="264"/>
      <c r="H27" s="1037">
        <f t="shared" si="2"/>
        <v>13.673999999999999</v>
      </c>
      <c r="I27" s="334">
        <f t="shared" si="3"/>
        <v>0</v>
      </c>
      <c r="J27" s="1063">
        <v>13.285</v>
      </c>
      <c r="K27" s="363">
        <v>0</v>
      </c>
      <c r="L27" s="363"/>
      <c r="M27" s="363">
        <v>13.673999999999999</v>
      </c>
      <c r="N27" s="363">
        <v>0</v>
      </c>
      <c r="O27" s="363">
        <v>13.285</v>
      </c>
      <c r="P27" s="363">
        <v>13.285</v>
      </c>
      <c r="Q27" s="298"/>
      <c r="R27" s="363">
        <f t="shared" si="0"/>
        <v>1.4359999999999999</v>
      </c>
      <c r="S27" s="363">
        <f t="shared" si="9"/>
        <v>10.501682024279654</v>
      </c>
      <c r="T27" s="264">
        <f t="shared" si="10"/>
        <v>89.49831797572034</v>
      </c>
      <c r="U27" s="264">
        <f>H27*T27/100</f>
        <v>12.238</v>
      </c>
      <c r="V27" s="366">
        <f t="shared" si="6"/>
        <v>-0.38899999999999935</v>
      </c>
    </row>
    <row r="28" spans="1:26" ht="37.9" customHeight="1" x14ac:dyDescent="0.25">
      <c r="A28" s="782">
        <f t="shared" si="7"/>
        <v>21</v>
      </c>
      <c r="B28" s="882" t="s">
        <v>708</v>
      </c>
      <c r="C28" s="43" t="s">
        <v>711</v>
      </c>
      <c r="D28" s="269" t="s">
        <v>712</v>
      </c>
      <c r="E28" s="279">
        <v>16.776</v>
      </c>
      <c r="F28" s="279">
        <v>14.342000000000001</v>
      </c>
      <c r="G28" s="264"/>
      <c r="H28" s="688">
        <f t="shared" si="2"/>
        <v>7.2410220000000001</v>
      </c>
      <c r="I28" s="334">
        <f t="shared" si="3"/>
        <v>0</v>
      </c>
      <c r="J28" s="1061">
        <v>7.2410220000000001</v>
      </c>
      <c r="K28" s="363">
        <v>0</v>
      </c>
      <c r="L28" s="363"/>
      <c r="M28" s="363">
        <v>7.2410220000000001</v>
      </c>
      <c r="N28" s="363">
        <v>7.2410220000000001</v>
      </c>
      <c r="O28" s="363">
        <v>7.2410220000000001</v>
      </c>
      <c r="P28" s="363">
        <v>7.2410220000000001</v>
      </c>
      <c r="Q28" s="298"/>
      <c r="R28" s="363">
        <f t="shared" si="0"/>
        <v>2.4339999999999993</v>
      </c>
      <c r="S28" s="363">
        <f t="shared" si="9"/>
        <v>14.508822126847873</v>
      </c>
      <c r="T28" s="264">
        <f t="shared" si="10"/>
        <v>85.491177873152125</v>
      </c>
      <c r="U28" s="264">
        <f>H28*T28/100</f>
        <v>6.1904349978540782</v>
      </c>
      <c r="V28" s="366">
        <f t="shared" si="6"/>
        <v>0</v>
      </c>
      <c r="W28" s="18">
        <f>9.004-6.098</f>
        <v>2.9059999999999997</v>
      </c>
    </row>
    <row r="29" spans="1:26" ht="37.9" customHeight="1" x14ac:dyDescent="0.25">
      <c r="A29" s="867">
        <f t="shared" si="7"/>
        <v>22</v>
      </c>
      <c r="B29" s="883" t="s">
        <v>709</v>
      </c>
      <c r="C29" s="868" t="s">
        <v>711</v>
      </c>
      <c r="D29" s="869" t="s">
        <v>712</v>
      </c>
      <c r="E29" s="870">
        <v>17.399000000000001</v>
      </c>
      <c r="F29" s="870">
        <v>14.875</v>
      </c>
      <c r="G29" s="871"/>
      <c r="H29" s="688">
        <f t="shared" si="2"/>
        <v>5.8709679999999995</v>
      </c>
      <c r="I29" s="334">
        <f t="shared" si="3"/>
        <v>0</v>
      </c>
      <c r="J29" s="1062">
        <v>5.8709679999999995</v>
      </c>
      <c r="K29" s="363">
        <v>0</v>
      </c>
      <c r="L29" s="363"/>
      <c r="M29" s="363">
        <v>5.8709679999999995</v>
      </c>
      <c r="N29" s="363">
        <v>5.8709679999999995</v>
      </c>
      <c r="O29" s="363">
        <v>5.8709679999999995</v>
      </c>
      <c r="P29" s="363">
        <v>5.8709679999999995</v>
      </c>
      <c r="Q29" s="298"/>
      <c r="R29" s="872">
        <f t="shared" si="0"/>
        <v>2.5240000000000009</v>
      </c>
      <c r="S29" s="872">
        <f t="shared" si="9"/>
        <v>14.5065808379792</v>
      </c>
      <c r="T29" s="871">
        <f t="shared" si="10"/>
        <v>85.4934191620208</v>
      </c>
      <c r="U29" s="871">
        <f>H29*T29/100</f>
        <v>5.0192912811081092</v>
      </c>
      <c r="V29" s="366">
        <f t="shared" si="6"/>
        <v>0</v>
      </c>
    </row>
    <row r="30" spans="1:26" ht="37.9" customHeight="1" x14ac:dyDescent="0.25">
      <c r="A30" s="865">
        <f t="shared" si="7"/>
        <v>23</v>
      </c>
      <c r="B30" s="882" t="s">
        <v>710</v>
      </c>
      <c r="C30" s="43" t="s">
        <v>711</v>
      </c>
      <c r="D30" s="269" t="s">
        <v>712</v>
      </c>
      <c r="E30" s="279">
        <v>16.594999999999999</v>
      </c>
      <c r="F30" s="279">
        <v>14.188000000000001</v>
      </c>
      <c r="G30" s="264"/>
      <c r="H30" s="688">
        <f t="shared" si="2"/>
        <v>9.2029519999999998</v>
      </c>
      <c r="I30" s="334">
        <f t="shared" si="3"/>
        <v>0</v>
      </c>
      <c r="J30" s="1061">
        <v>9.2029519999999998</v>
      </c>
      <c r="K30" s="363">
        <v>0</v>
      </c>
      <c r="L30" s="363"/>
      <c r="M30" s="363">
        <v>9.2029519999999998</v>
      </c>
      <c r="N30" s="363">
        <v>9.2029519999999998</v>
      </c>
      <c r="O30" s="363">
        <v>9.2029519999999998</v>
      </c>
      <c r="P30" s="363">
        <v>9.2029519999999998</v>
      </c>
      <c r="Q30" s="989"/>
      <c r="R30" s="363">
        <f t="shared" si="0"/>
        <v>2.4069999999999983</v>
      </c>
      <c r="S30" s="363">
        <f t="shared" si="9"/>
        <v>14.504368785778841</v>
      </c>
      <c r="T30" s="264">
        <f t="shared" si="10"/>
        <v>85.495631214221163</v>
      </c>
      <c r="U30" s="264">
        <f>H30*T30/100</f>
        <v>7.868121902741791</v>
      </c>
      <c r="V30" s="366">
        <f t="shared" si="6"/>
        <v>0</v>
      </c>
    </row>
    <row r="31" spans="1:26" ht="37.9" customHeight="1" x14ac:dyDescent="0.25">
      <c r="A31" s="865">
        <v>24</v>
      </c>
      <c r="B31" s="909" t="s">
        <v>741</v>
      </c>
      <c r="C31" s="43" t="s">
        <v>697</v>
      </c>
      <c r="D31" s="1087" t="s">
        <v>698</v>
      </c>
      <c r="E31" s="279">
        <v>15.852755999999999</v>
      </c>
      <c r="F31" s="279">
        <v>14.285423</v>
      </c>
      <c r="G31" s="264"/>
      <c r="H31" s="688">
        <f t="shared" si="2"/>
        <v>15.842000000000001</v>
      </c>
      <c r="I31" s="334">
        <f t="shared" si="3"/>
        <v>0</v>
      </c>
      <c r="J31" s="1063">
        <v>15.842000000000001</v>
      </c>
      <c r="K31" s="363">
        <v>0</v>
      </c>
      <c r="L31" s="363"/>
      <c r="M31" s="363">
        <v>15.842000000000001</v>
      </c>
      <c r="N31" s="363">
        <v>15.842000000000001</v>
      </c>
      <c r="O31" s="363">
        <v>15.842000000000001</v>
      </c>
      <c r="P31" s="363">
        <v>15.842000000000001</v>
      </c>
      <c r="Q31" s="989"/>
      <c r="R31" s="363">
        <f t="shared" si="0"/>
        <v>1.5673329999999996</v>
      </c>
      <c r="S31" s="363">
        <f t="shared" si="9"/>
        <v>9.8868171565877869</v>
      </c>
      <c r="T31" s="264">
        <f t="shared" si="10"/>
        <v>90.113182843412218</v>
      </c>
      <c r="U31" s="264">
        <f t="shared" ref="U31:U57" si="11">H31*T31/100</f>
        <v>14.275730426053364</v>
      </c>
      <c r="V31" s="366">
        <f t="shared" si="6"/>
        <v>0</v>
      </c>
    </row>
    <row r="32" spans="1:26" ht="37.9" customHeight="1" x14ac:dyDescent="0.25">
      <c r="A32" s="865">
        <v>25</v>
      </c>
      <c r="B32" s="882" t="s">
        <v>742</v>
      </c>
      <c r="C32" s="43" t="s">
        <v>697</v>
      </c>
      <c r="D32" s="1087" t="s">
        <v>698</v>
      </c>
      <c r="E32" s="279">
        <v>16.675066000000001</v>
      </c>
      <c r="F32" s="279">
        <v>14.935874</v>
      </c>
      <c r="G32" s="264"/>
      <c r="H32" s="688">
        <f t="shared" si="2"/>
        <v>12.336</v>
      </c>
      <c r="I32" s="334">
        <f t="shared" si="3"/>
        <v>0</v>
      </c>
      <c r="J32" s="1063">
        <v>12.336</v>
      </c>
      <c r="K32" s="363">
        <v>0</v>
      </c>
      <c r="L32" s="363"/>
      <c r="M32" s="363">
        <v>12.336</v>
      </c>
      <c r="N32" s="363">
        <v>12.336</v>
      </c>
      <c r="O32" s="363">
        <v>12.336</v>
      </c>
      <c r="P32" s="363">
        <v>12.336</v>
      </c>
      <c r="Q32" s="989"/>
      <c r="R32" s="363">
        <f t="shared" si="0"/>
        <v>1.739192000000001</v>
      </c>
      <c r="S32" s="363">
        <f t="shared" si="9"/>
        <v>10.429895749737968</v>
      </c>
      <c r="T32" s="264">
        <f t="shared" si="10"/>
        <v>89.570104250262034</v>
      </c>
      <c r="U32" s="264">
        <f t="shared" si="11"/>
        <v>11.049368060312325</v>
      </c>
      <c r="V32" s="366">
        <f t="shared" si="6"/>
        <v>0</v>
      </c>
    </row>
    <row r="33" spans="1:22" ht="37.9" customHeight="1" x14ac:dyDescent="0.25">
      <c r="A33" s="865">
        <v>26</v>
      </c>
      <c r="B33" s="882" t="s">
        <v>743</v>
      </c>
      <c r="C33" s="43" t="s">
        <v>744</v>
      </c>
      <c r="D33" s="269" t="s">
        <v>745</v>
      </c>
      <c r="E33" s="279">
        <v>15.109776999999999</v>
      </c>
      <c r="F33" s="279">
        <v>14.984911</v>
      </c>
      <c r="G33" s="264">
        <v>0.20125999999999999</v>
      </c>
      <c r="H33" s="688">
        <f t="shared" si="2"/>
        <v>9.4662600000000001</v>
      </c>
      <c r="I33" s="334">
        <f t="shared" si="3"/>
        <v>0.20125999999999999</v>
      </c>
      <c r="J33" s="363">
        <v>9.2650000000000006</v>
      </c>
      <c r="K33" s="363">
        <v>0</v>
      </c>
      <c r="L33" s="363">
        <v>0</v>
      </c>
      <c r="M33" s="363">
        <v>9.2650000000000006</v>
      </c>
      <c r="N33" s="363">
        <v>9.2650000000000006</v>
      </c>
      <c r="O33" s="363">
        <v>9.2650000000000006</v>
      </c>
      <c r="P33" s="363">
        <v>9.2650000000000006</v>
      </c>
      <c r="Q33" s="989"/>
      <c r="R33" s="363">
        <f t="shared" si="0"/>
        <v>0.12486599999999903</v>
      </c>
      <c r="S33" s="363">
        <f t="shared" si="9"/>
        <v>0.8263920771299208</v>
      </c>
      <c r="T33" s="264">
        <f t="shared" si="10"/>
        <v>99.173607922870076</v>
      </c>
      <c r="U33" s="264">
        <f t="shared" si="11"/>
        <v>9.3880315773594809</v>
      </c>
      <c r="V33" s="366">
        <f t="shared" si="6"/>
        <v>-0.20125999999999955</v>
      </c>
    </row>
    <row r="34" spans="1:22" ht="37.9" customHeight="1" x14ac:dyDescent="0.25">
      <c r="A34" s="865">
        <v>27</v>
      </c>
      <c r="B34" s="882" t="s">
        <v>746</v>
      </c>
      <c r="C34" s="43" t="s">
        <v>747</v>
      </c>
      <c r="D34" s="269" t="s">
        <v>745</v>
      </c>
      <c r="E34" s="279">
        <v>15.109776999999999</v>
      </c>
      <c r="F34" s="279">
        <v>14.984911</v>
      </c>
      <c r="G34" s="264">
        <v>0.39</v>
      </c>
      <c r="H34" s="688">
        <f t="shared" si="2"/>
        <v>10.553000000000001</v>
      </c>
      <c r="I34" s="334">
        <f t="shared" si="3"/>
        <v>0.39</v>
      </c>
      <c r="J34" s="363">
        <v>10.163</v>
      </c>
      <c r="K34" s="363">
        <v>0</v>
      </c>
      <c r="L34" s="363">
        <v>0</v>
      </c>
      <c r="M34" s="363">
        <v>10.163</v>
      </c>
      <c r="N34" s="363">
        <v>10.163</v>
      </c>
      <c r="O34" s="363">
        <v>10.163</v>
      </c>
      <c r="P34" s="363">
        <v>10.163</v>
      </c>
      <c r="Q34" s="989"/>
      <c r="R34" s="363">
        <f t="shared" si="0"/>
        <v>0.12486599999999903</v>
      </c>
      <c r="S34" s="363">
        <f t="shared" si="9"/>
        <v>0.8263920771299208</v>
      </c>
      <c r="T34" s="264">
        <f t="shared" si="10"/>
        <v>99.173607922870076</v>
      </c>
      <c r="U34" s="264">
        <f t="shared" si="11"/>
        <v>10.465790844100479</v>
      </c>
      <c r="V34" s="366">
        <f t="shared" si="6"/>
        <v>-0.39000000000000057</v>
      </c>
    </row>
    <row r="35" spans="1:22" ht="37.9" customHeight="1" x14ac:dyDescent="0.25">
      <c r="A35" s="865">
        <v>28</v>
      </c>
      <c r="B35" s="882" t="s">
        <v>757</v>
      </c>
      <c r="C35" s="43" t="s">
        <v>744</v>
      </c>
      <c r="D35" s="161" t="s">
        <v>772</v>
      </c>
      <c r="E35" s="279">
        <v>19.152000000000001</v>
      </c>
      <c r="F35" s="279">
        <v>14.938000000000001</v>
      </c>
      <c r="G35" s="264"/>
      <c r="H35" s="688">
        <f t="shared" si="2"/>
        <v>13.583</v>
      </c>
      <c r="I35" s="334">
        <f t="shared" si="3"/>
        <v>0</v>
      </c>
      <c r="J35" s="363">
        <v>13.583</v>
      </c>
      <c r="K35" s="363">
        <v>0</v>
      </c>
      <c r="L35" s="363">
        <v>7.0830000000000002</v>
      </c>
      <c r="M35" s="363">
        <v>13.583</v>
      </c>
      <c r="N35" s="363">
        <v>13.583</v>
      </c>
      <c r="O35" s="363">
        <v>13.583</v>
      </c>
      <c r="P35" s="363">
        <v>13.583</v>
      </c>
      <c r="Q35" s="989"/>
      <c r="R35" s="363">
        <f t="shared" si="0"/>
        <v>4.2140000000000004</v>
      </c>
      <c r="S35" s="363">
        <f t="shared" si="9"/>
        <v>22.002923976608187</v>
      </c>
      <c r="T35" s="264">
        <f t="shared" si="10"/>
        <v>77.997076023391813</v>
      </c>
      <c r="U35" s="264">
        <f t="shared" si="11"/>
        <v>10.59434283625731</v>
      </c>
      <c r="V35" s="366">
        <f t="shared" si="6"/>
        <v>0</v>
      </c>
    </row>
    <row r="36" spans="1:22" ht="37.9" customHeight="1" x14ac:dyDescent="0.25">
      <c r="A36" s="865">
        <v>29</v>
      </c>
      <c r="B36" s="882" t="s">
        <v>758</v>
      </c>
      <c r="C36" s="43" t="s">
        <v>744</v>
      </c>
      <c r="D36" s="269" t="s">
        <v>773</v>
      </c>
      <c r="E36" s="884">
        <v>11.536</v>
      </c>
      <c r="F36" s="884">
        <v>14.978</v>
      </c>
      <c r="G36" s="264"/>
      <c r="H36" s="688">
        <f t="shared" si="2"/>
        <v>12.542000000000002</v>
      </c>
      <c r="I36" s="334">
        <f t="shared" si="3"/>
        <v>0</v>
      </c>
      <c r="J36" s="1065">
        <v>12.542000000000002</v>
      </c>
      <c r="K36" s="363">
        <v>0</v>
      </c>
      <c r="L36" s="363">
        <v>0</v>
      </c>
      <c r="M36" s="363">
        <v>12.542000000000002</v>
      </c>
      <c r="N36" s="363">
        <v>12.542000000000002</v>
      </c>
      <c r="O36" s="363">
        <v>12.542000000000002</v>
      </c>
      <c r="P36" s="363">
        <v>12.542000000000002</v>
      </c>
      <c r="Q36" s="989"/>
      <c r="R36" s="363">
        <f t="shared" si="0"/>
        <v>-3.4420000000000002</v>
      </c>
      <c r="S36" s="363">
        <f t="shared" si="9"/>
        <v>-29.837031900138701</v>
      </c>
      <c r="T36" s="264">
        <f t="shared" si="10"/>
        <v>129.8370319001387</v>
      </c>
      <c r="U36" s="264">
        <f t="shared" si="11"/>
        <v>16.284160540915398</v>
      </c>
      <c r="V36" s="366">
        <f t="shared" si="6"/>
        <v>0</v>
      </c>
    </row>
    <row r="37" spans="1:22" ht="37.9" customHeight="1" x14ac:dyDescent="0.25">
      <c r="A37" s="865">
        <v>30</v>
      </c>
      <c r="B37" s="882" t="s">
        <v>759</v>
      </c>
      <c r="C37" s="43" t="s">
        <v>744</v>
      </c>
      <c r="D37" s="269" t="s">
        <v>774</v>
      </c>
      <c r="E37" s="279">
        <v>12.682</v>
      </c>
      <c r="F37" s="279">
        <v>9.2736000000000001</v>
      </c>
      <c r="G37" s="264"/>
      <c r="H37" s="688">
        <f t="shared" si="2"/>
        <v>6.7</v>
      </c>
      <c r="I37" s="334">
        <f t="shared" si="3"/>
        <v>0</v>
      </c>
      <c r="J37" s="363">
        <v>6.7</v>
      </c>
      <c r="K37" s="363">
        <v>0</v>
      </c>
      <c r="L37" s="363">
        <v>3.0050000000000003</v>
      </c>
      <c r="M37" s="363">
        <v>6.7</v>
      </c>
      <c r="N37" s="363">
        <v>6.7</v>
      </c>
      <c r="O37" s="363">
        <v>6.7</v>
      </c>
      <c r="P37" s="363">
        <v>6.7</v>
      </c>
      <c r="Q37" s="989"/>
      <c r="R37" s="363">
        <f t="shared" si="0"/>
        <v>3.4084000000000003</v>
      </c>
      <c r="S37" s="363">
        <f t="shared" si="9"/>
        <v>26.875887084056142</v>
      </c>
      <c r="T37" s="264">
        <f t="shared" si="10"/>
        <v>73.124112915943854</v>
      </c>
      <c r="U37" s="264">
        <f t="shared" si="11"/>
        <v>4.8993155653682381</v>
      </c>
      <c r="V37" s="366">
        <f t="shared" si="6"/>
        <v>0</v>
      </c>
    </row>
    <row r="38" spans="1:22" ht="37.9" customHeight="1" x14ac:dyDescent="0.25">
      <c r="A38" s="865">
        <v>31</v>
      </c>
      <c r="B38" s="882" t="s">
        <v>760</v>
      </c>
      <c r="C38" s="43" t="s">
        <v>756</v>
      </c>
      <c r="D38" s="269" t="s">
        <v>464</v>
      </c>
      <c r="E38" s="279">
        <v>19.899000000000001</v>
      </c>
      <c r="F38" s="279">
        <v>14.923999999999999</v>
      </c>
      <c r="G38" s="264"/>
      <c r="H38" s="688">
        <f t="shared" si="2"/>
        <v>19.405999999999999</v>
      </c>
      <c r="I38" s="334">
        <f t="shared" si="3"/>
        <v>0</v>
      </c>
      <c r="J38" s="1059">
        <v>19.405999999999999</v>
      </c>
      <c r="K38" s="363">
        <v>0</v>
      </c>
      <c r="L38" s="363">
        <v>2</v>
      </c>
      <c r="M38" s="363">
        <v>19.405999999999999</v>
      </c>
      <c r="N38" s="363">
        <v>19.405999999999999</v>
      </c>
      <c r="O38" s="363">
        <v>19.405999999999999</v>
      </c>
      <c r="P38" s="363">
        <v>19.405999999999999</v>
      </c>
      <c r="Q38" s="989"/>
      <c r="R38" s="363">
        <f t="shared" si="0"/>
        <v>4.9750000000000014</v>
      </c>
      <c r="S38" s="363">
        <f t="shared" si="9"/>
        <v>25.001256344539936</v>
      </c>
      <c r="T38" s="264">
        <f t="shared" si="10"/>
        <v>74.998743655460061</v>
      </c>
      <c r="U38" s="264">
        <f t="shared" si="11"/>
        <v>14.554256193778578</v>
      </c>
      <c r="V38" s="366">
        <f t="shared" si="6"/>
        <v>0</v>
      </c>
    </row>
    <row r="39" spans="1:22" ht="37.9" customHeight="1" x14ac:dyDescent="0.25">
      <c r="A39" s="865">
        <v>32</v>
      </c>
      <c r="B39" s="882" t="s">
        <v>923</v>
      </c>
      <c r="C39" s="43" t="s">
        <v>756</v>
      </c>
      <c r="D39" s="269" t="s">
        <v>464</v>
      </c>
      <c r="E39" s="279">
        <v>0</v>
      </c>
      <c r="F39" s="279">
        <v>0</v>
      </c>
      <c r="G39" s="264"/>
      <c r="H39" s="688">
        <f>G39+M39</f>
        <v>4.2510000000000012</v>
      </c>
      <c r="I39" s="334">
        <f t="shared" si="3"/>
        <v>0</v>
      </c>
      <c r="J39" s="1059">
        <v>4.2510000000000012</v>
      </c>
      <c r="K39" s="363">
        <v>0</v>
      </c>
      <c r="L39" s="363">
        <v>4.2510000000000012</v>
      </c>
      <c r="M39" s="363">
        <v>4.2510000000000012</v>
      </c>
      <c r="N39" s="363">
        <v>4.2510000000000012</v>
      </c>
      <c r="O39" s="363">
        <v>4.2510000000000012</v>
      </c>
      <c r="P39" s="363">
        <v>4.2510000000000012</v>
      </c>
      <c r="Q39" s="989"/>
      <c r="R39" s="363">
        <f>E39-F39</f>
        <v>0</v>
      </c>
      <c r="S39" s="363" t="e">
        <f>R39/E39*100</f>
        <v>#DIV/0!</v>
      </c>
      <c r="T39" s="264" t="e">
        <f>100-S39</f>
        <v>#DIV/0!</v>
      </c>
      <c r="U39" s="264" t="e">
        <f t="shared" si="11"/>
        <v>#DIV/0!</v>
      </c>
      <c r="V39" s="366">
        <f t="shared" si="6"/>
        <v>0</v>
      </c>
    </row>
    <row r="40" spans="1:22" ht="37.9" customHeight="1" x14ac:dyDescent="0.25">
      <c r="A40" s="865">
        <f>A39+1</f>
        <v>33</v>
      </c>
      <c r="B40" s="882" t="s">
        <v>761</v>
      </c>
      <c r="C40" s="43" t="s">
        <v>762</v>
      </c>
      <c r="D40" s="269" t="s">
        <v>775</v>
      </c>
      <c r="E40" s="279">
        <v>15.827999999999999</v>
      </c>
      <c r="F40" s="279">
        <v>13.862</v>
      </c>
      <c r="G40" s="264"/>
      <c r="H40" s="688">
        <f t="shared" si="2"/>
        <v>12.473000000000001</v>
      </c>
      <c r="I40" s="334">
        <f t="shared" si="3"/>
        <v>0</v>
      </c>
      <c r="J40" s="1064">
        <v>12.473000000000001</v>
      </c>
      <c r="K40" s="363">
        <v>0</v>
      </c>
      <c r="L40" s="363"/>
      <c r="M40" s="363">
        <v>12.473000000000001</v>
      </c>
      <c r="N40" s="363">
        <v>12.473000000000001</v>
      </c>
      <c r="O40" s="363">
        <v>12.473000000000001</v>
      </c>
      <c r="P40" s="363">
        <v>12.473000000000001</v>
      </c>
      <c r="Q40" s="989"/>
      <c r="R40" s="363">
        <f t="shared" si="0"/>
        <v>1.9659999999999993</v>
      </c>
      <c r="S40" s="363">
        <f t="shared" si="9"/>
        <v>12.421026029820567</v>
      </c>
      <c r="T40" s="264">
        <f t="shared" si="10"/>
        <v>87.578973970179433</v>
      </c>
      <c r="U40" s="264">
        <f t="shared" si="11"/>
        <v>10.923725423300482</v>
      </c>
      <c r="V40" s="366">
        <f t="shared" si="6"/>
        <v>0</v>
      </c>
    </row>
    <row r="41" spans="1:22" ht="37.9" customHeight="1" x14ac:dyDescent="0.25">
      <c r="A41" s="865">
        <f t="shared" ref="A41:A59" si="12">A40+1</f>
        <v>34</v>
      </c>
      <c r="B41" s="882" t="s">
        <v>763</v>
      </c>
      <c r="C41" s="43" t="s">
        <v>764</v>
      </c>
      <c r="D41" s="269" t="s">
        <v>777</v>
      </c>
      <c r="E41" s="279">
        <v>14.731</v>
      </c>
      <c r="F41" s="279">
        <v>14.489000000000001</v>
      </c>
      <c r="G41" s="264"/>
      <c r="H41" s="688">
        <f t="shared" si="2"/>
        <v>7.4489999999999998</v>
      </c>
      <c r="I41" s="334">
        <f t="shared" si="3"/>
        <v>0</v>
      </c>
      <c r="J41" s="1067">
        <v>7.4489999999999998</v>
      </c>
      <c r="K41" s="363">
        <v>0</v>
      </c>
      <c r="L41" s="363">
        <v>6.0129999999999999</v>
      </c>
      <c r="M41" s="363">
        <v>7.4489999999999998</v>
      </c>
      <c r="N41" s="363">
        <v>7.4489999999999998</v>
      </c>
      <c r="O41" s="363">
        <v>7.4489999999999998</v>
      </c>
      <c r="P41" s="363">
        <v>7.4489999999999998</v>
      </c>
      <c r="Q41" s="989"/>
      <c r="R41" s="363">
        <f t="shared" si="0"/>
        <v>0.2419999999999991</v>
      </c>
      <c r="S41" s="363">
        <f t="shared" si="9"/>
        <v>1.6427941076641035</v>
      </c>
      <c r="T41" s="264">
        <f t="shared" si="10"/>
        <v>98.357205892335898</v>
      </c>
      <c r="U41" s="264">
        <f t="shared" si="11"/>
        <v>7.3266282669201006</v>
      </c>
      <c r="V41" s="366">
        <f t="shared" si="6"/>
        <v>0</v>
      </c>
    </row>
    <row r="42" spans="1:22" ht="37.9" customHeight="1" x14ac:dyDescent="0.25">
      <c r="A42" s="865">
        <f t="shared" si="12"/>
        <v>35</v>
      </c>
      <c r="B42" s="882" t="s">
        <v>765</v>
      </c>
      <c r="C42" s="43" t="s">
        <v>766</v>
      </c>
      <c r="D42" s="1087" t="s">
        <v>698</v>
      </c>
      <c r="E42" s="279">
        <v>16.431000000000001</v>
      </c>
      <c r="F42" s="279">
        <v>14.85</v>
      </c>
      <c r="G42" s="264"/>
      <c r="H42" s="688">
        <f t="shared" si="2"/>
        <v>8.41</v>
      </c>
      <c r="I42" s="334">
        <f t="shared" si="3"/>
        <v>0</v>
      </c>
      <c r="J42" s="1063">
        <v>8.41</v>
      </c>
      <c r="K42" s="363">
        <v>0</v>
      </c>
      <c r="L42" s="363">
        <v>-0.89599999999999902</v>
      </c>
      <c r="M42" s="363">
        <v>8.41</v>
      </c>
      <c r="N42" s="363">
        <v>8.41</v>
      </c>
      <c r="O42" s="363">
        <v>8.41</v>
      </c>
      <c r="P42" s="363">
        <v>8.41</v>
      </c>
      <c r="Q42" s="989"/>
      <c r="R42" s="363">
        <f t="shared" si="0"/>
        <v>1.5810000000000013</v>
      </c>
      <c r="S42" s="363">
        <f t="shared" si="9"/>
        <v>9.6220558700018337</v>
      </c>
      <c r="T42" s="264">
        <f t="shared" si="10"/>
        <v>90.37794412999817</v>
      </c>
      <c r="U42" s="264">
        <f t="shared" si="11"/>
        <v>7.6007851013328454</v>
      </c>
      <c r="V42" s="366">
        <f t="shared" si="6"/>
        <v>0</v>
      </c>
    </row>
    <row r="43" spans="1:22" ht="37.9" customHeight="1" x14ac:dyDescent="0.25">
      <c r="A43" s="865">
        <f t="shared" si="12"/>
        <v>36</v>
      </c>
      <c r="B43" s="882" t="s">
        <v>767</v>
      </c>
      <c r="C43" s="43" t="s">
        <v>768</v>
      </c>
      <c r="D43" s="269" t="s">
        <v>771</v>
      </c>
      <c r="E43" s="279">
        <v>14.005000000000001</v>
      </c>
      <c r="F43" s="279">
        <v>11.505000000000001</v>
      </c>
      <c r="G43" s="264"/>
      <c r="H43" s="688">
        <f t="shared" si="2"/>
        <v>4.3079999999999998</v>
      </c>
      <c r="I43" s="334">
        <f t="shared" si="3"/>
        <v>0</v>
      </c>
      <c r="J43" s="1069">
        <v>4.3079999999999998</v>
      </c>
      <c r="K43" s="363">
        <v>0</v>
      </c>
      <c r="L43" s="334">
        <v>0</v>
      </c>
      <c r="M43" s="334">
        <v>4.3079999999999998</v>
      </c>
      <c r="N43" s="334">
        <v>4.3079999999999998</v>
      </c>
      <c r="O43" s="334">
        <v>4.3079999999999998</v>
      </c>
      <c r="P43" s="334">
        <v>4.3079999999999998</v>
      </c>
      <c r="Q43" s="989"/>
      <c r="R43" s="363">
        <f t="shared" si="0"/>
        <v>2.5</v>
      </c>
      <c r="S43" s="363">
        <f t="shared" si="9"/>
        <v>17.850767583006068</v>
      </c>
      <c r="T43" s="264">
        <f t="shared" si="10"/>
        <v>82.149232416993925</v>
      </c>
      <c r="U43" s="264">
        <f t="shared" si="11"/>
        <v>3.5389889325240982</v>
      </c>
      <c r="V43" s="366">
        <f t="shared" si="6"/>
        <v>0</v>
      </c>
    </row>
    <row r="44" spans="1:22" ht="37.9" customHeight="1" x14ac:dyDescent="0.25">
      <c r="A44" s="865">
        <f t="shared" si="12"/>
        <v>37</v>
      </c>
      <c r="B44" s="882" t="s">
        <v>769</v>
      </c>
      <c r="C44" s="43" t="s">
        <v>744</v>
      </c>
      <c r="D44" s="161" t="s">
        <v>770</v>
      </c>
      <c r="E44" s="279">
        <v>6.6580000000000004</v>
      </c>
      <c r="F44" s="279">
        <v>7.5</v>
      </c>
      <c r="G44" s="264"/>
      <c r="H44" s="688">
        <f t="shared" si="2"/>
        <v>3.8</v>
      </c>
      <c r="I44" s="334">
        <f t="shared" si="3"/>
        <v>0</v>
      </c>
      <c r="J44" s="1065">
        <v>3.8</v>
      </c>
      <c r="K44" s="363">
        <v>0</v>
      </c>
      <c r="L44" s="363">
        <v>0</v>
      </c>
      <c r="M44" s="363">
        <v>3.8</v>
      </c>
      <c r="N44" s="363">
        <v>3.8</v>
      </c>
      <c r="O44" s="363">
        <v>3.8</v>
      </c>
      <c r="P44" s="363">
        <v>3.8</v>
      </c>
      <c r="Q44" s="989"/>
      <c r="R44" s="363">
        <f t="shared" si="0"/>
        <v>-0.84199999999999964</v>
      </c>
      <c r="S44" s="363">
        <f t="shared" si="9"/>
        <v>-12.646440372484225</v>
      </c>
      <c r="T44" s="264">
        <f t="shared" si="10"/>
        <v>112.64644037248422</v>
      </c>
      <c r="U44" s="264">
        <f t="shared" si="11"/>
        <v>4.2805647341543995</v>
      </c>
      <c r="V44" s="366">
        <f t="shared" si="6"/>
        <v>0</v>
      </c>
    </row>
    <row r="45" spans="1:22" ht="37.9" customHeight="1" x14ac:dyDescent="0.25">
      <c r="A45" s="865">
        <f t="shared" si="12"/>
        <v>38</v>
      </c>
      <c r="B45" s="882" t="s">
        <v>776</v>
      </c>
      <c r="C45" s="43" t="s">
        <v>762</v>
      </c>
      <c r="D45" s="269" t="s">
        <v>775</v>
      </c>
      <c r="E45" s="279">
        <v>11.048999999999999</v>
      </c>
      <c r="F45" s="279">
        <v>10.068</v>
      </c>
      <c r="G45" s="264"/>
      <c r="H45" s="688">
        <f t="shared" si="2"/>
        <v>7.9779999999999998</v>
      </c>
      <c r="I45" s="334">
        <f t="shared" si="3"/>
        <v>0</v>
      </c>
      <c r="J45" s="1064">
        <v>7.9779999999999998</v>
      </c>
      <c r="K45" s="363">
        <v>0</v>
      </c>
      <c r="L45" s="363"/>
      <c r="M45" s="363">
        <v>7.9779999999999998</v>
      </c>
      <c r="N45" s="363">
        <v>7.9779999999999998</v>
      </c>
      <c r="O45" s="363">
        <v>7.9779999999999998</v>
      </c>
      <c r="P45" s="363">
        <v>7.9779999999999998</v>
      </c>
      <c r="Q45" s="989"/>
      <c r="R45" s="363">
        <f t="shared" si="0"/>
        <v>0.98099999999999987</v>
      </c>
      <c r="S45" s="363">
        <f t="shared" si="9"/>
        <v>8.8786315503665492</v>
      </c>
      <c r="T45" s="264">
        <f t="shared" si="10"/>
        <v>91.121368449633451</v>
      </c>
      <c r="U45" s="264">
        <f t="shared" si="11"/>
        <v>7.2696627749117564</v>
      </c>
      <c r="V45" s="366">
        <f t="shared" si="6"/>
        <v>0</v>
      </c>
    </row>
    <row r="46" spans="1:22" ht="37.9" customHeight="1" x14ac:dyDescent="0.25">
      <c r="A46" s="865">
        <f t="shared" si="12"/>
        <v>39</v>
      </c>
      <c r="B46" s="878" t="s">
        <v>855</v>
      </c>
      <c r="C46" s="1121" t="s">
        <v>778</v>
      </c>
      <c r="D46" s="269" t="s">
        <v>779</v>
      </c>
      <c r="E46" s="279">
        <v>15</v>
      </c>
      <c r="F46" s="279">
        <v>13.125</v>
      </c>
      <c r="G46" s="264"/>
      <c r="H46" s="688">
        <f t="shared" si="2"/>
        <v>13.5</v>
      </c>
      <c r="I46" s="334">
        <f t="shared" si="3"/>
        <v>0</v>
      </c>
      <c r="J46" s="1070">
        <v>13.5</v>
      </c>
      <c r="K46" s="363">
        <v>0</v>
      </c>
      <c r="L46" s="363">
        <v>0</v>
      </c>
      <c r="M46" s="363">
        <v>13.5</v>
      </c>
      <c r="N46" s="363">
        <v>13.5</v>
      </c>
      <c r="O46" s="363">
        <v>13.5</v>
      </c>
      <c r="P46" s="363">
        <v>13.5</v>
      </c>
      <c r="Q46" s="989"/>
      <c r="R46" s="363">
        <f t="shared" si="0"/>
        <v>1.875</v>
      </c>
      <c r="S46" s="363">
        <f t="shared" si="9"/>
        <v>12.5</v>
      </c>
      <c r="T46" s="264">
        <f t="shared" si="10"/>
        <v>87.5</v>
      </c>
      <c r="U46" s="264">
        <f t="shared" si="11"/>
        <v>11.8125</v>
      </c>
      <c r="V46" s="366">
        <f t="shared" si="6"/>
        <v>0</v>
      </c>
    </row>
    <row r="47" spans="1:22" ht="37.9" customHeight="1" x14ac:dyDescent="0.25">
      <c r="A47" s="865">
        <f t="shared" si="12"/>
        <v>40</v>
      </c>
      <c r="B47" s="878" t="s">
        <v>854</v>
      </c>
      <c r="C47" s="1121" t="s">
        <v>778</v>
      </c>
      <c r="D47" s="269" t="s">
        <v>779</v>
      </c>
      <c r="E47" s="279">
        <v>16.97</v>
      </c>
      <c r="F47" s="279">
        <v>14.993</v>
      </c>
      <c r="G47" s="264"/>
      <c r="H47" s="688">
        <f t="shared" si="2"/>
        <v>15.17</v>
      </c>
      <c r="I47" s="334">
        <f t="shared" si="3"/>
        <v>0</v>
      </c>
      <c r="J47" s="1070">
        <v>15.17</v>
      </c>
      <c r="K47" s="363">
        <v>0</v>
      </c>
      <c r="L47" s="363">
        <v>1.67</v>
      </c>
      <c r="M47" s="363">
        <v>15.17</v>
      </c>
      <c r="N47" s="363">
        <v>15.17</v>
      </c>
      <c r="O47" s="363">
        <v>15.17</v>
      </c>
      <c r="P47" s="363">
        <v>15.17</v>
      </c>
      <c r="Q47" s="989"/>
      <c r="R47" s="363">
        <f t="shared" si="0"/>
        <v>1.9769999999999985</v>
      </c>
      <c r="S47" s="363">
        <f t="shared" si="9"/>
        <v>11.649970536240417</v>
      </c>
      <c r="T47" s="264">
        <f t="shared" si="10"/>
        <v>88.350029463759583</v>
      </c>
      <c r="U47" s="264">
        <f t="shared" si="11"/>
        <v>13.40269946965233</v>
      </c>
      <c r="V47" s="366">
        <f t="shared" si="6"/>
        <v>0</v>
      </c>
    </row>
    <row r="48" spans="1:22" ht="37.9" customHeight="1" x14ac:dyDescent="0.25">
      <c r="A48" s="865">
        <f t="shared" si="12"/>
        <v>41</v>
      </c>
      <c r="B48" s="878" t="s">
        <v>853</v>
      </c>
      <c r="C48" s="1121" t="s">
        <v>778</v>
      </c>
      <c r="D48" s="269" t="s">
        <v>779</v>
      </c>
      <c r="E48" s="279">
        <v>16.593</v>
      </c>
      <c r="F48" s="279">
        <v>14.27</v>
      </c>
      <c r="G48" s="264"/>
      <c r="H48" s="688">
        <f t="shared" si="2"/>
        <v>16.7</v>
      </c>
      <c r="I48" s="334">
        <f t="shared" si="3"/>
        <v>0</v>
      </c>
      <c r="J48" s="1070">
        <v>16.7</v>
      </c>
      <c r="K48" s="363">
        <v>0</v>
      </c>
      <c r="L48" s="363">
        <v>6.1069999999999993</v>
      </c>
      <c r="M48" s="363">
        <v>16.7</v>
      </c>
      <c r="N48" s="363">
        <v>16.7</v>
      </c>
      <c r="O48" s="363">
        <v>16.7</v>
      </c>
      <c r="P48" s="363">
        <v>16.7</v>
      </c>
      <c r="Q48" s="989"/>
      <c r="R48" s="363">
        <f t="shared" si="0"/>
        <v>2.3230000000000004</v>
      </c>
      <c r="S48" s="363">
        <f t="shared" si="9"/>
        <v>13.999879467245227</v>
      </c>
      <c r="T48" s="264">
        <f t="shared" si="10"/>
        <v>86.000120532754778</v>
      </c>
      <c r="U48" s="264">
        <f t="shared" si="11"/>
        <v>14.362020128970048</v>
      </c>
      <c r="V48" s="366">
        <f t="shared" si="6"/>
        <v>0</v>
      </c>
    </row>
    <row r="49" spans="1:22" ht="37.9" customHeight="1" x14ac:dyDescent="0.25">
      <c r="A49" s="865">
        <f t="shared" si="12"/>
        <v>42</v>
      </c>
      <c r="B49" s="882" t="s">
        <v>840</v>
      </c>
      <c r="C49" s="43" t="s">
        <v>839</v>
      </c>
      <c r="D49" s="269" t="s">
        <v>647</v>
      </c>
      <c r="E49" s="279">
        <v>4.9104049999999999</v>
      </c>
      <c r="F49" s="279">
        <v>4.1040210000000004</v>
      </c>
      <c r="G49" s="264"/>
      <c r="H49" s="688">
        <f t="shared" si="2"/>
        <v>3.6520000000000001</v>
      </c>
      <c r="I49" s="334">
        <f t="shared" si="3"/>
        <v>0</v>
      </c>
      <c r="J49" s="1065">
        <v>3.6520000000000001</v>
      </c>
      <c r="K49" s="363">
        <v>0</v>
      </c>
      <c r="L49" s="363"/>
      <c r="M49" s="363">
        <v>3.6520000000000001</v>
      </c>
      <c r="N49" s="363">
        <v>3.6520000000000001</v>
      </c>
      <c r="O49" s="363">
        <v>3.6520000000000001</v>
      </c>
      <c r="P49" s="363">
        <v>3.6520000000000001</v>
      </c>
      <c r="Q49" s="989"/>
      <c r="R49" s="363">
        <f t="shared" si="0"/>
        <v>0.80638399999999955</v>
      </c>
      <c r="S49" s="363">
        <f t="shared" si="9"/>
        <v>16.421944829397976</v>
      </c>
      <c r="T49" s="264">
        <f t="shared" si="10"/>
        <v>83.578055170602028</v>
      </c>
      <c r="U49" s="264">
        <f t="shared" si="11"/>
        <v>3.052270574830386</v>
      </c>
      <c r="V49" s="366">
        <f t="shared" si="6"/>
        <v>0</v>
      </c>
    </row>
    <row r="50" spans="1:22" ht="37.9" customHeight="1" x14ac:dyDescent="0.25">
      <c r="A50" s="865">
        <f t="shared" si="12"/>
        <v>43</v>
      </c>
      <c r="B50" s="882" t="s">
        <v>841</v>
      </c>
      <c r="C50" s="43" t="s">
        <v>843</v>
      </c>
      <c r="D50" s="1087" t="s">
        <v>698</v>
      </c>
      <c r="E50" s="279">
        <v>16.084678</v>
      </c>
      <c r="F50" s="279">
        <v>14.250521000000001</v>
      </c>
      <c r="G50" s="264"/>
      <c r="H50" s="688">
        <f t="shared" si="2"/>
        <v>0</v>
      </c>
      <c r="I50" s="334">
        <f t="shared" si="3"/>
        <v>0</v>
      </c>
      <c r="J50" s="1063">
        <v>0</v>
      </c>
      <c r="K50" s="363">
        <v>0</v>
      </c>
      <c r="L50" s="363">
        <v>-7</v>
      </c>
      <c r="M50" s="363">
        <v>0</v>
      </c>
      <c r="N50" s="363">
        <v>0</v>
      </c>
      <c r="O50" s="363">
        <v>0</v>
      </c>
      <c r="P50" s="363">
        <v>0</v>
      </c>
      <c r="Q50" s="989"/>
      <c r="R50" s="363">
        <f t="shared" si="0"/>
        <v>1.8341569999999994</v>
      </c>
      <c r="S50" s="363">
        <f t="shared" si="9"/>
        <v>11.403131601391085</v>
      </c>
      <c r="T50" s="264">
        <f t="shared" si="10"/>
        <v>88.596868398608919</v>
      </c>
      <c r="U50" s="264">
        <f t="shared" si="11"/>
        <v>0</v>
      </c>
      <c r="V50" s="366">
        <f t="shared" si="6"/>
        <v>0</v>
      </c>
    </row>
    <row r="51" spans="1:22" ht="37.9" customHeight="1" x14ac:dyDescent="0.25">
      <c r="A51" s="865">
        <f t="shared" si="12"/>
        <v>44</v>
      </c>
      <c r="B51" s="882" t="s">
        <v>842</v>
      </c>
      <c r="C51" s="43" t="s">
        <v>843</v>
      </c>
      <c r="D51" s="1087" t="s">
        <v>698</v>
      </c>
      <c r="E51" s="279">
        <v>16.819962</v>
      </c>
      <c r="F51" s="279">
        <v>14.901960000000001</v>
      </c>
      <c r="G51" s="264"/>
      <c r="H51" s="688">
        <f t="shared" si="2"/>
        <v>6.2050000000000001</v>
      </c>
      <c r="I51" s="334">
        <f t="shared" si="3"/>
        <v>0</v>
      </c>
      <c r="J51" s="1063">
        <v>6.2050000000000001</v>
      </c>
      <c r="K51" s="363">
        <v>0</v>
      </c>
      <c r="L51" s="363">
        <v>-0.79499999999999993</v>
      </c>
      <c r="M51" s="363">
        <v>6.2050000000000001</v>
      </c>
      <c r="N51" s="363">
        <v>6.2050000000000001</v>
      </c>
      <c r="O51" s="363">
        <v>6.2050000000000001</v>
      </c>
      <c r="P51" s="363">
        <v>6.2050000000000001</v>
      </c>
      <c r="Q51" s="989"/>
      <c r="R51" s="363">
        <f t="shared" si="0"/>
        <v>1.9180019999999995</v>
      </c>
      <c r="S51" s="363">
        <f t="shared" si="9"/>
        <v>11.403129210398927</v>
      </c>
      <c r="T51" s="264">
        <f t="shared" si="10"/>
        <v>88.59687078960107</v>
      </c>
      <c r="U51" s="264">
        <f t="shared" si="11"/>
        <v>5.4974358324947472</v>
      </c>
      <c r="V51" s="366">
        <f t="shared" si="6"/>
        <v>0</v>
      </c>
    </row>
    <row r="52" spans="1:22" ht="37.9" customHeight="1" x14ac:dyDescent="0.25">
      <c r="A52" s="865">
        <f t="shared" si="12"/>
        <v>45</v>
      </c>
      <c r="B52" s="882" t="s">
        <v>844</v>
      </c>
      <c r="C52" s="43" t="s">
        <v>845</v>
      </c>
      <c r="D52" s="269" t="s">
        <v>908</v>
      </c>
      <c r="E52" s="279">
        <v>18.0684</v>
      </c>
      <c r="F52" s="279">
        <v>14.9688</v>
      </c>
      <c r="G52" s="264"/>
      <c r="H52" s="688">
        <f t="shared" si="2"/>
        <v>16.709</v>
      </c>
      <c r="I52" s="334">
        <f t="shared" si="3"/>
        <v>0</v>
      </c>
      <c r="J52" s="1070">
        <v>16.709</v>
      </c>
      <c r="K52" s="363">
        <v>0</v>
      </c>
      <c r="L52" s="363">
        <v>5.3689999999999998</v>
      </c>
      <c r="M52" s="363">
        <v>16.709</v>
      </c>
      <c r="N52" s="363">
        <v>16.709</v>
      </c>
      <c r="O52" s="363">
        <v>16.709</v>
      </c>
      <c r="P52" s="363">
        <v>16.709</v>
      </c>
      <c r="Q52" s="989"/>
      <c r="R52" s="363">
        <f t="shared" si="0"/>
        <v>3.0996000000000006</v>
      </c>
      <c r="S52" s="363">
        <f t="shared" si="9"/>
        <v>17.154811715481173</v>
      </c>
      <c r="T52" s="264">
        <f t="shared" si="10"/>
        <v>82.845188284518827</v>
      </c>
      <c r="U52" s="264">
        <f t="shared" si="11"/>
        <v>13.842602510460251</v>
      </c>
      <c r="V52" s="366">
        <f t="shared" si="6"/>
        <v>0</v>
      </c>
    </row>
    <row r="53" spans="1:22" ht="37.9" customHeight="1" x14ac:dyDescent="0.25">
      <c r="A53" s="865">
        <f t="shared" si="12"/>
        <v>46</v>
      </c>
      <c r="B53" s="882" t="s">
        <v>846</v>
      </c>
      <c r="C53" s="43" t="s">
        <v>839</v>
      </c>
      <c r="D53" s="269" t="s">
        <v>647</v>
      </c>
      <c r="E53" s="279">
        <v>6.6518199999999998</v>
      </c>
      <c r="F53" s="279">
        <v>6.3396239999999997</v>
      </c>
      <c r="G53" s="264"/>
      <c r="H53" s="688">
        <f t="shared" si="2"/>
        <v>6.1040000000000001</v>
      </c>
      <c r="I53" s="334">
        <f t="shared" si="3"/>
        <v>0</v>
      </c>
      <c r="J53" s="1065">
        <v>6.1040000000000001</v>
      </c>
      <c r="K53" s="363">
        <v>0</v>
      </c>
      <c r="L53" s="363">
        <v>3.1040000000000001</v>
      </c>
      <c r="M53" s="363">
        <v>6.1040000000000001</v>
      </c>
      <c r="N53" s="363">
        <v>6.1040000000000001</v>
      </c>
      <c r="O53" s="363">
        <v>6.1040000000000001</v>
      </c>
      <c r="P53" s="363">
        <v>6.1040000000000001</v>
      </c>
      <c r="Q53" s="989"/>
      <c r="R53" s="363">
        <f t="shared" si="0"/>
        <v>0.31219600000000014</v>
      </c>
      <c r="S53" s="363">
        <f t="shared" si="9"/>
        <v>4.6933921843946491</v>
      </c>
      <c r="T53" s="264">
        <f t="shared" si="10"/>
        <v>95.306607815605346</v>
      </c>
      <c r="U53" s="264">
        <f t="shared" si="11"/>
        <v>5.817515341064551</v>
      </c>
      <c r="V53" s="366">
        <f t="shared" si="6"/>
        <v>0</v>
      </c>
    </row>
    <row r="54" spans="1:22" ht="37.9" customHeight="1" x14ac:dyDescent="0.25">
      <c r="A54" s="865">
        <f t="shared" si="12"/>
        <v>47</v>
      </c>
      <c r="B54" s="882" t="s">
        <v>847</v>
      </c>
      <c r="C54" s="43" t="s">
        <v>848</v>
      </c>
      <c r="D54" s="269" t="s">
        <v>647</v>
      </c>
      <c r="E54" s="279">
        <v>4.4998440000000004</v>
      </c>
      <c r="F54" s="279">
        <v>4.4768990000000004</v>
      </c>
      <c r="G54" s="264"/>
      <c r="H54" s="688">
        <f t="shared" si="2"/>
        <v>2.8</v>
      </c>
      <c r="I54" s="334">
        <f t="shared" si="3"/>
        <v>0</v>
      </c>
      <c r="J54" s="1065">
        <v>2.8</v>
      </c>
      <c r="K54" s="363">
        <v>0</v>
      </c>
      <c r="L54" s="363"/>
      <c r="M54" s="363">
        <v>2.8</v>
      </c>
      <c r="N54" s="363">
        <v>2.8</v>
      </c>
      <c r="O54" s="363">
        <v>2.8</v>
      </c>
      <c r="P54" s="363">
        <v>2.8</v>
      </c>
      <c r="Q54" s="989"/>
      <c r="R54" s="363">
        <f t="shared" si="0"/>
        <v>2.2944999999999993E-2</v>
      </c>
      <c r="S54" s="363">
        <f t="shared" si="9"/>
        <v>0.50990656564983117</v>
      </c>
      <c r="T54" s="264">
        <f t="shared" si="10"/>
        <v>99.490093434350172</v>
      </c>
      <c r="U54" s="264">
        <f t="shared" si="11"/>
        <v>2.7857226161618045</v>
      </c>
      <c r="V54" s="366">
        <f t="shared" si="6"/>
        <v>0</v>
      </c>
    </row>
    <row r="55" spans="1:22" ht="37.9" customHeight="1" x14ac:dyDescent="0.25">
      <c r="A55" s="865">
        <f t="shared" si="12"/>
        <v>48</v>
      </c>
      <c r="B55" s="882" t="s">
        <v>849</v>
      </c>
      <c r="C55" s="43" t="s">
        <v>850</v>
      </c>
      <c r="D55" s="269" t="s">
        <v>712</v>
      </c>
      <c r="E55" s="279">
        <v>17.165237999999999</v>
      </c>
      <c r="F55" s="279">
        <v>14.976773</v>
      </c>
      <c r="G55" s="264"/>
      <c r="H55" s="688">
        <f t="shared" si="2"/>
        <v>2.5</v>
      </c>
      <c r="I55" s="334">
        <f t="shared" si="3"/>
        <v>0</v>
      </c>
      <c r="J55" s="1061">
        <v>2.5</v>
      </c>
      <c r="K55" s="363">
        <v>0</v>
      </c>
      <c r="L55" s="363"/>
      <c r="M55" s="363">
        <v>2.5</v>
      </c>
      <c r="N55" s="363">
        <v>2.5</v>
      </c>
      <c r="O55" s="363">
        <v>2.5</v>
      </c>
      <c r="P55" s="363">
        <v>2.5</v>
      </c>
      <c r="Q55" s="989"/>
      <c r="R55" s="363">
        <f t="shared" si="0"/>
        <v>2.188464999999999</v>
      </c>
      <c r="S55" s="363">
        <f t="shared" si="9"/>
        <v>12.749400853049631</v>
      </c>
      <c r="T55" s="264">
        <f t="shared" si="10"/>
        <v>87.250599146950364</v>
      </c>
      <c r="U55" s="264">
        <f t="shared" si="11"/>
        <v>2.181264978673759</v>
      </c>
      <c r="V55" s="366">
        <f t="shared" si="6"/>
        <v>0</v>
      </c>
    </row>
    <row r="56" spans="1:22" ht="37.9" customHeight="1" x14ac:dyDescent="0.25">
      <c r="A56" s="865">
        <f t="shared" si="12"/>
        <v>49</v>
      </c>
      <c r="B56" s="878" t="s">
        <v>852</v>
      </c>
      <c r="C56" s="1121" t="s">
        <v>778</v>
      </c>
      <c r="D56" s="269"/>
      <c r="E56" s="279">
        <v>12.361484000000001</v>
      </c>
      <c r="F56" s="279">
        <v>11.30598</v>
      </c>
      <c r="G56" s="264"/>
      <c r="H56" s="688">
        <f t="shared" si="2"/>
        <v>12.53</v>
      </c>
      <c r="I56" s="334">
        <f t="shared" si="3"/>
        <v>0</v>
      </c>
      <c r="J56" s="1070">
        <v>12.53</v>
      </c>
      <c r="K56" s="363">
        <v>0</v>
      </c>
      <c r="L56" s="363">
        <v>4.1689999999999987</v>
      </c>
      <c r="M56" s="363">
        <v>12.53</v>
      </c>
      <c r="N56" s="363">
        <v>12.53</v>
      </c>
      <c r="O56" s="363">
        <v>12.53</v>
      </c>
      <c r="P56" s="363">
        <v>12.53</v>
      </c>
      <c r="Q56" s="989"/>
      <c r="R56" s="363">
        <f t="shared" si="0"/>
        <v>1.0555040000000009</v>
      </c>
      <c r="S56" s="363">
        <f t="shared" si="9"/>
        <v>8.5386511845988782</v>
      </c>
      <c r="T56" s="264">
        <f t="shared" si="10"/>
        <v>91.461348815401124</v>
      </c>
      <c r="U56" s="264">
        <f t="shared" si="11"/>
        <v>11.460107006569761</v>
      </c>
      <c r="V56" s="366">
        <f t="shared" si="6"/>
        <v>0</v>
      </c>
    </row>
    <row r="57" spans="1:22" ht="37.9" customHeight="1" x14ac:dyDescent="0.25">
      <c r="A57" s="865">
        <f t="shared" si="12"/>
        <v>50</v>
      </c>
      <c r="B57" s="882" t="s">
        <v>898</v>
      </c>
      <c r="C57" s="43" t="s">
        <v>744</v>
      </c>
      <c r="D57" s="269" t="s">
        <v>899</v>
      </c>
      <c r="E57" s="279">
        <f>92.139-83.469</f>
        <v>8.6700000000000017</v>
      </c>
      <c r="F57" s="279">
        <v>1.8182179999999999</v>
      </c>
      <c r="G57" s="264"/>
      <c r="H57" s="688">
        <f>G57+M57</f>
        <v>0.91351199999999999</v>
      </c>
      <c r="I57" s="334">
        <f t="shared" si="3"/>
        <v>0</v>
      </c>
      <c r="J57" s="363">
        <v>0.91351199999999999</v>
      </c>
      <c r="K57" s="363">
        <v>0</v>
      </c>
      <c r="L57" s="363">
        <v>0.91351199999999999</v>
      </c>
      <c r="M57" s="363">
        <v>0.91351199999999999</v>
      </c>
      <c r="N57" s="363">
        <v>0.91351199999999999</v>
      </c>
      <c r="O57" s="363">
        <v>0.91351199999999999</v>
      </c>
      <c r="P57" s="363">
        <v>0.91351199999999999</v>
      </c>
      <c r="Q57" s="989"/>
      <c r="R57" s="363">
        <f>E57-F57</f>
        <v>6.8517820000000018</v>
      </c>
      <c r="S57" s="363">
        <f>R57/E57*100</f>
        <v>79.028627450980395</v>
      </c>
      <c r="T57" s="264">
        <f>100-S57</f>
        <v>20.971372549019605</v>
      </c>
      <c r="U57" s="264">
        <f t="shared" si="11"/>
        <v>0.1915760048</v>
      </c>
      <c r="V57" s="366">
        <f t="shared" si="6"/>
        <v>0</v>
      </c>
    </row>
    <row r="58" spans="1:22" ht="37.9" customHeight="1" x14ac:dyDescent="0.25">
      <c r="A58" s="865">
        <f t="shared" si="12"/>
        <v>51</v>
      </c>
      <c r="B58" s="882" t="s">
        <v>922</v>
      </c>
      <c r="C58" s="43" t="s">
        <v>920</v>
      </c>
      <c r="D58" s="269" t="s">
        <v>921</v>
      </c>
      <c r="E58" s="279">
        <v>15.999000000000001</v>
      </c>
      <c r="F58" s="279">
        <v>12.798999999999999</v>
      </c>
      <c r="G58" s="264"/>
      <c r="H58" s="688">
        <f>G58+M58</f>
        <v>13.275</v>
      </c>
      <c r="I58" s="334">
        <f t="shared" si="3"/>
        <v>0</v>
      </c>
      <c r="J58" s="363">
        <v>0</v>
      </c>
      <c r="K58" s="363">
        <v>0</v>
      </c>
      <c r="L58" s="363"/>
      <c r="M58" s="363">
        <v>13.275</v>
      </c>
      <c r="N58" s="363">
        <v>13.275</v>
      </c>
      <c r="O58" s="363">
        <v>0</v>
      </c>
      <c r="P58" s="363">
        <v>0</v>
      </c>
      <c r="Q58" s="989"/>
      <c r="R58" s="363">
        <f>E58-F58</f>
        <v>3.2000000000000011</v>
      </c>
      <c r="S58" s="363">
        <f>R58/E58*100</f>
        <v>20.001250078129889</v>
      </c>
      <c r="T58" s="264">
        <f>100-S58</f>
        <v>79.998749921870115</v>
      </c>
      <c r="U58" s="264">
        <f>H58*T58/100</f>
        <v>10.619834052128258</v>
      </c>
      <c r="V58" s="366"/>
    </row>
    <row r="59" spans="1:22" ht="37.9" customHeight="1" x14ac:dyDescent="0.25">
      <c r="A59" s="865">
        <f t="shared" si="12"/>
        <v>52</v>
      </c>
      <c r="B59" s="882" t="s">
        <v>936</v>
      </c>
      <c r="C59" s="43" t="s">
        <v>937</v>
      </c>
      <c r="D59" s="269" t="s">
        <v>938</v>
      </c>
      <c r="E59" s="279">
        <v>1.63</v>
      </c>
      <c r="F59" s="279">
        <v>1.482</v>
      </c>
      <c r="G59" s="264">
        <v>1.63</v>
      </c>
      <c r="H59" s="688">
        <f>G59+M59</f>
        <v>1.63</v>
      </c>
      <c r="I59" s="334">
        <f t="shared" si="3"/>
        <v>1.63</v>
      </c>
      <c r="J59" s="363">
        <v>0</v>
      </c>
      <c r="K59" s="363">
        <v>0</v>
      </c>
      <c r="L59" s="363"/>
      <c r="M59" s="363"/>
      <c r="N59" s="363"/>
      <c r="O59" s="363"/>
      <c r="P59" s="363"/>
      <c r="Q59" s="989"/>
      <c r="R59" s="363">
        <f>E59-F59</f>
        <v>0.14799999999999991</v>
      </c>
      <c r="S59" s="363">
        <f>R59/E59*100</f>
        <v>9.0797546012269894</v>
      </c>
      <c r="T59" s="264">
        <f>100-S59</f>
        <v>90.920245398773005</v>
      </c>
      <c r="U59" s="264">
        <f>H59*T59/100</f>
        <v>1.482</v>
      </c>
      <c r="V59" s="366"/>
    </row>
    <row r="60" spans="1:22" ht="37.9" customHeight="1" x14ac:dyDescent="0.25">
      <c r="A60" s="865"/>
      <c r="B60" s="882"/>
      <c r="C60" s="43"/>
      <c r="D60" s="269"/>
      <c r="E60" s="279"/>
      <c r="F60" s="279"/>
      <c r="G60" s="264"/>
      <c r="H60" s="688"/>
      <c r="I60" s="334"/>
      <c r="J60" s="363"/>
      <c r="K60" s="363"/>
      <c r="L60" s="363"/>
      <c r="M60" s="363"/>
      <c r="N60" s="363"/>
      <c r="O60" s="363"/>
      <c r="P60" s="363"/>
      <c r="Q60" s="989"/>
      <c r="R60" s="363"/>
      <c r="S60" s="363"/>
      <c r="T60" s="264"/>
      <c r="U60" s="264"/>
      <c r="V60" s="99"/>
    </row>
    <row r="61" spans="1:22" ht="30" customHeight="1" x14ac:dyDescent="0.25">
      <c r="A61" s="1194" t="s">
        <v>50</v>
      </c>
      <c r="B61" s="1194"/>
      <c r="C61" s="1194"/>
      <c r="D61" s="866"/>
      <c r="E61" s="877">
        <f>SUM(E8:E60)</f>
        <v>874.89720700000021</v>
      </c>
      <c r="F61" s="877">
        <f t="shared" ref="F61:U61" si="13">SUM(F8:F60)</f>
        <v>755.48851499999989</v>
      </c>
      <c r="G61" s="877">
        <f t="shared" si="13"/>
        <v>2.22126</v>
      </c>
      <c r="H61" s="877">
        <f t="shared" si="13"/>
        <v>513.61071400000014</v>
      </c>
      <c r="I61" s="877">
        <f t="shared" si="13"/>
        <v>2.22126</v>
      </c>
      <c r="J61" s="877">
        <f t="shared" si="13"/>
        <v>484.35057500000011</v>
      </c>
      <c r="K61" s="877">
        <f t="shared" si="13"/>
        <v>0</v>
      </c>
      <c r="L61" s="877">
        <f t="shared" si="13"/>
        <v>38.783511999999995</v>
      </c>
      <c r="M61" s="877">
        <f t="shared" si="13"/>
        <v>511.38945400000006</v>
      </c>
      <c r="N61" s="877">
        <f t="shared" si="13"/>
        <v>296.89045399999998</v>
      </c>
      <c r="O61" s="877">
        <f t="shared" si="13"/>
        <v>484.35057500000011</v>
      </c>
      <c r="P61" s="877">
        <f t="shared" si="13"/>
        <v>280.49145400000003</v>
      </c>
      <c r="Q61" s="877">
        <f t="shared" si="13"/>
        <v>0</v>
      </c>
      <c r="R61" s="877">
        <f t="shared" si="13"/>
        <v>119.40869199999997</v>
      </c>
      <c r="S61" s="877" t="e">
        <f t="shared" si="13"/>
        <v>#DIV/0!</v>
      </c>
      <c r="T61" s="877" t="e">
        <f t="shared" si="13"/>
        <v>#DIV/0!</v>
      </c>
      <c r="U61" s="877" t="e">
        <f t="shared" si="13"/>
        <v>#DIV/0!</v>
      </c>
    </row>
    <row r="62" spans="1:22" ht="31.15" customHeight="1" x14ac:dyDescent="0.25">
      <c r="A62" s="1193" t="s">
        <v>273</v>
      </c>
      <c r="B62" s="1193"/>
      <c r="C62" s="1193"/>
      <c r="D62" s="1193"/>
      <c r="E62" s="873">
        <f t="shared" ref="E62:K62" si="14">+E61*5%</f>
        <v>43.74486035000001</v>
      </c>
      <c r="F62" s="873">
        <f t="shared" si="14"/>
        <v>37.774425749999999</v>
      </c>
      <c r="G62" s="874">
        <f t="shared" si="14"/>
        <v>0.11106300000000001</v>
      </c>
      <c r="H62" s="874">
        <f t="shared" si="14"/>
        <v>25.680535700000007</v>
      </c>
      <c r="I62" s="874">
        <f t="shared" si="14"/>
        <v>0.11106300000000001</v>
      </c>
      <c r="J62" s="875">
        <f t="shared" si="14"/>
        <v>24.217528750000007</v>
      </c>
      <c r="K62" s="874">
        <f t="shared" si="14"/>
        <v>0</v>
      </c>
      <c r="L62" s="873">
        <f>+L61*5%</f>
        <v>1.9391755999999998</v>
      </c>
      <c r="M62" s="873">
        <f>+M61*5%</f>
        <v>25.569472700000006</v>
      </c>
      <c r="N62" s="873">
        <f>+N61*5%</f>
        <v>14.844522699999999</v>
      </c>
      <c r="O62" s="873">
        <f>+O61*5%</f>
        <v>24.217528750000007</v>
      </c>
      <c r="P62" s="873">
        <f>+P61*5%</f>
        <v>14.024572700000002</v>
      </c>
      <c r="Q62" s="477"/>
      <c r="R62" s="874">
        <v>3.6415000000000002</v>
      </c>
      <c r="S62" s="874">
        <v>0</v>
      </c>
      <c r="T62" s="876"/>
      <c r="U62" s="876"/>
    </row>
    <row r="63" spans="1:22" ht="40.9" customHeight="1" x14ac:dyDescent="0.25">
      <c r="A63" s="1194" t="s">
        <v>192</v>
      </c>
      <c r="B63" s="1194"/>
      <c r="C63" s="1194"/>
      <c r="D63" s="1194"/>
      <c r="E63" s="270">
        <f t="shared" ref="E63:J63" si="15">+E61+E62</f>
        <v>918.64206735000016</v>
      </c>
      <c r="F63" s="270">
        <f t="shared" si="15"/>
        <v>793.26294074999987</v>
      </c>
      <c r="G63" s="270">
        <f t="shared" si="15"/>
        <v>2.3323230000000001</v>
      </c>
      <c r="H63" s="270">
        <f t="shared" si="15"/>
        <v>539.29124970000021</v>
      </c>
      <c r="I63" s="270">
        <f t="shared" si="15"/>
        <v>2.3323230000000001</v>
      </c>
      <c r="J63" s="270">
        <f t="shared" si="15"/>
        <v>508.56810375000009</v>
      </c>
      <c r="K63" s="270">
        <f t="shared" ref="K63:P63" si="16">+K61+K62</f>
        <v>0</v>
      </c>
      <c r="L63" s="270">
        <f t="shared" si="16"/>
        <v>40.722687599999993</v>
      </c>
      <c r="M63" s="270">
        <f t="shared" si="16"/>
        <v>536.95892670000012</v>
      </c>
      <c r="N63" s="270">
        <f t="shared" si="16"/>
        <v>311.73497669999995</v>
      </c>
      <c r="O63" s="270">
        <f t="shared" si="16"/>
        <v>508.56810375000009</v>
      </c>
      <c r="P63" s="270">
        <f t="shared" si="16"/>
        <v>294.51602670000005</v>
      </c>
      <c r="Q63" s="299"/>
      <c r="R63" s="270">
        <v>76.471499999999992</v>
      </c>
      <c r="S63" s="270">
        <v>0</v>
      </c>
      <c r="T63" s="270"/>
      <c r="U63" s="270"/>
    </row>
    <row r="64" spans="1:22" x14ac:dyDescent="0.25">
      <c r="E64" s="99"/>
      <c r="F64" s="25"/>
      <c r="H64" s="99"/>
      <c r="I64" s="99"/>
      <c r="J64" s="99"/>
    </row>
    <row r="65" spans="1:12" ht="15" x14ac:dyDescent="0.25">
      <c r="A65" s="27" t="s">
        <v>274</v>
      </c>
      <c r="G65" s="25">
        <f>E61-F61</f>
        <v>119.40869200000031</v>
      </c>
      <c r="H65" s="99"/>
      <c r="J65" s="99">
        <f>+J61+'Anx B'!G21</f>
        <v>2696.9013630000004</v>
      </c>
    </row>
    <row r="66" spans="1:12" x14ac:dyDescent="0.25">
      <c r="C66" s="20" t="s">
        <v>342</v>
      </c>
      <c r="G66" s="18">
        <f>G65/E61*100</f>
        <v>13.6483110295265</v>
      </c>
      <c r="I66" s="18">
        <f>0.202*5/100</f>
        <v>1.01E-2</v>
      </c>
    </row>
    <row r="67" spans="1:12" x14ac:dyDescent="0.25">
      <c r="G67" s="18">
        <f>100-14.707</f>
        <v>85.293000000000006</v>
      </c>
      <c r="I67" s="18">
        <f>0.202-0.0101</f>
        <v>0.19190000000000002</v>
      </c>
      <c r="J67" s="674">
        <f>J63+'Anx B'!G23</f>
        <v>2831.7464311500007</v>
      </c>
      <c r="L67" s="25">
        <f>'Anx B'!P21-'Anx C '!J61</f>
        <v>0</v>
      </c>
    </row>
    <row r="68" spans="1:12" x14ac:dyDescent="0.25">
      <c r="G68" s="25">
        <f>H61*85.293/100</f>
        <v>438.07398629202015</v>
      </c>
    </row>
    <row r="70" spans="1:12" x14ac:dyDescent="0.25">
      <c r="D70" s="18" t="s">
        <v>737</v>
      </c>
      <c r="I70" s="99"/>
    </row>
    <row r="71" spans="1:12" x14ac:dyDescent="0.25">
      <c r="D71" s="18">
        <f>12.45</f>
        <v>12.45</v>
      </c>
    </row>
    <row r="72" spans="1:12" x14ac:dyDescent="0.25">
      <c r="D72" s="18">
        <v>101.935</v>
      </c>
      <c r="G72" s="18">
        <f>13.285*0.05</f>
        <v>0.66425000000000001</v>
      </c>
      <c r="I72" s="18">
        <f>79.822-79.824</f>
        <v>-1.9999999999953388E-3</v>
      </c>
    </row>
    <row r="73" spans="1:12" x14ac:dyDescent="0.25">
      <c r="D73" s="18">
        <v>7.0940000000000003</v>
      </c>
      <c r="F73" s="18">
        <v>14.358000000000001</v>
      </c>
      <c r="G73" s="99">
        <f>G72+H27</f>
        <v>14.338249999999999</v>
      </c>
    </row>
    <row r="74" spans="1:12" x14ac:dyDescent="0.25">
      <c r="D74" s="18">
        <f>D71+D72+D73</f>
        <v>121.479</v>
      </c>
      <c r="F74" s="18">
        <f>F73*5%</f>
        <v>0.71790000000000009</v>
      </c>
    </row>
    <row r="75" spans="1:12" x14ac:dyDescent="0.25">
      <c r="F75" s="18">
        <f>F73-F74</f>
        <v>13.6401</v>
      </c>
    </row>
    <row r="80" spans="1:12" x14ac:dyDescent="0.25">
      <c r="H80" s="321">
        <v>4644978</v>
      </c>
      <c r="I80" s="369">
        <f>H80/1000000</f>
        <v>4.6449780000000001</v>
      </c>
    </row>
    <row r="81" spans="8:10" x14ac:dyDescent="0.25">
      <c r="H81" s="321">
        <v>9010928</v>
      </c>
      <c r="I81" s="369">
        <f t="shared" ref="I81:I86" si="17">H81/1000000</f>
        <v>9.0109279999999998</v>
      </c>
    </row>
    <row r="82" spans="8:10" x14ac:dyDescent="0.25">
      <c r="H82" s="321">
        <v>12718312</v>
      </c>
      <c r="I82" s="369">
        <f t="shared" si="17"/>
        <v>12.718311999999999</v>
      </c>
    </row>
    <row r="83" spans="8:10" x14ac:dyDescent="0.25">
      <c r="H83" s="321">
        <v>15219018</v>
      </c>
      <c r="I83" s="369">
        <f t="shared" si="17"/>
        <v>15.219018</v>
      </c>
    </row>
    <row r="84" spans="8:10" x14ac:dyDescent="0.25">
      <c r="H84" s="321">
        <v>17737407</v>
      </c>
      <c r="I84" s="369">
        <f t="shared" si="17"/>
        <v>17.737407000000001</v>
      </c>
    </row>
    <row r="85" spans="8:10" x14ac:dyDescent="0.25">
      <c r="H85" s="321">
        <v>18505079</v>
      </c>
      <c r="I85" s="369">
        <f t="shared" si="17"/>
        <v>18.505078999999999</v>
      </c>
    </row>
    <row r="86" spans="8:10" x14ac:dyDescent="0.25">
      <c r="H86" s="321">
        <v>1253026</v>
      </c>
      <c r="I86" s="369">
        <f t="shared" si="17"/>
        <v>1.253026</v>
      </c>
    </row>
    <row r="87" spans="8:10" ht="15" x14ac:dyDescent="0.25">
      <c r="H87" s="445">
        <f>SUM(H80:H86)</f>
        <v>79088748</v>
      </c>
      <c r="I87" s="501">
        <f>SUM(I80:I86)</f>
        <v>79.088747999999995</v>
      </c>
      <c r="J87" s="99">
        <f>I87-R8-H16</f>
        <v>57.652748000000003</v>
      </c>
    </row>
    <row r="88" spans="8:10" x14ac:dyDescent="0.25">
      <c r="H88" s="321"/>
      <c r="I88" s="25">
        <f>I87-H61</f>
        <v>-434.52196600000013</v>
      </c>
    </row>
    <row r="89" spans="8:10" x14ac:dyDescent="0.25">
      <c r="H89" s="321"/>
    </row>
    <row r="90" spans="8:10" x14ac:dyDescent="0.25">
      <c r="H90" s="128">
        <f>H61*100/95</f>
        <v>540.6428568421054</v>
      </c>
    </row>
    <row r="91" spans="8:10" x14ac:dyDescent="0.25">
      <c r="H91" s="128">
        <f>H90-H61</f>
        <v>27.032142842105259</v>
      </c>
    </row>
  </sheetData>
  <mergeCells count="13">
    <mergeCell ref="L6:P6"/>
    <mergeCell ref="A62:D62"/>
    <mergeCell ref="A63:D63"/>
    <mergeCell ref="I5:K5"/>
    <mergeCell ref="A1:K1"/>
    <mergeCell ref="A3:K3"/>
    <mergeCell ref="A4:K4"/>
    <mergeCell ref="A61:C61"/>
    <mergeCell ref="A6:A7"/>
    <mergeCell ref="B6:B7"/>
    <mergeCell ref="E6:K6"/>
    <mergeCell ref="C6:C7"/>
    <mergeCell ref="D6:D7"/>
  </mergeCells>
  <printOptions horizontalCentered="1"/>
  <pageMargins left="0.65" right="0.3" top="0.61" bottom="0.24" header="0.11" footer="0.16"/>
  <pageSetup scale="22" orientation="landscape" r:id="rId1"/>
  <headerFooter alignWithMargins="0"/>
  <drawing r:id="rId2"/>
  <legacyDrawing r:id="rId3"/>
  <oleObjects>
    <mc:AlternateContent xmlns:mc="http://schemas.openxmlformats.org/markup-compatibility/2006">
      <mc:Choice Requires="x14">
        <oleObject progId="Word.Picture.8" shapeId="4097" r:id="rId4">
          <objectPr defaultSize="0" autoPict="0" r:id="rId5">
            <anchor moveWithCells="1" sizeWithCells="1">
              <from>
                <xdr:col>0</xdr:col>
                <xdr:colOff>0</xdr:colOff>
                <xdr:row>0</xdr:row>
                <xdr:rowOff>0</xdr:rowOff>
              </from>
              <to>
                <xdr:col>1</xdr:col>
                <xdr:colOff>66675</xdr:colOff>
                <xdr:row>2</xdr:row>
                <xdr:rowOff>28575</xdr:rowOff>
              </to>
            </anchor>
          </objectPr>
        </oleObject>
      </mc:Choice>
      <mc:Fallback>
        <oleObject progId="Word.Picture.8" shapeId="4097" r:id="rId4"/>
      </mc:Fallback>
    </mc:AlternateContent>
    <mc:AlternateContent xmlns:mc="http://schemas.openxmlformats.org/markup-compatibility/2006">
      <mc:Choice Requires="x14">
        <oleObject progId="Word.Picture.8" shapeId="4098" r:id="rId6">
          <objectPr defaultSize="0" autoPict="0" r:id="rId5">
            <anchor moveWithCells="1" sizeWithCells="1">
              <from>
                <xdr:col>0</xdr:col>
                <xdr:colOff>0</xdr:colOff>
                <xdr:row>68</xdr:row>
                <xdr:rowOff>0</xdr:rowOff>
              </from>
              <to>
                <xdr:col>1</xdr:col>
                <xdr:colOff>66675</xdr:colOff>
                <xdr:row>68</xdr:row>
                <xdr:rowOff>0</xdr:rowOff>
              </to>
            </anchor>
          </objectPr>
        </oleObject>
      </mc:Choice>
      <mc:Fallback>
        <oleObject progId="Word.Picture.8" shapeId="4098" r:id="rId6"/>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6"/>
  <sheetViews>
    <sheetView topLeftCell="A20" zoomScale="90" zoomScaleNormal="90" workbookViewId="0">
      <selection activeCell="D27" sqref="D27"/>
    </sheetView>
  </sheetViews>
  <sheetFormatPr defaultColWidth="8.85546875" defaultRowHeight="14.25" x14ac:dyDescent="0.2"/>
  <cols>
    <col min="1" max="1" width="8.140625" style="853" bestFit="1" customWidth="1"/>
    <col min="2" max="2" width="19.28515625" style="844" bestFit="1" customWidth="1"/>
    <col min="3" max="3" width="4.85546875" style="844" bestFit="1" customWidth="1"/>
    <col min="4" max="4" width="20.5703125" style="1145" bestFit="1" customWidth="1"/>
    <col min="5" max="5" width="15.7109375" style="1145" bestFit="1" customWidth="1"/>
    <col min="6" max="6" width="13.42578125" style="1145" bestFit="1" customWidth="1"/>
    <col min="7" max="7" width="14.140625" style="844" hidden="1" customWidth="1"/>
    <col min="8" max="8" width="14.7109375" style="1145" bestFit="1" customWidth="1"/>
    <col min="9" max="16384" width="8.85546875" style="844"/>
  </cols>
  <sheetData>
    <row r="1" spans="1:8" ht="15" x14ac:dyDescent="0.25">
      <c r="A1" s="1202" t="s">
        <v>942</v>
      </c>
      <c r="B1" s="1202"/>
      <c r="C1" s="1202"/>
      <c r="D1" s="1202"/>
      <c r="E1" s="1202"/>
      <c r="F1" s="1202"/>
      <c r="G1" s="1202"/>
      <c r="H1" s="1202"/>
    </row>
    <row r="2" spans="1:8" ht="15" x14ac:dyDescent="0.25">
      <c r="A2" s="1203" t="s">
        <v>940</v>
      </c>
      <c r="B2" s="1203"/>
      <c r="C2" s="1203"/>
      <c r="D2" s="1203"/>
      <c r="E2" s="1203"/>
      <c r="F2" s="1203"/>
      <c r="G2" s="1203"/>
      <c r="H2" s="1203"/>
    </row>
    <row r="3" spans="1:8" ht="15.75" thickBot="1" x14ac:dyDescent="0.3">
      <c r="A3" s="1159"/>
      <c r="B3" s="1159"/>
      <c r="C3" s="1159"/>
      <c r="D3" s="1159"/>
      <c r="E3" s="1159"/>
      <c r="F3" s="1159"/>
      <c r="G3" s="1159"/>
      <c r="H3" s="1159"/>
    </row>
    <row r="4" spans="1:8" ht="42.6" customHeight="1" x14ac:dyDescent="0.2">
      <c r="A4" s="1153" t="s">
        <v>941</v>
      </c>
      <c r="B4" s="1154" t="s">
        <v>943</v>
      </c>
      <c r="C4" s="1154" t="s">
        <v>13</v>
      </c>
      <c r="D4" s="1155" t="s">
        <v>972</v>
      </c>
      <c r="E4" s="1155" t="s">
        <v>971</v>
      </c>
      <c r="F4" s="1156" t="s">
        <v>367</v>
      </c>
      <c r="G4" s="1157" t="s">
        <v>951</v>
      </c>
      <c r="H4" s="1158" t="s">
        <v>950</v>
      </c>
    </row>
    <row r="5" spans="1:8" ht="15.75" thickBot="1" x14ac:dyDescent="0.3">
      <c r="A5" s="1137" t="s">
        <v>572</v>
      </c>
      <c r="B5" s="1138" t="s">
        <v>573</v>
      </c>
      <c r="C5" s="1138" t="s">
        <v>575</v>
      </c>
      <c r="D5" s="1143" t="s">
        <v>577</v>
      </c>
      <c r="E5" s="1143" t="s">
        <v>576</v>
      </c>
      <c r="F5" s="1143" t="s">
        <v>981</v>
      </c>
      <c r="G5" s="1138" t="s">
        <v>961</v>
      </c>
      <c r="H5" s="1149" t="s">
        <v>724</v>
      </c>
    </row>
    <row r="6" spans="1:8" ht="19.149999999999999" customHeight="1" x14ac:dyDescent="0.2">
      <c r="A6" s="1139">
        <v>1</v>
      </c>
      <c r="B6" s="1140" t="s">
        <v>944</v>
      </c>
      <c r="C6" s="1140" t="s">
        <v>949</v>
      </c>
      <c r="D6" s="1141">
        <v>14090861.574999999</v>
      </c>
      <c r="E6" s="1141">
        <v>13249644.25</v>
      </c>
      <c r="F6" s="1141">
        <f>E6-D6</f>
        <v>-841217.32499999925</v>
      </c>
      <c r="G6" s="1142">
        <f>E6/D6</f>
        <v>0.94030050465526627</v>
      </c>
      <c r="H6" s="1150"/>
    </row>
    <row r="7" spans="1:8" ht="19.149999999999999" customHeight="1" x14ac:dyDescent="0.2">
      <c r="A7" s="1129">
        <f>+A6+1</f>
        <v>2</v>
      </c>
      <c r="B7" s="1130" t="s">
        <v>517</v>
      </c>
      <c r="C7" s="1130" t="s">
        <v>949</v>
      </c>
      <c r="D7" s="1131">
        <v>704392.99</v>
      </c>
      <c r="E7" s="1131">
        <v>954961</v>
      </c>
      <c r="F7" s="1131">
        <f t="shared" ref="F7:F45" si="0">E7-D7</f>
        <v>250568.01</v>
      </c>
      <c r="G7" s="1132">
        <f>F7/D7</f>
        <v>0.35572189609666616</v>
      </c>
      <c r="H7" s="1151">
        <f>'Anx G'!V11</f>
        <v>0</v>
      </c>
    </row>
    <row r="8" spans="1:8" ht="19.149999999999999" customHeight="1" x14ac:dyDescent="0.2">
      <c r="A8" s="1129">
        <f t="shared" ref="A8:A13" si="1">+A7+1</f>
        <v>3</v>
      </c>
      <c r="B8" s="1130" t="s">
        <v>948</v>
      </c>
      <c r="C8" s="1130" t="s">
        <v>949</v>
      </c>
      <c r="D8" s="1131">
        <v>837318.64999999991</v>
      </c>
      <c r="E8" s="1131">
        <v>1276827</v>
      </c>
      <c r="F8" s="1131">
        <f t="shared" si="0"/>
        <v>439508.35000000009</v>
      </c>
      <c r="G8" s="1132">
        <f>F8/D8</f>
        <v>0.5248997499339112</v>
      </c>
      <c r="H8" s="1151">
        <f>'Anx G'!V15</f>
        <v>2205</v>
      </c>
    </row>
    <row r="9" spans="1:8" ht="19.149999999999999" customHeight="1" x14ac:dyDescent="0.2">
      <c r="A9" s="1129">
        <f t="shared" si="1"/>
        <v>4</v>
      </c>
      <c r="B9" s="1133" t="s">
        <v>486</v>
      </c>
      <c r="C9" s="1130" t="s">
        <v>476</v>
      </c>
      <c r="D9" s="1131">
        <v>5437.9930795207165</v>
      </c>
      <c r="E9" s="1131">
        <v>6932.2849999999989</v>
      </c>
      <c r="F9" s="1131">
        <f t="shared" si="0"/>
        <v>1494.2919204792825</v>
      </c>
      <c r="G9" s="1130"/>
      <c r="H9" s="1151">
        <f>'Anx G'!V16</f>
        <v>13.349999999999113</v>
      </c>
    </row>
    <row r="10" spans="1:8" ht="19.149999999999999" customHeight="1" x14ac:dyDescent="0.2">
      <c r="A10" s="1129">
        <f t="shared" si="1"/>
        <v>5</v>
      </c>
      <c r="B10" s="1133" t="s">
        <v>945</v>
      </c>
      <c r="C10" s="1130" t="s">
        <v>949</v>
      </c>
      <c r="D10" s="1131">
        <v>248170.50092478647</v>
      </c>
      <c r="E10" s="1131">
        <v>355267</v>
      </c>
      <c r="F10" s="1131">
        <f t="shared" si="0"/>
        <v>107096.49907521353</v>
      </c>
      <c r="G10" s="1130"/>
      <c r="H10" s="1151">
        <f>'Anx G'!V17</f>
        <v>0</v>
      </c>
    </row>
    <row r="11" spans="1:8" ht="19.149999999999999" customHeight="1" x14ac:dyDescent="0.2">
      <c r="A11" s="1129">
        <f t="shared" si="1"/>
        <v>6</v>
      </c>
      <c r="B11" s="1134" t="s">
        <v>947</v>
      </c>
      <c r="C11" s="1130" t="s">
        <v>949</v>
      </c>
      <c r="D11" s="1131">
        <v>376616.77562787267</v>
      </c>
      <c r="E11" s="1131">
        <v>480278</v>
      </c>
      <c r="F11" s="1131">
        <f t="shared" si="0"/>
        <v>103661.22437212733</v>
      </c>
      <c r="G11" s="1130"/>
      <c r="H11" s="1151">
        <f>'Anx G'!V12</f>
        <v>301</v>
      </c>
    </row>
    <row r="12" spans="1:8" ht="19.149999999999999" customHeight="1" x14ac:dyDescent="0.2">
      <c r="A12" s="1129">
        <f t="shared" si="1"/>
        <v>7</v>
      </c>
      <c r="B12" s="1134" t="s">
        <v>946</v>
      </c>
      <c r="C12" s="1130" t="s">
        <v>480</v>
      </c>
      <c r="D12" s="1131">
        <v>613533.71322638297</v>
      </c>
      <c r="E12" s="1131">
        <v>359735</v>
      </c>
      <c r="F12" s="1131">
        <f t="shared" si="0"/>
        <v>-253798.71322638297</v>
      </c>
      <c r="G12" s="1130"/>
      <c r="H12" s="1151">
        <f>'Anx G'!V20</f>
        <v>0</v>
      </c>
    </row>
    <row r="13" spans="1:8" ht="19.149999999999999" customHeight="1" x14ac:dyDescent="0.2">
      <c r="A13" s="1129">
        <f t="shared" si="1"/>
        <v>8</v>
      </c>
      <c r="B13" s="1134" t="s">
        <v>259</v>
      </c>
      <c r="C13" s="1130" t="s">
        <v>476</v>
      </c>
      <c r="D13" s="1131">
        <v>1783.6972470000001</v>
      </c>
      <c r="E13" s="1131">
        <v>1942.2379999999998</v>
      </c>
      <c r="F13" s="1131">
        <f t="shared" si="0"/>
        <v>158.54075299999977</v>
      </c>
      <c r="G13" s="1130"/>
      <c r="H13" s="1151">
        <f>'Anx G'!V36+'Anx G'!V37+'Anx G'!V38+'Anx G'!V39+'Anx G'!V40+'Anx G'!V41+'Anx G'!V42</f>
        <v>52.397999999999996</v>
      </c>
    </row>
    <row r="14" spans="1:8" ht="19.149999999999999" customHeight="1" x14ac:dyDescent="0.2">
      <c r="A14" s="1129">
        <f t="shared" ref="A14:A46" si="2">+A13+1</f>
        <v>9</v>
      </c>
      <c r="B14" s="1200" t="s">
        <v>952</v>
      </c>
      <c r="C14" s="1200"/>
      <c r="D14" s="1200"/>
      <c r="E14" s="1200"/>
      <c r="F14" s="1200"/>
      <c r="G14" s="1200"/>
      <c r="H14" s="1201"/>
    </row>
    <row r="15" spans="1:8" ht="19.149999999999999" customHeight="1" x14ac:dyDescent="0.2">
      <c r="A15" s="1129">
        <f t="shared" si="2"/>
        <v>10</v>
      </c>
      <c r="B15" s="1133" t="s">
        <v>953</v>
      </c>
      <c r="C15" s="1130" t="s">
        <v>480</v>
      </c>
      <c r="D15" s="1131">
        <v>149.25</v>
      </c>
      <c r="E15" s="1131">
        <v>156</v>
      </c>
      <c r="F15" s="1131">
        <f t="shared" si="0"/>
        <v>6.75</v>
      </c>
      <c r="G15" s="1130"/>
      <c r="H15" s="1151">
        <f>'Anx G'!V52</f>
        <v>0</v>
      </c>
    </row>
    <row r="16" spans="1:8" ht="19.149999999999999" customHeight="1" x14ac:dyDescent="0.2">
      <c r="A16" s="1129">
        <f t="shared" si="2"/>
        <v>11</v>
      </c>
      <c r="B16" s="1133" t="s">
        <v>954</v>
      </c>
      <c r="C16" s="1130" t="s">
        <v>480</v>
      </c>
      <c r="D16" s="1131">
        <v>261.39999999999998</v>
      </c>
      <c r="E16" s="1131">
        <v>273</v>
      </c>
      <c r="F16" s="1131">
        <f t="shared" si="0"/>
        <v>11.600000000000023</v>
      </c>
      <c r="G16" s="1130"/>
      <c r="H16" s="1151">
        <f>'Anx G'!V53</f>
        <v>0</v>
      </c>
    </row>
    <row r="17" spans="1:8" ht="19.149999999999999" customHeight="1" x14ac:dyDescent="0.2">
      <c r="A17" s="1129">
        <f t="shared" si="2"/>
        <v>12</v>
      </c>
      <c r="B17" s="1133" t="s">
        <v>955</v>
      </c>
      <c r="C17" s="1130" t="s">
        <v>480</v>
      </c>
      <c r="D17" s="1131">
        <v>160</v>
      </c>
      <c r="E17" s="1131">
        <v>165</v>
      </c>
      <c r="F17" s="1131">
        <f t="shared" si="0"/>
        <v>5</v>
      </c>
      <c r="G17" s="1130"/>
      <c r="H17" s="1151">
        <f>'Anx G'!V54</f>
        <v>0</v>
      </c>
    </row>
    <row r="18" spans="1:8" ht="19.149999999999999" customHeight="1" x14ac:dyDescent="0.2">
      <c r="A18" s="1129">
        <f t="shared" si="2"/>
        <v>13</v>
      </c>
      <c r="B18" s="1133" t="s">
        <v>956</v>
      </c>
      <c r="C18" s="1130" t="s">
        <v>480</v>
      </c>
      <c r="D18" s="1131">
        <v>15.541686875000002</v>
      </c>
      <c r="E18" s="1131">
        <v>60</v>
      </c>
      <c r="F18" s="1131">
        <f t="shared" si="0"/>
        <v>44.458313124999997</v>
      </c>
      <c r="G18" s="1130"/>
      <c r="H18" s="1151">
        <f>'Anx G'!V55</f>
        <v>0</v>
      </c>
    </row>
    <row r="19" spans="1:8" ht="19.149999999999999" customHeight="1" x14ac:dyDescent="0.2">
      <c r="A19" s="1129">
        <f t="shared" si="2"/>
        <v>14</v>
      </c>
      <c r="B19" s="1133" t="s">
        <v>957</v>
      </c>
      <c r="C19" s="1130" t="s">
        <v>480</v>
      </c>
      <c r="D19" s="1131">
        <v>127.14572212500001</v>
      </c>
      <c r="E19" s="1131">
        <v>152</v>
      </c>
      <c r="F19" s="1131">
        <f t="shared" si="0"/>
        <v>24.854277874999994</v>
      </c>
      <c r="G19" s="1130"/>
      <c r="H19" s="1151">
        <f>'Anx G'!V56</f>
        <v>0</v>
      </c>
    </row>
    <row r="20" spans="1:8" ht="19.149999999999999" customHeight="1" x14ac:dyDescent="0.2">
      <c r="A20" s="1129">
        <f t="shared" si="2"/>
        <v>15</v>
      </c>
      <c r="B20" s="1133" t="s">
        <v>958</v>
      </c>
      <c r="C20" s="1130" t="s">
        <v>480</v>
      </c>
      <c r="D20" s="1131">
        <v>161.30380299999999</v>
      </c>
      <c r="E20" s="1131">
        <v>261</v>
      </c>
      <c r="F20" s="1131">
        <f t="shared" si="0"/>
        <v>99.696197000000012</v>
      </c>
      <c r="G20" s="1130"/>
      <c r="H20" s="1151">
        <f>'Anx G'!V57</f>
        <v>0</v>
      </c>
    </row>
    <row r="21" spans="1:8" ht="19.149999999999999" customHeight="1" x14ac:dyDescent="0.2">
      <c r="A21" s="1129">
        <f t="shared" si="2"/>
        <v>16</v>
      </c>
      <c r="B21" s="1133" t="s">
        <v>959</v>
      </c>
      <c r="C21" s="1130" t="s">
        <v>480</v>
      </c>
      <c r="D21" s="1131">
        <v>108</v>
      </c>
      <c r="E21" s="1131">
        <v>116</v>
      </c>
      <c r="F21" s="1131">
        <f t="shared" si="0"/>
        <v>8</v>
      </c>
      <c r="G21" s="1130"/>
      <c r="H21" s="1151">
        <f>'Anx G'!V58</f>
        <v>0</v>
      </c>
    </row>
    <row r="22" spans="1:8" ht="19.149999999999999" customHeight="1" x14ac:dyDescent="0.2">
      <c r="A22" s="1129">
        <f t="shared" si="2"/>
        <v>17</v>
      </c>
      <c r="B22" s="1133" t="s">
        <v>960</v>
      </c>
      <c r="C22" s="1130" t="s">
        <v>480</v>
      </c>
      <c r="D22" s="1131">
        <v>39.374870875000006</v>
      </c>
      <c r="E22" s="1131">
        <v>42</v>
      </c>
      <c r="F22" s="1131">
        <f t="shared" si="0"/>
        <v>2.6251291249999937</v>
      </c>
      <c r="G22" s="1130"/>
      <c r="H22" s="1151">
        <f>'Anx G'!V59</f>
        <v>0</v>
      </c>
    </row>
    <row r="23" spans="1:8" ht="19.149999999999999" customHeight="1" x14ac:dyDescent="0.2">
      <c r="A23" s="1129">
        <f t="shared" si="2"/>
        <v>18</v>
      </c>
      <c r="B23" s="1200" t="s">
        <v>962</v>
      </c>
      <c r="C23" s="1200"/>
      <c r="D23" s="1200"/>
      <c r="E23" s="1200"/>
      <c r="F23" s="1200"/>
      <c r="G23" s="1200"/>
      <c r="H23" s="1201"/>
    </row>
    <row r="24" spans="1:8" ht="19.149999999999999" customHeight="1" x14ac:dyDescent="0.2">
      <c r="A24" s="1129">
        <f t="shared" si="2"/>
        <v>19</v>
      </c>
      <c r="B24" s="1133" t="s">
        <v>963</v>
      </c>
      <c r="C24" s="1130" t="s">
        <v>973</v>
      </c>
      <c r="D24" s="1131">
        <v>31420.054861322762</v>
      </c>
      <c r="E24" s="1131">
        <v>17896.068271868331</v>
      </c>
      <c r="F24" s="1131">
        <f t="shared" si="0"/>
        <v>-13523.986589454431</v>
      </c>
      <c r="G24" s="1130"/>
      <c r="H24" s="1151"/>
    </row>
    <row r="25" spans="1:8" ht="19.149999999999999" customHeight="1" x14ac:dyDescent="0.2">
      <c r="A25" s="1129">
        <f t="shared" si="2"/>
        <v>20</v>
      </c>
      <c r="B25" s="1133" t="s">
        <v>964</v>
      </c>
      <c r="C25" s="1130" t="s">
        <v>973</v>
      </c>
      <c r="D25" s="1131">
        <v>9041.0499999999993</v>
      </c>
      <c r="E25" s="1131">
        <v>7182</v>
      </c>
      <c r="F25" s="1131">
        <f t="shared" si="0"/>
        <v>-1859.0499999999993</v>
      </c>
      <c r="G25" s="1130"/>
      <c r="H25" s="1151">
        <f>'Anx G'!V43</f>
        <v>0</v>
      </c>
    </row>
    <row r="26" spans="1:8" ht="19.149999999999999" customHeight="1" x14ac:dyDescent="0.2">
      <c r="A26" s="1129">
        <f t="shared" si="2"/>
        <v>21</v>
      </c>
      <c r="B26" s="1133" t="s">
        <v>965</v>
      </c>
      <c r="C26" s="1130" t="s">
        <v>973</v>
      </c>
      <c r="D26" s="1131">
        <v>3662.92</v>
      </c>
      <c r="E26" s="1131">
        <v>5453.49</v>
      </c>
      <c r="F26" s="1131">
        <f t="shared" si="0"/>
        <v>1790.5699999999997</v>
      </c>
      <c r="G26" s="1130"/>
      <c r="H26" s="1151">
        <v>0</v>
      </c>
    </row>
    <row r="27" spans="1:8" ht="19.149999999999999" customHeight="1" x14ac:dyDescent="0.2">
      <c r="A27" s="1129">
        <f t="shared" si="2"/>
        <v>22</v>
      </c>
      <c r="B27" s="1133" t="s">
        <v>966</v>
      </c>
      <c r="C27" s="1130" t="s">
        <v>973</v>
      </c>
      <c r="D27" s="1131">
        <v>28253.528844864399</v>
      </c>
      <c r="E27" s="1131">
        <v>2340</v>
      </c>
      <c r="F27" s="1131">
        <f t="shared" si="0"/>
        <v>-25913.528844864399</v>
      </c>
      <c r="G27" s="1130"/>
      <c r="H27" s="1151">
        <v>0</v>
      </c>
    </row>
    <row r="28" spans="1:8" ht="19.149999999999999" customHeight="1" x14ac:dyDescent="0.2">
      <c r="A28" s="1129">
        <f t="shared" si="2"/>
        <v>23</v>
      </c>
      <c r="B28" s="1133" t="s">
        <v>967</v>
      </c>
      <c r="C28" s="1130" t="s">
        <v>973</v>
      </c>
      <c r="D28" s="1131">
        <v>189.58</v>
      </c>
      <c r="E28" s="1131"/>
      <c r="F28" s="1131">
        <f t="shared" si="0"/>
        <v>-189.58</v>
      </c>
      <c r="G28" s="1130"/>
      <c r="H28" s="1151">
        <v>0</v>
      </c>
    </row>
    <row r="29" spans="1:8" ht="19.149999999999999" customHeight="1" x14ac:dyDescent="0.2">
      <c r="A29" s="1129">
        <f t="shared" si="2"/>
        <v>24</v>
      </c>
      <c r="B29" s="1133" t="s">
        <v>968</v>
      </c>
      <c r="C29" s="1130" t="s">
        <v>973</v>
      </c>
      <c r="D29" s="1131">
        <v>276.14</v>
      </c>
      <c r="E29" s="1131">
        <v>1184</v>
      </c>
      <c r="F29" s="1131">
        <f t="shared" si="0"/>
        <v>907.86</v>
      </c>
      <c r="G29" s="1130"/>
      <c r="H29" s="1151">
        <v>0</v>
      </c>
    </row>
    <row r="30" spans="1:8" ht="19.149999999999999" customHeight="1" x14ac:dyDescent="0.2">
      <c r="A30" s="1129">
        <f t="shared" si="2"/>
        <v>25</v>
      </c>
      <c r="B30" s="1133" t="s">
        <v>969</v>
      </c>
      <c r="C30" s="1130" t="s">
        <v>973</v>
      </c>
      <c r="D30" s="1131">
        <v>133.91999999999999</v>
      </c>
      <c r="E30" s="1131">
        <v>668.8</v>
      </c>
      <c r="F30" s="1131">
        <f t="shared" si="0"/>
        <v>534.88</v>
      </c>
      <c r="G30" s="1130"/>
      <c r="H30" s="1151"/>
    </row>
    <row r="31" spans="1:8" ht="19.149999999999999" customHeight="1" x14ac:dyDescent="0.2">
      <c r="A31" s="1129">
        <f t="shared" si="2"/>
        <v>26</v>
      </c>
      <c r="B31" s="1133" t="s">
        <v>970</v>
      </c>
      <c r="C31" s="1130" t="s">
        <v>973</v>
      </c>
      <c r="D31" s="1131">
        <v>0</v>
      </c>
      <c r="E31" s="1131">
        <v>62.9</v>
      </c>
      <c r="F31" s="1131">
        <f t="shared" si="0"/>
        <v>62.9</v>
      </c>
      <c r="G31" s="1130"/>
      <c r="H31" s="1151">
        <v>0</v>
      </c>
    </row>
    <row r="32" spans="1:8" ht="19.149999999999999" customHeight="1" x14ac:dyDescent="0.2">
      <c r="A32" s="1129">
        <f t="shared" si="2"/>
        <v>27</v>
      </c>
      <c r="B32" s="1147" t="s">
        <v>974</v>
      </c>
      <c r="C32" s="1130" t="s">
        <v>495</v>
      </c>
      <c r="D32" s="1131"/>
      <c r="E32" s="1131"/>
      <c r="F32" s="1131"/>
      <c r="G32" s="1130"/>
      <c r="H32" s="1151"/>
    </row>
    <row r="33" spans="1:8" ht="19.149999999999999" customHeight="1" x14ac:dyDescent="0.2">
      <c r="A33" s="1129">
        <f t="shared" si="2"/>
        <v>28</v>
      </c>
      <c r="B33" s="1146" t="s">
        <v>975</v>
      </c>
      <c r="C33" s="1130" t="s">
        <v>495</v>
      </c>
      <c r="D33" s="1131">
        <v>670</v>
      </c>
      <c r="E33" s="1131">
        <v>1300</v>
      </c>
      <c r="F33" s="1131">
        <f t="shared" si="0"/>
        <v>630</v>
      </c>
      <c r="G33" s="1130"/>
      <c r="H33" s="1151">
        <f>'Anx G'!V83</f>
        <v>452</v>
      </c>
    </row>
    <row r="34" spans="1:8" ht="19.149999999999999" customHeight="1" x14ac:dyDescent="0.2">
      <c r="A34" s="1129">
        <f t="shared" si="2"/>
        <v>29</v>
      </c>
      <c r="B34" s="1146" t="s">
        <v>976</v>
      </c>
      <c r="C34" s="1130" t="s">
        <v>495</v>
      </c>
      <c r="D34" s="1131">
        <v>1050</v>
      </c>
      <c r="E34" s="1131">
        <v>1150</v>
      </c>
      <c r="F34" s="1131">
        <f t="shared" si="0"/>
        <v>100</v>
      </c>
      <c r="G34" s="1130"/>
      <c r="H34" s="1151">
        <f>'Anx G'!V82</f>
        <v>0</v>
      </c>
    </row>
    <row r="35" spans="1:8" ht="19.149999999999999" customHeight="1" x14ac:dyDescent="0.2">
      <c r="A35" s="1129">
        <f t="shared" si="2"/>
        <v>30</v>
      </c>
      <c r="B35" s="1146" t="s">
        <v>977</v>
      </c>
      <c r="C35" s="1130" t="s">
        <v>495</v>
      </c>
      <c r="D35" s="1131">
        <v>850</v>
      </c>
      <c r="E35" s="1131">
        <v>850</v>
      </c>
      <c r="F35" s="1131">
        <f t="shared" si="0"/>
        <v>0</v>
      </c>
      <c r="G35" s="1130"/>
      <c r="H35" s="1151">
        <v>0</v>
      </c>
    </row>
    <row r="36" spans="1:8" ht="19.149999999999999" customHeight="1" x14ac:dyDescent="0.2">
      <c r="A36" s="1129">
        <f t="shared" si="2"/>
        <v>31</v>
      </c>
      <c r="B36" s="1148" t="s">
        <v>978</v>
      </c>
      <c r="C36" s="1130"/>
      <c r="D36" s="1131"/>
      <c r="E36" s="1131"/>
      <c r="F36" s="1131">
        <f t="shared" si="0"/>
        <v>0</v>
      </c>
      <c r="G36" s="1130"/>
      <c r="H36" s="1151"/>
    </row>
    <row r="37" spans="1:8" ht="19.149999999999999" customHeight="1" x14ac:dyDescent="0.2">
      <c r="A37" s="1129">
        <f t="shared" si="2"/>
        <v>32</v>
      </c>
      <c r="B37" s="1128" t="s">
        <v>979</v>
      </c>
      <c r="C37" s="1130" t="s">
        <v>495</v>
      </c>
      <c r="D37" s="1131">
        <v>4884.482</v>
      </c>
      <c r="E37" s="1131">
        <v>20540</v>
      </c>
      <c r="F37" s="1131">
        <f t="shared" si="0"/>
        <v>15655.518</v>
      </c>
      <c r="G37" s="1130"/>
      <c r="H37" s="1151"/>
    </row>
    <row r="38" spans="1:8" ht="19.149999999999999" customHeight="1" x14ac:dyDescent="0.2">
      <c r="A38" s="1129">
        <f t="shared" si="2"/>
        <v>33</v>
      </c>
      <c r="B38" s="1128" t="s">
        <v>980</v>
      </c>
      <c r="C38" s="1130" t="s">
        <v>495</v>
      </c>
      <c r="D38" s="1131">
        <v>1233.827</v>
      </c>
      <c r="E38" s="1131">
        <v>5368</v>
      </c>
      <c r="F38" s="1131">
        <f t="shared" si="0"/>
        <v>4134.1729999999998</v>
      </c>
      <c r="G38" s="1130"/>
      <c r="H38" s="1151"/>
    </row>
    <row r="39" spans="1:8" ht="19.149999999999999" customHeight="1" x14ac:dyDescent="0.2">
      <c r="A39" s="1129">
        <f t="shared" si="2"/>
        <v>34</v>
      </c>
      <c r="B39" s="1130"/>
      <c r="C39" s="1130"/>
      <c r="D39" s="1131"/>
      <c r="E39" s="1131"/>
      <c r="F39" s="1131">
        <f t="shared" si="0"/>
        <v>0</v>
      </c>
      <c r="G39" s="1130"/>
      <c r="H39" s="1151"/>
    </row>
    <row r="40" spans="1:8" ht="19.149999999999999" customHeight="1" x14ac:dyDescent="0.2">
      <c r="A40" s="1129">
        <f t="shared" si="2"/>
        <v>35</v>
      </c>
      <c r="B40" s="1130"/>
      <c r="C40" s="1130"/>
      <c r="D40" s="1131"/>
      <c r="E40" s="1131"/>
      <c r="F40" s="1131">
        <f t="shared" si="0"/>
        <v>0</v>
      </c>
      <c r="G40" s="1130"/>
      <c r="H40" s="1151"/>
    </row>
    <row r="41" spans="1:8" ht="19.149999999999999" customHeight="1" x14ac:dyDescent="0.2">
      <c r="A41" s="1129">
        <f t="shared" si="2"/>
        <v>36</v>
      </c>
      <c r="B41" s="1130"/>
      <c r="C41" s="1130"/>
      <c r="D41" s="1131"/>
      <c r="E41" s="1131"/>
      <c r="F41" s="1131">
        <f t="shared" si="0"/>
        <v>0</v>
      </c>
      <c r="G41" s="1130"/>
      <c r="H41" s="1151"/>
    </row>
    <row r="42" spans="1:8" ht="19.149999999999999" customHeight="1" x14ac:dyDescent="0.2">
      <c r="A42" s="1129">
        <f t="shared" si="2"/>
        <v>37</v>
      </c>
      <c r="B42" s="1130"/>
      <c r="C42" s="1130"/>
      <c r="D42" s="1131"/>
      <c r="E42" s="1131"/>
      <c r="F42" s="1131">
        <f t="shared" si="0"/>
        <v>0</v>
      </c>
      <c r="G42" s="1130"/>
      <c r="H42" s="1151"/>
    </row>
    <row r="43" spans="1:8" ht="19.149999999999999" customHeight="1" x14ac:dyDescent="0.2">
      <c r="A43" s="1129">
        <f t="shared" si="2"/>
        <v>38</v>
      </c>
      <c r="B43" s="1130"/>
      <c r="C43" s="1130"/>
      <c r="D43" s="1131"/>
      <c r="E43" s="1131"/>
      <c r="F43" s="1131">
        <f t="shared" si="0"/>
        <v>0</v>
      </c>
      <c r="G43" s="1130"/>
      <c r="H43" s="1151"/>
    </row>
    <row r="44" spans="1:8" ht="19.149999999999999" customHeight="1" x14ac:dyDescent="0.2">
      <c r="A44" s="1129">
        <f t="shared" si="2"/>
        <v>39</v>
      </c>
      <c r="B44" s="1130"/>
      <c r="C44" s="1130"/>
      <c r="D44" s="1131"/>
      <c r="E44" s="1131"/>
      <c r="F44" s="1131">
        <f t="shared" si="0"/>
        <v>0</v>
      </c>
      <c r="G44" s="1130"/>
      <c r="H44" s="1151"/>
    </row>
    <row r="45" spans="1:8" ht="19.149999999999999" customHeight="1" x14ac:dyDescent="0.2">
      <c r="A45" s="1129">
        <f t="shared" si="2"/>
        <v>40</v>
      </c>
      <c r="B45" s="1130"/>
      <c r="C45" s="1130"/>
      <c r="D45" s="1131"/>
      <c r="E45" s="1131"/>
      <c r="F45" s="1131">
        <f t="shared" si="0"/>
        <v>0</v>
      </c>
      <c r="G45" s="1130"/>
      <c r="H45" s="1151"/>
    </row>
    <row r="46" spans="1:8" ht="19.149999999999999" customHeight="1" thickBot="1" x14ac:dyDescent="0.25">
      <c r="A46" s="1135">
        <f t="shared" si="2"/>
        <v>41</v>
      </c>
      <c r="B46" s="1136"/>
      <c r="C46" s="1136"/>
      <c r="D46" s="1144"/>
      <c r="E46" s="1144"/>
      <c r="F46" s="1144"/>
      <c r="G46" s="1136"/>
      <c r="H46" s="1152"/>
    </row>
  </sheetData>
  <mergeCells count="4">
    <mergeCell ref="B14:H14"/>
    <mergeCell ref="B23:H23"/>
    <mergeCell ref="A1:H1"/>
    <mergeCell ref="A2:H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sheetPr>
  <dimension ref="A1:X169"/>
  <sheetViews>
    <sheetView zoomScaleNormal="100" zoomScaleSheetLayoutView="76" workbookViewId="0">
      <pane xSplit="2" ySplit="8" topLeftCell="C9" activePane="bottomRight" state="frozen"/>
      <selection activeCell="D13" sqref="D13"/>
      <selection pane="topRight" activeCell="D13" sqref="D13"/>
      <selection pane="bottomLeft" activeCell="D13" sqref="D13"/>
      <selection pane="bottomRight" activeCell="D16" sqref="D16"/>
    </sheetView>
  </sheetViews>
  <sheetFormatPr defaultColWidth="9.140625" defaultRowHeight="14.25" x14ac:dyDescent="0.25"/>
  <cols>
    <col min="1" max="1" width="12.42578125" style="42" customWidth="1"/>
    <col min="2" max="2" width="48.5703125" style="42" customWidth="1"/>
    <col min="3" max="4" width="13.7109375" style="42" customWidth="1"/>
    <col min="5" max="9" width="15" style="42" customWidth="1"/>
    <col min="10" max="10" width="23.85546875" style="42" bestFit="1" customWidth="1"/>
    <col min="11" max="12" width="16.140625" style="42" customWidth="1"/>
    <col min="13" max="13" width="18.140625" style="358" bestFit="1" customWidth="1"/>
    <col min="14" max="14" width="17.28515625" style="42" customWidth="1"/>
    <col min="15" max="15" width="14.42578125" style="151" customWidth="1"/>
    <col min="16" max="16" width="11.140625" style="151" customWidth="1"/>
    <col min="17" max="17" width="12.42578125" style="42" bestFit="1" customWidth="1"/>
    <col min="18" max="18" width="15.42578125" style="42" bestFit="1" customWidth="1"/>
    <col min="19" max="19" width="12.5703125" style="42" bestFit="1" customWidth="1"/>
    <col min="20" max="20" width="14.28515625" style="145" bestFit="1" customWidth="1"/>
    <col min="21" max="21" width="9.140625" style="42"/>
    <col min="22" max="22" width="11.28515625" style="42" bestFit="1" customWidth="1"/>
    <col min="23" max="23" width="14" style="42" bestFit="1" customWidth="1"/>
    <col min="24" max="24" width="11.7109375" style="42" customWidth="1"/>
    <col min="25" max="25" width="10.140625" style="42" bestFit="1" customWidth="1"/>
    <col min="26" max="16384" width="9.140625" style="42"/>
  </cols>
  <sheetData>
    <row r="1" spans="1:23" ht="15" x14ac:dyDescent="0.25">
      <c r="A1" s="1211" t="s">
        <v>15</v>
      </c>
      <c r="B1" s="1211"/>
      <c r="C1" s="1211"/>
      <c r="D1" s="1211"/>
      <c r="E1" s="1211"/>
      <c r="F1" s="950"/>
      <c r="G1" s="950"/>
      <c r="H1" s="950"/>
      <c r="I1" s="950"/>
      <c r="J1" s="950"/>
      <c r="K1" s="98"/>
      <c r="L1" s="923"/>
      <c r="M1" s="543"/>
      <c r="N1" s="98"/>
      <c r="O1" s="822"/>
      <c r="P1" s="822"/>
    </row>
    <row r="2" spans="1:23" ht="15.75" x14ac:dyDescent="0.25">
      <c r="A2" s="98"/>
      <c r="B2" s="98"/>
      <c r="C2" s="98"/>
      <c r="D2" s="98"/>
      <c r="E2" s="98"/>
      <c r="F2" s="950"/>
      <c r="G2" s="950"/>
      <c r="H2" s="950"/>
      <c r="I2" s="950"/>
      <c r="J2" s="950"/>
      <c r="K2" s="98"/>
      <c r="L2" s="923"/>
      <c r="M2" s="544"/>
      <c r="N2" s="103"/>
      <c r="O2" s="823"/>
      <c r="P2" s="823"/>
    </row>
    <row r="3" spans="1:23" s="47" customFormat="1" ht="16.5" customHeight="1" x14ac:dyDescent="0.25">
      <c r="A3" s="1177" t="s">
        <v>118</v>
      </c>
      <c r="B3" s="1177"/>
      <c r="C3" s="1177"/>
      <c r="D3" s="1177"/>
      <c r="E3" s="1177"/>
      <c r="F3" s="945"/>
      <c r="G3" s="945"/>
      <c r="H3" s="945"/>
      <c r="I3" s="945"/>
      <c r="J3" s="945"/>
      <c r="K3" s="230"/>
      <c r="L3" s="921"/>
      <c r="M3" s="545"/>
      <c r="N3" s="860">
        <v>2362.4501094912143</v>
      </c>
      <c r="O3" s="824">
        <v>610.16666342017993</v>
      </c>
      <c r="P3" s="824"/>
      <c r="T3" s="268"/>
    </row>
    <row r="4" spans="1:23" s="47" customFormat="1" ht="15.75" x14ac:dyDescent="0.25">
      <c r="A4" s="1179" t="str">
        <f>'Anx C '!A4:K4</f>
        <v xml:space="preserve">PMU NLC INFRA DEV WORKS at Chahar Bagh (RUDA ) </v>
      </c>
      <c r="B4" s="1179"/>
      <c r="C4" s="1179"/>
      <c r="D4" s="1179"/>
      <c r="E4" s="1179"/>
      <c r="F4" s="947"/>
      <c r="G4" s="947"/>
      <c r="H4" s="947"/>
      <c r="I4" s="947"/>
      <c r="J4" s="947"/>
      <c r="K4" s="41"/>
      <c r="L4" s="922"/>
      <c r="M4" s="546"/>
      <c r="N4" s="862">
        <f>+D118</f>
        <v>3255.7098784917184</v>
      </c>
      <c r="O4" s="825">
        <f>+E118</f>
        <v>48.29630859065</v>
      </c>
      <c r="P4" s="825"/>
      <c r="T4" s="268"/>
    </row>
    <row r="5" spans="1:23" s="47" customFormat="1" ht="7.5" customHeight="1" thickBot="1" x14ac:dyDescent="0.3">
      <c r="A5" s="1212"/>
      <c r="B5" s="1212"/>
      <c r="C5" s="1212"/>
      <c r="D5" s="1212"/>
      <c r="E5" s="1212"/>
      <c r="F5" s="951"/>
      <c r="G5" s="951"/>
      <c r="H5" s="951"/>
      <c r="I5" s="951"/>
      <c r="J5" s="951"/>
      <c r="K5" s="446"/>
      <c r="L5" s="924"/>
      <c r="M5" s="547"/>
      <c r="N5" s="446"/>
      <c r="O5" s="826"/>
      <c r="P5" s="826"/>
      <c r="T5" s="268"/>
    </row>
    <row r="6" spans="1:23" ht="18" customHeight="1" thickTop="1" thickBot="1" x14ac:dyDescent="0.3">
      <c r="A6" s="1213" t="s">
        <v>7</v>
      </c>
      <c r="B6" s="1214" t="s">
        <v>16</v>
      </c>
      <c r="C6" s="1215" t="s">
        <v>66</v>
      </c>
      <c r="D6" s="1215"/>
      <c r="E6" s="1215"/>
      <c r="F6" s="1216" t="s">
        <v>312</v>
      </c>
      <c r="G6" s="1217"/>
      <c r="H6" s="1217"/>
      <c r="I6" s="794"/>
      <c r="J6" s="794"/>
      <c r="K6" s="139"/>
      <c r="L6" s="139"/>
      <c r="M6" s="548"/>
      <c r="N6" s="863">
        <f>N4-N3</f>
        <v>893.25976900050409</v>
      </c>
      <c r="O6" s="864">
        <f>O4-O3</f>
        <v>-561.8703548295299</v>
      </c>
      <c r="P6" s="827"/>
    </row>
    <row r="7" spans="1:23" ht="28.5" customHeight="1" thickTop="1" thickBot="1" x14ac:dyDescent="0.3">
      <c r="A7" s="1213"/>
      <c r="B7" s="1214"/>
      <c r="C7" s="642" t="s">
        <v>17</v>
      </c>
      <c r="D7" s="642" t="s">
        <v>55</v>
      </c>
      <c r="E7" s="642" t="s">
        <v>59</v>
      </c>
      <c r="F7" s="953" t="s">
        <v>17</v>
      </c>
      <c r="G7" s="953" t="s">
        <v>55</v>
      </c>
      <c r="H7" s="953" t="s">
        <v>59</v>
      </c>
      <c r="I7" s="794"/>
      <c r="J7" s="863">
        <f>3046.424-G72</f>
        <v>19.592568098930315</v>
      </c>
      <c r="M7" s="548"/>
      <c r="N7" s="863"/>
      <c r="O7" s="864">
        <f>O6+0.621</f>
        <v>-561.24935482952992</v>
      </c>
      <c r="P7" s="827"/>
      <c r="Q7" s="139"/>
      <c r="R7" s="139"/>
      <c r="S7" s="139"/>
      <c r="T7" s="139"/>
      <c r="U7" s="139"/>
      <c r="V7" s="139"/>
      <c r="W7" s="139"/>
    </row>
    <row r="8" spans="1:23" ht="15" thickTop="1" x14ac:dyDescent="0.25">
      <c r="A8" s="1207" t="s">
        <v>36</v>
      </c>
      <c r="B8" s="1208"/>
      <c r="C8" s="51"/>
      <c r="D8" s="51"/>
      <c r="E8" s="51"/>
      <c r="F8" s="990"/>
      <c r="G8" s="990"/>
      <c r="H8" s="990"/>
      <c r="I8" s="990"/>
      <c r="J8" s="990"/>
      <c r="M8" s="548">
        <f>L11-K11</f>
        <v>194.47356820292566</v>
      </c>
      <c r="N8" s="794"/>
      <c r="O8" s="155"/>
      <c r="P8" s="827"/>
      <c r="Q8" s="75"/>
      <c r="R8" s="75"/>
      <c r="S8" s="75"/>
      <c r="T8" s="75"/>
      <c r="U8" s="75"/>
      <c r="V8" s="75"/>
      <c r="W8" s="75"/>
    </row>
    <row r="9" spans="1:23" ht="15" customHeight="1" x14ac:dyDescent="0.25">
      <c r="A9" s="52">
        <v>1</v>
      </c>
      <c r="B9" s="53" t="s">
        <v>160</v>
      </c>
      <c r="C9" s="59"/>
      <c r="D9" s="60"/>
      <c r="E9" s="60"/>
      <c r="F9" s="154"/>
      <c r="G9" s="154"/>
      <c r="H9" s="154"/>
      <c r="I9" s="154"/>
      <c r="J9" s="154"/>
      <c r="M9" s="549"/>
      <c r="N9" s="154"/>
      <c r="O9" s="154"/>
      <c r="P9" s="154"/>
      <c r="Q9" s="154"/>
      <c r="R9" s="154">
        <f>R7-R8</f>
        <v>0</v>
      </c>
      <c r="S9" s="154">
        <f>S7-S8</f>
        <v>0</v>
      </c>
      <c r="T9" s="154"/>
      <c r="U9" s="154"/>
      <c r="V9" s="154"/>
      <c r="W9" s="154"/>
    </row>
    <row r="10" spans="1:23" x14ac:dyDescent="0.25">
      <c r="A10" s="52"/>
      <c r="B10" s="56" t="s">
        <v>283</v>
      </c>
      <c r="C10" s="414">
        <v>0</v>
      </c>
      <c r="D10" s="414">
        <f>C10+G10</f>
        <v>17.880232000000003</v>
      </c>
      <c r="E10" s="995">
        <f>C10</f>
        <v>0</v>
      </c>
      <c r="F10" s="414"/>
      <c r="G10" s="414">
        <v>17.880232000000003</v>
      </c>
      <c r="H10" s="414">
        <v>4.3342319999999992</v>
      </c>
      <c r="I10" s="991"/>
      <c r="J10" s="991"/>
      <c r="K10" s="49">
        <v>17.665232000000003</v>
      </c>
      <c r="L10" s="49">
        <f>D10-C10</f>
        <v>17.880232000000003</v>
      </c>
      <c r="M10" s="521">
        <v>17.665232000000003</v>
      </c>
      <c r="N10" s="521">
        <v>4.1192319999999993</v>
      </c>
      <c r="O10" s="521">
        <f>D10-M10</f>
        <v>0.21499999999999986</v>
      </c>
      <c r="P10" s="521">
        <f>E10-N10</f>
        <v>-4.1192319999999993</v>
      </c>
      <c r="Q10" s="840"/>
      <c r="R10" s="521">
        <v>204.22399999999999</v>
      </c>
      <c r="S10" s="521"/>
      <c r="T10" s="521"/>
      <c r="U10" s="521"/>
      <c r="V10" s="521"/>
      <c r="W10" s="521"/>
    </row>
    <row r="11" spans="1:23" x14ac:dyDescent="0.25">
      <c r="A11" s="52"/>
      <c r="B11" s="56" t="s">
        <v>348</v>
      </c>
      <c r="C11" s="662">
        <f>'Anx G'!M94</f>
        <v>1.1866323982500009</v>
      </c>
      <c r="D11" s="662">
        <f>'Anx G'!O94</f>
        <v>1722.6836245773763</v>
      </c>
      <c r="E11" s="995">
        <f t="shared" ref="E11:E70" si="0">C11</f>
        <v>1.1866323982500009</v>
      </c>
      <c r="F11" s="662">
        <v>26.970624253405752</v>
      </c>
      <c r="G11" s="662">
        <v>1721.4969921791269</v>
      </c>
      <c r="H11" s="662">
        <v>676.72010888692591</v>
      </c>
      <c r="I11" s="992"/>
      <c r="J11" s="992"/>
      <c r="K11" s="49">
        <v>1527.0234239762008</v>
      </c>
      <c r="L11" s="49">
        <f t="shared" ref="L11:L70" si="1">D11-C11</f>
        <v>1721.4969921791264</v>
      </c>
      <c r="M11" s="521">
        <v>1521.8584239762008</v>
      </c>
      <c r="N11" s="521">
        <v>477.08154068399995</v>
      </c>
      <c r="O11" s="521">
        <f t="shared" ref="O11:O70" si="2">D11-M11</f>
        <v>200.82520060117554</v>
      </c>
      <c r="P11" s="521">
        <f t="shared" ref="P11:P70" si="3">E11-N11</f>
        <v>-475.89490828574992</v>
      </c>
      <c r="Q11" s="840"/>
      <c r="R11" s="521">
        <f>R9-R10</f>
        <v>-204.22399999999999</v>
      </c>
      <c r="S11" s="521"/>
      <c r="T11" s="521"/>
      <c r="U11" s="521"/>
      <c r="V11" s="521"/>
      <c r="W11" s="521"/>
    </row>
    <row r="12" spans="1:23" x14ac:dyDescent="0.25">
      <c r="A12" s="52"/>
      <c r="B12" s="56" t="s">
        <v>749</v>
      </c>
      <c r="C12" s="246">
        <v>0</v>
      </c>
      <c r="D12" s="414">
        <f>C12+G12</f>
        <v>12.872</v>
      </c>
      <c r="E12" s="995">
        <f t="shared" si="0"/>
        <v>0</v>
      </c>
      <c r="F12" s="246"/>
      <c r="G12" s="246">
        <v>12.872</v>
      </c>
      <c r="H12" s="246">
        <v>12.872</v>
      </c>
      <c r="I12" s="521"/>
      <c r="J12" s="521"/>
      <c r="K12" s="49">
        <v>11.46</v>
      </c>
      <c r="L12" s="49">
        <f t="shared" si="1"/>
        <v>12.872</v>
      </c>
      <c r="M12" s="521">
        <v>11.46</v>
      </c>
      <c r="N12" s="521">
        <v>11.46</v>
      </c>
      <c r="O12" s="521">
        <f t="shared" si="2"/>
        <v>1.411999999999999</v>
      </c>
      <c r="P12" s="521">
        <f t="shared" si="3"/>
        <v>-11.46</v>
      </c>
      <c r="Q12" s="840"/>
      <c r="R12" s="521"/>
      <c r="S12" s="521"/>
      <c r="T12" s="521"/>
      <c r="U12" s="521"/>
      <c r="V12" s="521"/>
      <c r="W12" s="521"/>
    </row>
    <row r="13" spans="1:23" x14ac:dyDescent="0.25">
      <c r="A13" s="52"/>
      <c r="B13" s="56" t="s">
        <v>911</v>
      </c>
      <c r="C13" s="246">
        <v>2.3919999999999999</v>
      </c>
      <c r="D13" s="414">
        <f>C13+G13</f>
        <v>4.782</v>
      </c>
      <c r="E13" s="995">
        <f t="shared" si="0"/>
        <v>2.3919999999999999</v>
      </c>
      <c r="F13" s="246"/>
      <c r="G13" s="246">
        <v>2.39</v>
      </c>
      <c r="H13" s="246">
        <v>2.39</v>
      </c>
      <c r="I13" s="521"/>
      <c r="J13" s="521"/>
      <c r="K13" s="49"/>
      <c r="L13" s="49"/>
      <c r="M13" s="521"/>
      <c r="N13" s="521"/>
      <c r="O13" s="521"/>
      <c r="P13" s="521"/>
      <c r="Q13" s="840"/>
      <c r="R13" s="521"/>
      <c r="S13" s="521"/>
      <c r="T13" s="521"/>
      <c r="U13" s="521"/>
      <c r="V13" s="521"/>
      <c r="W13" s="521"/>
    </row>
    <row r="14" spans="1:23" x14ac:dyDescent="0.25">
      <c r="A14" s="52"/>
      <c r="B14" s="56" t="s">
        <v>912</v>
      </c>
      <c r="C14" s="246">
        <v>0</v>
      </c>
      <c r="D14" s="414">
        <f>C14+G14</f>
        <v>25</v>
      </c>
      <c r="E14" s="995">
        <f t="shared" si="0"/>
        <v>0</v>
      </c>
      <c r="F14" s="246"/>
      <c r="G14" s="246">
        <v>25</v>
      </c>
      <c r="H14" s="246">
        <v>25</v>
      </c>
      <c r="I14" s="521"/>
      <c r="J14" s="521"/>
      <c r="K14" s="49"/>
      <c r="L14" s="49"/>
      <c r="M14" s="521"/>
      <c r="N14" s="521"/>
      <c r="O14" s="521"/>
      <c r="P14" s="521"/>
      <c r="Q14" s="840"/>
      <c r="R14" s="521"/>
      <c r="S14" s="521"/>
      <c r="T14" s="521"/>
      <c r="U14" s="521"/>
      <c r="V14" s="521"/>
      <c r="W14" s="521"/>
    </row>
    <row r="15" spans="1:23" x14ac:dyDescent="0.25">
      <c r="A15" s="52"/>
      <c r="B15" s="56" t="s">
        <v>925</v>
      </c>
      <c r="C15" s="246">
        <v>0</v>
      </c>
      <c r="D15" s="414">
        <f>C15+G15</f>
        <v>0.78975499999999998</v>
      </c>
      <c r="E15" s="995">
        <f t="shared" si="0"/>
        <v>0</v>
      </c>
      <c r="F15" s="246"/>
      <c r="G15" s="246">
        <v>0.78975499999999998</v>
      </c>
      <c r="H15" s="246">
        <v>0.78975499999999998</v>
      </c>
      <c r="I15" s="521"/>
      <c r="J15" s="521"/>
      <c r="K15" s="49"/>
      <c r="L15" s="49"/>
      <c r="M15" s="521"/>
      <c r="N15" s="521"/>
      <c r="O15" s="521"/>
      <c r="P15" s="521"/>
      <c r="Q15" s="840"/>
      <c r="R15" s="521"/>
      <c r="S15" s="521"/>
      <c r="T15" s="521"/>
      <c r="U15" s="521"/>
      <c r="V15" s="521"/>
      <c r="W15" s="521"/>
    </row>
    <row r="16" spans="1:23" x14ac:dyDescent="0.25">
      <c r="A16" s="52"/>
      <c r="B16" s="56" t="s">
        <v>926</v>
      </c>
      <c r="C16" s="246">
        <v>23</v>
      </c>
      <c r="D16" s="414">
        <f>C16+G16</f>
        <v>140</v>
      </c>
      <c r="E16" s="995">
        <f t="shared" si="0"/>
        <v>23</v>
      </c>
      <c r="F16" s="246"/>
      <c r="G16" s="246">
        <v>117</v>
      </c>
      <c r="H16" s="246">
        <v>117</v>
      </c>
      <c r="I16" s="521"/>
      <c r="J16" s="521"/>
      <c r="K16" s="49"/>
      <c r="L16" s="49"/>
      <c r="M16" s="521"/>
      <c r="N16" s="521"/>
      <c r="O16" s="521"/>
      <c r="P16" s="521"/>
      <c r="Q16" s="840"/>
      <c r="R16" s="521"/>
      <c r="S16" s="521"/>
      <c r="T16" s="521"/>
      <c r="U16" s="521"/>
      <c r="V16" s="521"/>
      <c r="W16" s="521"/>
    </row>
    <row r="17" spans="1:23" ht="15" customHeight="1" x14ac:dyDescent="0.25">
      <c r="A17" s="52">
        <v>2</v>
      </c>
      <c r="B17" s="53" t="s">
        <v>147</v>
      </c>
      <c r="C17" s="663"/>
      <c r="D17" s="663"/>
      <c r="E17" s="995">
        <f t="shared" si="0"/>
        <v>0</v>
      </c>
      <c r="F17" s="246"/>
      <c r="G17" s="246"/>
      <c r="H17" s="246">
        <v>0</v>
      </c>
      <c r="I17" s="521"/>
      <c r="J17" s="521"/>
      <c r="K17" s="49"/>
      <c r="L17" s="49">
        <f t="shared" si="1"/>
        <v>0</v>
      </c>
      <c r="M17" s="521"/>
      <c r="N17" s="521"/>
      <c r="O17" s="521">
        <f t="shared" si="2"/>
        <v>0</v>
      </c>
      <c r="P17" s="521">
        <f t="shared" si="3"/>
        <v>0</v>
      </c>
      <c r="Q17" s="840"/>
      <c r="R17" s="521"/>
      <c r="S17" s="521"/>
      <c r="T17" s="521"/>
      <c r="U17" s="521"/>
      <c r="V17" s="521"/>
      <c r="W17" s="522"/>
    </row>
    <row r="18" spans="1:23" x14ac:dyDescent="0.25">
      <c r="A18" s="55"/>
      <c r="B18" s="56" t="s">
        <v>284</v>
      </c>
      <c r="C18" s="246">
        <f>'Anx E'!M79</f>
        <v>1.8133313659854</v>
      </c>
      <c r="D18" s="246">
        <f>'Anx E'!S79</f>
        <v>321.51579583400826</v>
      </c>
      <c r="E18" s="995">
        <f t="shared" si="0"/>
        <v>1.8133313659854</v>
      </c>
      <c r="F18" s="246">
        <v>29.229075355374999</v>
      </c>
      <c r="G18" s="246">
        <v>319.70803504185068</v>
      </c>
      <c r="H18" s="246">
        <v>206.25746665716545</v>
      </c>
      <c r="I18" s="521"/>
      <c r="J18" s="521"/>
      <c r="K18" s="49">
        <v>242.07441451753607</v>
      </c>
      <c r="L18" s="49">
        <f t="shared" si="1"/>
        <v>319.70246446802287</v>
      </c>
      <c r="M18" s="521">
        <v>242.07441451753607</v>
      </c>
      <c r="N18" s="521">
        <v>125.42708356104605</v>
      </c>
      <c r="O18" s="521">
        <f t="shared" si="2"/>
        <v>79.441381316472189</v>
      </c>
      <c r="P18" s="521">
        <f t="shared" si="3"/>
        <v>-123.61375219506064</v>
      </c>
      <c r="Q18" s="912">
        <f>O18-P18</f>
        <v>203.05513351153283</v>
      </c>
      <c r="R18" s="521">
        <f>O18-P18</f>
        <v>203.05513351153283</v>
      </c>
      <c r="S18" s="521"/>
      <c r="T18" s="521"/>
      <c r="U18" s="521"/>
      <c r="V18" s="521"/>
      <c r="W18" s="521"/>
    </row>
    <row r="19" spans="1:23" x14ac:dyDescent="0.25">
      <c r="A19" s="55"/>
      <c r="B19" s="56" t="s">
        <v>27</v>
      </c>
      <c r="C19" s="246">
        <f>'Anx E'!I79</f>
        <v>0.10341880962</v>
      </c>
      <c r="D19" s="246">
        <f>'Anx E'!O79</f>
        <v>22.354757805575414</v>
      </c>
      <c r="E19" s="995">
        <f t="shared" si="0"/>
        <v>0.10341880962</v>
      </c>
      <c r="F19" s="246">
        <v>1.4771444740000002</v>
      </c>
      <c r="G19" s="246">
        <v>22.251338995955411</v>
      </c>
      <c r="H19" s="246">
        <v>13.294862348715412</v>
      </c>
      <c r="I19" s="521"/>
      <c r="J19" s="521"/>
      <c r="K19" s="49">
        <v>16.045204783109</v>
      </c>
      <c r="L19" s="49">
        <f t="shared" si="1"/>
        <v>22.251338995955415</v>
      </c>
      <c r="M19" s="521">
        <v>16.045204783109</v>
      </c>
      <c r="N19" s="521">
        <v>7.0983069361089992</v>
      </c>
      <c r="O19" s="521">
        <f t="shared" si="2"/>
        <v>6.3095530224664138</v>
      </c>
      <c r="P19" s="521">
        <f t="shared" si="3"/>
        <v>-6.9948881264889993</v>
      </c>
      <c r="Q19" s="840"/>
      <c r="R19" s="521">
        <f>O19-P19</f>
        <v>13.304441148955412</v>
      </c>
      <c r="S19" s="521"/>
      <c r="T19" s="521"/>
      <c r="U19" s="521"/>
      <c r="V19" s="521"/>
      <c r="W19" s="521"/>
    </row>
    <row r="20" spans="1:23" x14ac:dyDescent="0.25">
      <c r="A20" s="55"/>
      <c r="B20" s="56" t="s">
        <v>281</v>
      </c>
      <c r="C20" s="246">
        <f>'Anx E'!J79</f>
        <v>0.1516260167946</v>
      </c>
      <c r="D20" s="246">
        <f>'Anx E'!Q79</f>
        <v>32.123856471924626</v>
      </c>
      <c r="E20" s="995">
        <f t="shared" si="0"/>
        <v>0.1516260167946</v>
      </c>
      <c r="F20" s="246">
        <v>2.1692395952850005</v>
      </c>
      <c r="G20" s="246">
        <v>31.966659881302228</v>
      </c>
      <c r="H20" s="246">
        <v>20.052725968427431</v>
      </c>
      <c r="I20" s="521"/>
      <c r="J20" s="521"/>
      <c r="K20" s="49">
        <v>21.34012236153497</v>
      </c>
      <c r="L20" s="49">
        <f t="shared" si="1"/>
        <v>31.972230455130024</v>
      </c>
      <c r="M20" s="521">
        <v>21.34012236153497</v>
      </c>
      <c r="N20" s="521">
        <v>9.4407482250249721</v>
      </c>
      <c r="O20" s="521">
        <f t="shared" si="2"/>
        <v>10.783734110389656</v>
      </c>
      <c r="P20" s="521">
        <f t="shared" si="3"/>
        <v>-9.2891222082303724</v>
      </c>
      <c r="Q20" s="913"/>
      <c r="R20" s="521">
        <f>O20-P20</f>
        <v>20.072856318620026</v>
      </c>
      <c r="S20" s="521"/>
      <c r="T20" s="521"/>
      <c r="U20" s="521"/>
      <c r="V20" s="521"/>
      <c r="W20" s="521"/>
    </row>
    <row r="21" spans="1:23" x14ac:dyDescent="0.25">
      <c r="A21" s="728"/>
      <c r="B21" s="56" t="s">
        <v>668</v>
      </c>
      <c r="C21" s="350"/>
      <c r="D21" s="350">
        <f>'Anx E'!R79</f>
        <v>0.753</v>
      </c>
      <c r="E21" s="995">
        <f t="shared" si="0"/>
        <v>0</v>
      </c>
      <c r="F21" s="246"/>
      <c r="G21" s="246">
        <v>0.753</v>
      </c>
      <c r="H21" s="246">
        <v>0</v>
      </c>
      <c r="I21" s="521"/>
      <c r="J21" s="521"/>
      <c r="K21" s="49">
        <v>0.753</v>
      </c>
      <c r="L21" s="49">
        <f t="shared" si="1"/>
        <v>0.753</v>
      </c>
      <c r="M21" s="521">
        <v>0.753</v>
      </c>
      <c r="N21" s="521">
        <v>0</v>
      </c>
      <c r="O21" s="521">
        <f t="shared" si="2"/>
        <v>0</v>
      </c>
      <c r="P21" s="521">
        <f t="shared" si="3"/>
        <v>0</v>
      </c>
      <c r="Q21" s="840"/>
      <c r="R21" s="521"/>
      <c r="S21" s="521"/>
      <c r="T21" s="521"/>
      <c r="U21" s="521"/>
      <c r="V21" s="521"/>
      <c r="W21" s="521"/>
    </row>
    <row r="22" spans="1:23" ht="25.5" x14ac:dyDescent="0.25">
      <c r="A22" s="51"/>
      <c r="B22" s="56" t="s">
        <v>285</v>
      </c>
      <c r="C22" s="350">
        <f>'Anx E'!K79</f>
        <v>0</v>
      </c>
      <c r="D22" s="350">
        <f>'Anx E'!P79</f>
        <v>70.347745999999987</v>
      </c>
      <c r="E22" s="995">
        <f t="shared" si="0"/>
        <v>0</v>
      </c>
      <c r="F22" s="246">
        <v>0</v>
      </c>
      <c r="G22" s="246">
        <v>70.347745999999987</v>
      </c>
      <c r="H22" s="246">
        <v>26.292192</v>
      </c>
      <c r="I22" s="521"/>
      <c r="J22" s="521"/>
      <c r="K22" s="49">
        <v>41.582353999999995</v>
      </c>
      <c r="L22" s="49">
        <f t="shared" si="1"/>
        <v>70.347745999999987</v>
      </c>
      <c r="M22" s="521">
        <v>41.582353999999995</v>
      </c>
      <c r="N22" s="521">
        <v>0</v>
      </c>
      <c r="O22" s="521">
        <f t="shared" si="2"/>
        <v>28.765391999999991</v>
      </c>
      <c r="P22" s="521">
        <f t="shared" si="3"/>
        <v>0</v>
      </c>
      <c r="Q22" s="523">
        <f>O22-P22</f>
        <v>28.765391999999991</v>
      </c>
      <c r="R22" s="523" t="s">
        <v>856</v>
      </c>
      <c r="S22" s="521"/>
      <c r="T22" s="521"/>
      <c r="U22" s="521"/>
      <c r="V22" s="521"/>
      <c r="W22" s="521"/>
    </row>
    <row r="23" spans="1:23" ht="15" customHeight="1" x14ac:dyDescent="0.25">
      <c r="A23" s="57">
        <v>3</v>
      </c>
      <c r="B23" s="58" t="s">
        <v>142</v>
      </c>
      <c r="C23" s="386"/>
      <c r="D23" s="386"/>
      <c r="E23" s="995">
        <f t="shared" si="0"/>
        <v>0</v>
      </c>
      <c r="F23" s="246"/>
      <c r="G23" s="246"/>
      <c r="H23" s="246">
        <v>0</v>
      </c>
      <c r="I23" s="521"/>
      <c r="J23" s="521"/>
      <c r="K23" s="49"/>
      <c r="L23" s="49">
        <f t="shared" si="1"/>
        <v>0</v>
      </c>
      <c r="M23" s="521"/>
      <c r="N23" s="521"/>
      <c r="O23" s="521">
        <f t="shared" si="2"/>
        <v>0</v>
      </c>
      <c r="P23" s="521">
        <f t="shared" si="3"/>
        <v>0</v>
      </c>
      <c r="Q23" s="840"/>
      <c r="R23" s="521"/>
      <c r="S23" s="521"/>
      <c r="T23" s="521"/>
      <c r="U23" s="521">
        <v>227</v>
      </c>
      <c r="V23" s="521">
        <v>13073</v>
      </c>
      <c r="W23" s="522">
        <f>U23*V23</f>
        <v>2967571</v>
      </c>
    </row>
    <row r="24" spans="1:23" x14ac:dyDescent="0.25">
      <c r="A24" s="55"/>
      <c r="B24" s="56" t="s">
        <v>286</v>
      </c>
      <c r="C24" s="246">
        <v>0.63800000000000001</v>
      </c>
      <c r="D24" s="414">
        <f t="shared" ref="D24:D56" si="4">C24+G24</f>
        <v>91.253152000000028</v>
      </c>
      <c r="E24" s="995">
        <f t="shared" si="0"/>
        <v>0.63800000000000001</v>
      </c>
      <c r="F24" s="246">
        <v>1.1830000000000001</v>
      </c>
      <c r="G24" s="246">
        <v>90.615152000000023</v>
      </c>
      <c r="H24" s="246">
        <v>23.433906000000004</v>
      </c>
      <c r="I24" s="521"/>
      <c r="J24" s="521"/>
      <c r="K24" s="49">
        <v>87.316152000000017</v>
      </c>
      <c r="L24" s="49">
        <f t="shared" si="1"/>
        <v>90.615152000000023</v>
      </c>
      <c r="M24" s="521">
        <v>87.316152000000017</v>
      </c>
      <c r="N24" s="521">
        <v>20.134906000000001</v>
      </c>
      <c r="O24" s="521">
        <f t="shared" si="2"/>
        <v>3.9370000000000118</v>
      </c>
      <c r="P24" s="521">
        <f t="shared" si="3"/>
        <v>-19.496905999999999</v>
      </c>
      <c r="Q24" s="840"/>
      <c r="R24" s="521"/>
      <c r="S24" s="521"/>
      <c r="T24" s="521"/>
      <c r="U24" s="521">
        <v>247</v>
      </c>
      <c r="V24" s="521">
        <v>4869</v>
      </c>
      <c r="W24" s="522">
        <f>U24*V24</f>
        <v>1202643</v>
      </c>
    </row>
    <row r="25" spans="1:23" x14ac:dyDescent="0.25">
      <c r="A25" s="55"/>
      <c r="B25" s="56" t="s">
        <v>363</v>
      </c>
      <c r="C25" s="662">
        <v>0.08</v>
      </c>
      <c r="D25" s="414">
        <f t="shared" si="4"/>
        <v>10.637197</v>
      </c>
      <c r="E25" s="995">
        <f t="shared" si="0"/>
        <v>0.08</v>
      </c>
      <c r="F25" s="246">
        <v>0.77500000000000002</v>
      </c>
      <c r="G25" s="246">
        <v>10.557197</v>
      </c>
      <c r="H25" s="246">
        <v>5.4611970000000003</v>
      </c>
      <c r="I25" s="521"/>
      <c r="J25" s="521"/>
      <c r="K25" s="49">
        <v>8.1288970000000003</v>
      </c>
      <c r="L25" s="49">
        <f t="shared" si="1"/>
        <v>10.557197</v>
      </c>
      <c r="M25" s="521">
        <v>8.1288970000000003</v>
      </c>
      <c r="N25" s="521">
        <v>3.0328969999999997</v>
      </c>
      <c r="O25" s="521">
        <f t="shared" si="2"/>
        <v>2.5083000000000002</v>
      </c>
      <c r="P25" s="521">
        <f t="shared" si="3"/>
        <v>-2.9528969999999997</v>
      </c>
      <c r="Q25" s="840"/>
      <c r="R25" s="521"/>
      <c r="S25" s="521"/>
      <c r="T25" s="521"/>
      <c r="U25" s="521">
        <v>227</v>
      </c>
      <c r="V25" s="521">
        <v>16000</v>
      </c>
      <c r="W25" s="522">
        <f>U25*V25</f>
        <v>3632000</v>
      </c>
    </row>
    <row r="26" spans="1:23" x14ac:dyDescent="0.25">
      <c r="A26" s="55"/>
      <c r="B26" s="56" t="s">
        <v>368</v>
      </c>
      <c r="C26" s="662"/>
      <c r="D26" s="414">
        <f t="shared" si="4"/>
        <v>1.5622599999999998</v>
      </c>
      <c r="E26" s="995">
        <f t="shared" si="0"/>
        <v>0</v>
      </c>
      <c r="F26" s="246"/>
      <c r="G26" s="246">
        <v>1.5622599999999998</v>
      </c>
      <c r="H26" s="246">
        <v>0.36926000000000003</v>
      </c>
      <c r="I26" s="521"/>
      <c r="J26" s="521"/>
      <c r="K26" s="49">
        <v>1.5622599999999998</v>
      </c>
      <c r="L26" s="49">
        <f t="shared" si="1"/>
        <v>1.5622599999999998</v>
      </c>
      <c r="M26" s="521">
        <v>1.5622599999999998</v>
      </c>
      <c r="N26" s="521">
        <v>0.36926000000000003</v>
      </c>
      <c r="O26" s="521">
        <f t="shared" si="2"/>
        <v>0</v>
      </c>
      <c r="P26" s="521">
        <f t="shared" si="3"/>
        <v>-0.36926000000000003</v>
      </c>
      <c r="Q26" s="840"/>
      <c r="R26" s="521"/>
      <c r="S26" s="521"/>
      <c r="T26" s="521"/>
      <c r="U26" s="521"/>
      <c r="V26" s="521"/>
      <c r="W26" s="521">
        <f>W23+W24+W25</f>
        <v>7802214</v>
      </c>
    </row>
    <row r="27" spans="1:23" x14ac:dyDescent="0.25">
      <c r="A27" s="55"/>
      <c r="B27" s="56" t="s">
        <v>508</v>
      </c>
      <c r="C27" s="246"/>
      <c r="D27" s="414">
        <f t="shared" si="4"/>
        <v>0.38200000000000001</v>
      </c>
      <c r="E27" s="995">
        <f t="shared" si="0"/>
        <v>0</v>
      </c>
      <c r="F27" s="246"/>
      <c r="G27" s="246">
        <v>0.38200000000000001</v>
      </c>
      <c r="H27" s="246">
        <v>0</v>
      </c>
      <c r="I27" s="521"/>
      <c r="J27" s="521"/>
      <c r="K27" s="49">
        <v>0.38200000000000001</v>
      </c>
      <c r="L27" s="49">
        <f t="shared" si="1"/>
        <v>0.38200000000000001</v>
      </c>
      <c r="M27" s="521">
        <v>0.38200000000000001</v>
      </c>
      <c r="N27" s="521">
        <v>0</v>
      </c>
      <c r="O27" s="521">
        <f t="shared" si="2"/>
        <v>0</v>
      </c>
      <c r="P27" s="521">
        <f t="shared" si="3"/>
        <v>0</v>
      </c>
      <c r="Q27" s="840"/>
      <c r="R27" s="521"/>
      <c r="S27" s="521"/>
      <c r="T27" s="521"/>
      <c r="U27" s="521"/>
      <c r="V27" s="521"/>
      <c r="W27" s="521"/>
    </row>
    <row r="28" spans="1:23" x14ac:dyDescent="0.25">
      <c r="A28" s="61"/>
      <c r="B28" s="444" t="s">
        <v>382</v>
      </c>
      <c r="C28" s="246">
        <v>2.2599999999999998</v>
      </c>
      <c r="D28" s="414">
        <f t="shared" si="4"/>
        <v>170.53996599999996</v>
      </c>
      <c r="E28" s="995">
        <f t="shared" si="0"/>
        <v>2.2599999999999998</v>
      </c>
      <c r="F28" s="246">
        <v>4.7889999999999997</v>
      </c>
      <c r="G28" s="246">
        <v>168.27996599999997</v>
      </c>
      <c r="H28" s="246">
        <v>67.641965999999996</v>
      </c>
      <c r="I28" s="521"/>
      <c r="J28" s="521"/>
      <c r="K28" s="49">
        <v>155.303966</v>
      </c>
      <c r="L28" s="49">
        <f t="shared" si="1"/>
        <v>168.27996599999997</v>
      </c>
      <c r="M28" s="521">
        <v>155.303966</v>
      </c>
      <c r="N28" s="521">
        <v>54.665966000000004</v>
      </c>
      <c r="O28" s="521">
        <f t="shared" si="2"/>
        <v>15.235999999999962</v>
      </c>
      <c r="P28" s="521">
        <f t="shared" si="3"/>
        <v>-52.405966000000006</v>
      </c>
      <c r="Q28" s="840"/>
      <c r="R28" s="521"/>
      <c r="S28" s="521"/>
      <c r="T28" s="521"/>
      <c r="U28" s="521"/>
      <c r="V28" s="521"/>
      <c r="W28" s="521"/>
    </row>
    <row r="29" spans="1:23" ht="15" customHeight="1" x14ac:dyDescent="0.25">
      <c r="A29" s="57">
        <v>4</v>
      </c>
      <c r="B29" s="53" t="s">
        <v>117</v>
      </c>
      <c r="C29" s="389"/>
      <c r="D29" s="414">
        <f t="shared" si="4"/>
        <v>0</v>
      </c>
      <c r="E29" s="995">
        <f t="shared" si="0"/>
        <v>0</v>
      </c>
      <c r="F29" s="246"/>
      <c r="G29" s="246">
        <v>0</v>
      </c>
      <c r="H29" s="246">
        <v>0</v>
      </c>
      <c r="I29" s="521"/>
      <c r="J29" s="521"/>
      <c r="K29" s="49"/>
      <c r="L29" s="49">
        <f t="shared" si="1"/>
        <v>0</v>
      </c>
      <c r="M29" s="521"/>
      <c r="N29" s="521"/>
      <c r="O29" s="521">
        <f t="shared" si="2"/>
        <v>0</v>
      </c>
      <c r="P29" s="521">
        <f t="shared" si="3"/>
        <v>0</v>
      </c>
      <c r="Q29" s="840"/>
      <c r="R29" s="521"/>
      <c r="S29" s="521"/>
      <c r="T29" s="521"/>
      <c r="U29" s="521"/>
      <c r="V29" s="521"/>
      <c r="W29" s="521"/>
    </row>
    <row r="30" spans="1:23" ht="15" customHeight="1" x14ac:dyDescent="0.25">
      <c r="A30" s="55"/>
      <c r="B30" s="832" t="s">
        <v>714</v>
      </c>
      <c r="C30" s="833">
        <v>0.38</v>
      </c>
      <c r="D30" s="414">
        <f t="shared" si="4"/>
        <v>23.985141999999993</v>
      </c>
      <c r="E30" s="995">
        <f t="shared" si="0"/>
        <v>0.38</v>
      </c>
      <c r="F30" s="246">
        <v>0.82599999999999996</v>
      </c>
      <c r="G30" s="246">
        <v>23.605141999999994</v>
      </c>
      <c r="H30" s="246">
        <v>13.799500000000002</v>
      </c>
      <c r="I30" s="521"/>
      <c r="J30" s="521"/>
      <c r="K30" s="49"/>
      <c r="L30" s="49">
        <f t="shared" si="1"/>
        <v>23.605141999999994</v>
      </c>
      <c r="M30" s="521">
        <v>164.33306700000003</v>
      </c>
      <c r="N30" s="521">
        <v>91.787066999999993</v>
      </c>
      <c r="O30" s="521">
        <f t="shared" si="2"/>
        <v>-140.34792500000003</v>
      </c>
      <c r="P30" s="521">
        <f t="shared" si="3"/>
        <v>-91.407066999999998</v>
      </c>
      <c r="Q30" s="840"/>
      <c r="R30" s="521"/>
      <c r="S30" s="521"/>
      <c r="T30" s="521"/>
      <c r="U30" s="521"/>
      <c r="V30" s="521"/>
      <c r="W30" s="521"/>
    </row>
    <row r="31" spans="1:23" ht="15" customHeight="1" x14ac:dyDescent="0.25">
      <c r="A31" s="1050">
        <v>1</v>
      </c>
      <c r="B31" s="1049" t="s">
        <v>344</v>
      </c>
      <c r="C31" s="833"/>
      <c r="D31" s="414">
        <f t="shared" si="4"/>
        <v>0.1512</v>
      </c>
      <c r="E31" s="995">
        <f t="shared" si="0"/>
        <v>0</v>
      </c>
      <c r="F31" s="246"/>
      <c r="G31" s="246">
        <v>0.1512</v>
      </c>
      <c r="H31" s="246">
        <v>0.1512</v>
      </c>
      <c r="I31" s="521"/>
      <c r="J31" s="521"/>
      <c r="K31" s="108"/>
      <c r="L31" s="49">
        <f>100-7.47</f>
        <v>92.53</v>
      </c>
      <c r="M31" s="521"/>
      <c r="N31" s="521"/>
      <c r="O31" s="521"/>
      <c r="P31" s="521"/>
      <c r="Q31" s="840"/>
      <c r="R31" s="521"/>
      <c r="S31" s="521"/>
      <c r="T31" s="521"/>
      <c r="U31" s="521"/>
      <c r="V31" s="521"/>
      <c r="W31" s="521"/>
    </row>
    <row r="32" spans="1:23" ht="15" customHeight="1" x14ac:dyDescent="0.25">
      <c r="A32" s="1050">
        <f>A31+1</f>
        <v>2</v>
      </c>
      <c r="B32" s="1049" t="s">
        <v>875</v>
      </c>
      <c r="C32" s="833"/>
      <c r="D32" s="414">
        <f t="shared" si="4"/>
        <v>1.3209900000000001</v>
      </c>
      <c r="E32" s="995">
        <f t="shared" si="0"/>
        <v>0</v>
      </c>
      <c r="F32" s="246"/>
      <c r="G32" s="246">
        <v>1.3209900000000001</v>
      </c>
      <c r="H32" s="246">
        <v>1.3209900000000001</v>
      </c>
      <c r="I32" s="521"/>
      <c r="J32" s="521"/>
      <c r="K32" s="49"/>
      <c r="L32" s="49"/>
      <c r="M32" s="521"/>
      <c r="N32" s="521"/>
      <c r="O32" s="521"/>
      <c r="P32" s="521"/>
      <c r="Q32" s="840"/>
      <c r="R32" s="521"/>
      <c r="S32" s="521"/>
      <c r="T32" s="521"/>
      <c r="U32" s="521"/>
      <c r="V32" s="521"/>
      <c r="W32" s="521"/>
    </row>
    <row r="33" spans="1:23" ht="15" customHeight="1" x14ac:dyDescent="0.25">
      <c r="A33" s="1050">
        <f t="shared" ref="A33:A56" si="5">A32+1</f>
        <v>3</v>
      </c>
      <c r="B33" s="1049" t="s">
        <v>876</v>
      </c>
      <c r="C33" s="833"/>
      <c r="D33" s="414">
        <f t="shared" si="4"/>
        <v>2.509938</v>
      </c>
      <c r="E33" s="995">
        <f t="shared" si="0"/>
        <v>0</v>
      </c>
      <c r="F33" s="246"/>
      <c r="G33" s="246">
        <v>2.509938</v>
      </c>
      <c r="H33" s="246">
        <v>2.509938</v>
      </c>
      <c r="I33" s="521"/>
      <c r="J33" s="521"/>
      <c r="K33" s="49"/>
      <c r="L33" s="49"/>
      <c r="M33" s="521"/>
      <c r="N33" s="521"/>
      <c r="O33" s="521"/>
      <c r="P33" s="521"/>
      <c r="Q33" s="840"/>
      <c r="R33" s="521"/>
      <c r="S33" s="521"/>
      <c r="T33" s="521"/>
      <c r="U33" s="521"/>
      <c r="V33" s="521"/>
      <c r="W33" s="521"/>
    </row>
    <row r="34" spans="1:23" ht="15" customHeight="1" x14ac:dyDescent="0.25">
      <c r="A34" s="1050">
        <f t="shared" si="5"/>
        <v>4</v>
      </c>
      <c r="B34" s="1049" t="s">
        <v>877</v>
      </c>
      <c r="C34" s="833"/>
      <c r="D34" s="414">
        <f t="shared" si="4"/>
        <v>6.1185669999999996</v>
      </c>
      <c r="E34" s="995">
        <f t="shared" si="0"/>
        <v>0</v>
      </c>
      <c r="F34" s="246"/>
      <c r="G34" s="246">
        <v>6.1185669999999996</v>
      </c>
      <c r="H34" s="246">
        <v>6.1185669999999996</v>
      </c>
      <c r="I34" s="521"/>
      <c r="J34" s="521"/>
      <c r="K34" s="49"/>
      <c r="L34" s="49"/>
      <c r="M34" s="521"/>
      <c r="N34" s="521"/>
      <c r="O34" s="521"/>
      <c r="P34" s="521"/>
      <c r="Q34" s="840"/>
      <c r="R34" s="521"/>
      <c r="S34" s="521"/>
      <c r="T34" s="521"/>
      <c r="U34" s="521"/>
      <c r="V34" s="521"/>
      <c r="W34" s="521"/>
    </row>
    <row r="35" spans="1:23" ht="15" customHeight="1" x14ac:dyDescent="0.25">
      <c r="A35" s="1050">
        <f t="shared" si="5"/>
        <v>5</v>
      </c>
      <c r="B35" s="1049" t="s">
        <v>878</v>
      </c>
      <c r="C35" s="833"/>
      <c r="D35" s="414">
        <f t="shared" si="4"/>
        <v>0.48846899999999999</v>
      </c>
      <c r="E35" s="995">
        <f t="shared" si="0"/>
        <v>0</v>
      </c>
      <c r="F35" s="246"/>
      <c r="G35" s="246">
        <v>0.48846899999999999</v>
      </c>
      <c r="H35" s="246">
        <v>0.48846899999999999</v>
      </c>
      <c r="I35" s="521"/>
      <c r="J35" s="521">
        <f>100+80+22.858+23.605</f>
        <v>226.46299999999999</v>
      </c>
      <c r="K35" s="49"/>
      <c r="L35" s="49"/>
      <c r="M35" s="521"/>
      <c r="N35" s="521"/>
      <c r="O35" s="521"/>
      <c r="P35" s="521"/>
      <c r="Q35" s="840"/>
      <c r="R35" s="521"/>
      <c r="S35" s="521"/>
      <c r="T35" s="521"/>
      <c r="U35" s="521"/>
      <c r="V35" s="521"/>
      <c r="W35" s="521"/>
    </row>
    <row r="36" spans="1:23" ht="15" customHeight="1" x14ac:dyDescent="0.25">
      <c r="A36" s="1050">
        <f t="shared" si="5"/>
        <v>6</v>
      </c>
      <c r="B36" s="1049" t="s">
        <v>879</v>
      </c>
      <c r="C36" s="833"/>
      <c r="D36" s="414">
        <f t="shared" si="4"/>
        <v>6.5</v>
      </c>
      <c r="E36" s="995">
        <f t="shared" si="0"/>
        <v>0</v>
      </c>
      <c r="F36" s="246"/>
      <c r="G36" s="246">
        <v>6.5</v>
      </c>
      <c r="H36" s="246">
        <v>6.5</v>
      </c>
      <c r="I36" s="521"/>
      <c r="J36" s="521">
        <f>J35+80</f>
        <v>306.46299999999997</v>
      </c>
      <c r="K36" s="49"/>
      <c r="L36" s="49"/>
      <c r="M36" s="521"/>
      <c r="N36" s="521"/>
      <c r="O36" s="521"/>
      <c r="P36" s="521"/>
      <c r="Q36" s="840"/>
      <c r="R36" s="521"/>
      <c r="S36" s="521"/>
      <c r="T36" s="521"/>
      <c r="U36" s="521"/>
      <c r="V36" s="521"/>
      <c r="W36" s="521"/>
    </row>
    <row r="37" spans="1:23" ht="15" customHeight="1" x14ac:dyDescent="0.25">
      <c r="A37" s="1050">
        <f t="shared" si="5"/>
        <v>7</v>
      </c>
      <c r="B37" s="1049" t="s">
        <v>880</v>
      </c>
      <c r="C37" s="833"/>
      <c r="D37" s="414">
        <f t="shared" si="4"/>
        <v>0.95240199999999997</v>
      </c>
      <c r="E37" s="995">
        <f t="shared" si="0"/>
        <v>0</v>
      </c>
      <c r="F37" s="246"/>
      <c r="G37" s="246">
        <v>0.95240199999999997</v>
      </c>
      <c r="H37" s="246">
        <v>0.95240199999999997</v>
      </c>
      <c r="I37" s="521"/>
      <c r="J37" s="521"/>
      <c r="K37" s="49"/>
      <c r="L37" s="49"/>
      <c r="M37" s="521"/>
      <c r="N37" s="521"/>
      <c r="O37" s="521"/>
      <c r="P37" s="521"/>
      <c r="Q37" s="840"/>
      <c r="R37" s="521"/>
      <c r="S37" s="521"/>
      <c r="T37" s="521"/>
      <c r="U37" s="521"/>
      <c r="V37" s="521"/>
      <c r="W37" s="521"/>
    </row>
    <row r="38" spans="1:23" ht="15" customHeight="1" x14ac:dyDescent="0.25">
      <c r="A38" s="1050">
        <f t="shared" si="5"/>
        <v>8</v>
      </c>
      <c r="B38" s="1049" t="s">
        <v>897</v>
      </c>
      <c r="C38" s="833"/>
      <c r="D38" s="414">
        <f t="shared" si="4"/>
        <v>12.502485</v>
      </c>
      <c r="E38" s="995">
        <f t="shared" si="0"/>
        <v>0</v>
      </c>
      <c r="F38" s="246"/>
      <c r="G38" s="246">
        <v>12.502485</v>
      </c>
      <c r="H38" s="246">
        <v>1.02</v>
      </c>
      <c r="I38" s="521"/>
      <c r="J38" s="521"/>
      <c r="K38" s="49"/>
      <c r="L38" s="49"/>
      <c r="M38" s="521"/>
      <c r="N38" s="521"/>
      <c r="O38" s="521"/>
      <c r="P38" s="521"/>
      <c r="Q38" s="840"/>
      <c r="R38" s="521"/>
      <c r="S38" s="521"/>
      <c r="T38" s="521"/>
      <c r="U38" s="521"/>
      <c r="V38" s="521"/>
      <c r="W38" s="521"/>
    </row>
    <row r="39" spans="1:23" ht="15" customHeight="1" x14ac:dyDescent="0.25">
      <c r="A39" s="1050">
        <f t="shared" si="5"/>
        <v>9</v>
      </c>
      <c r="B39" s="1049" t="s">
        <v>896</v>
      </c>
      <c r="C39" s="833"/>
      <c r="D39" s="414">
        <f t="shared" si="4"/>
        <v>0.22039</v>
      </c>
      <c r="E39" s="995">
        <f t="shared" si="0"/>
        <v>0</v>
      </c>
      <c r="F39" s="246"/>
      <c r="G39" s="246">
        <v>0.22039</v>
      </c>
      <c r="H39" s="246">
        <v>0.22039</v>
      </c>
      <c r="I39" s="521"/>
      <c r="J39" s="521"/>
      <c r="K39" s="49"/>
      <c r="L39" s="49"/>
      <c r="M39" s="521"/>
      <c r="N39" s="521"/>
      <c r="O39" s="521"/>
      <c r="P39" s="521"/>
      <c r="Q39" s="840"/>
      <c r="R39" s="521"/>
      <c r="S39" s="521"/>
      <c r="T39" s="521"/>
      <c r="U39" s="521"/>
      <c r="V39" s="521"/>
      <c r="W39" s="521"/>
    </row>
    <row r="40" spans="1:23" ht="15" customHeight="1" x14ac:dyDescent="0.25">
      <c r="A40" s="1050">
        <f t="shared" si="5"/>
        <v>10</v>
      </c>
      <c r="B40" s="1049" t="s">
        <v>881</v>
      </c>
      <c r="C40" s="833"/>
      <c r="D40" s="414">
        <f t="shared" si="4"/>
        <v>4.5573920000000001</v>
      </c>
      <c r="E40" s="995">
        <f t="shared" si="0"/>
        <v>0</v>
      </c>
      <c r="F40" s="246"/>
      <c r="G40" s="246">
        <v>4.5573920000000001</v>
      </c>
      <c r="H40" s="246">
        <v>4.5573920000000001</v>
      </c>
      <c r="I40" s="521"/>
      <c r="J40" s="521"/>
      <c r="K40" s="49"/>
      <c r="L40" s="49"/>
      <c r="M40" s="521"/>
      <c r="N40" s="521"/>
      <c r="O40" s="521"/>
      <c r="P40" s="521"/>
      <c r="Q40" s="840"/>
      <c r="R40" s="521"/>
      <c r="S40" s="521"/>
      <c r="T40" s="521"/>
      <c r="U40" s="521"/>
      <c r="V40" s="521"/>
      <c r="W40" s="521"/>
    </row>
    <row r="41" spans="1:23" ht="15" customHeight="1" x14ac:dyDescent="0.25">
      <c r="A41" s="1050">
        <f t="shared" si="5"/>
        <v>11</v>
      </c>
      <c r="B41" s="1049" t="s">
        <v>882</v>
      </c>
      <c r="C41" s="833"/>
      <c r="D41" s="414">
        <f t="shared" si="4"/>
        <v>9.7295000000000006E-2</v>
      </c>
      <c r="E41" s="995">
        <f t="shared" si="0"/>
        <v>0</v>
      </c>
      <c r="F41" s="246"/>
      <c r="G41" s="246">
        <v>9.7295000000000006E-2</v>
      </c>
      <c r="H41" s="246">
        <v>9.7295000000000006E-2</v>
      </c>
      <c r="I41" s="521"/>
      <c r="J41" s="521"/>
      <c r="K41" s="49"/>
      <c r="L41" s="49"/>
      <c r="M41" s="521"/>
      <c r="N41" s="521"/>
      <c r="O41" s="521"/>
      <c r="P41" s="521"/>
      <c r="Q41" s="840"/>
      <c r="R41" s="521"/>
      <c r="S41" s="521"/>
      <c r="T41" s="521"/>
      <c r="U41" s="521"/>
      <c r="V41" s="521"/>
      <c r="W41" s="521"/>
    </row>
    <row r="42" spans="1:23" ht="15" customHeight="1" x14ac:dyDescent="0.25">
      <c r="A42" s="1050">
        <f t="shared" si="5"/>
        <v>12</v>
      </c>
      <c r="B42" s="1049" t="s">
        <v>883</v>
      </c>
      <c r="C42" s="833">
        <v>1.05</v>
      </c>
      <c r="D42" s="414">
        <f t="shared" si="4"/>
        <v>30.980944000000001</v>
      </c>
      <c r="E42" s="995">
        <f t="shared" si="0"/>
        <v>1.05</v>
      </c>
      <c r="F42" s="246"/>
      <c r="G42" s="246">
        <v>29.930944</v>
      </c>
      <c r="H42" s="246">
        <v>7.8209999999999997</v>
      </c>
      <c r="I42" s="521"/>
      <c r="J42" s="521">
        <f>0.35*3</f>
        <v>1.0499999999999998</v>
      </c>
      <c r="K42" s="49"/>
      <c r="L42" s="49"/>
      <c r="M42" s="521"/>
      <c r="N42" s="521"/>
      <c r="O42" s="521"/>
      <c r="P42" s="521"/>
      <c r="Q42" s="840"/>
      <c r="R42" s="521"/>
      <c r="S42" s="521"/>
      <c r="T42" s="521"/>
      <c r="U42" s="521"/>
      <c r="V42" s="521"/>
      <c r="W42" s="521"/>
    </row>
    <row r="43" spans="1:23" ht="15" customHeight="1" x14ac:dyDescent="0.25">
      <c r="A43" s="1050">
        <f t="shared" si="5"/>
        <v>13</v>
      </c>
      <c r="B43" s="1049" t="s">
        <v>884</v>
      </c>
      <c r="C43" s="833"/>
      <c r="D43" s="414">
        <f t="shared" si="4"/>
        <v>1.6271260000000001</v>
      </c>
      <c r="E43" s="995">
        <f t="shared" si="0"/>
        <v>0</v>
      </c>
      <c r="F43" s="246"/>
      <c r="G43" s="246">
        <v>1.6271260000000001</v>
      </c>
      <c r="H43" s="246">
        <v>1.6271260000000001</v>
      </c>
      <c r="I43" s="521"/>
      <c r="J43" s="521"/>
      <c r="K43" s="49"/>
      <c r="L43" s="49"/>
      <c r="M43" s="521"/>
      <c r="N43" s="521"/>
      <c r="O43" s="521"/>
      <c r="P43" s="521"/>
      <c r="Q43" s="840"/>
      <c r="R43" s="521"/>
      <c r="S43" s="521"/>
      <c r="T43" s="521"/>
      <c r="U43" s="521"/>
      <c r="V43" s="521"/>
      <c r="W43" s="521"/>
    </row>
    <row r="44" spans="1:23" ht="15" customHeight="1" x14ac:dyDescent="0.25">
      <c r="A44" s="1050">
        <f t="shared" si="5"/>
        <v>14</v>
      </c>
      <c r="B44" s="1049" t="s">
        <v>885</v>
      </c>
      <c r="C44" s="833">
        <v>1.1000000000000001</v>
      </c>
      <c r="D44" s="414">
        <f t="shared" si="4"/>
        <v>28.816903000000003</v>
      </c>
      <c r="E44" s="995">
        <f t="shared" si="0"/>
        <v>1.1000000000000001</v>
      </c>
      <c r="F44" s="246"/>
      <c r="G44" s="246">
        <v>27.716903000000002</v>
      </c>
      <c r="H44" s="246">
        <v>7.68</v>
      </c>
      <c r="I44" s="521"/>
      <c r="J44" s="521"/>
      <c r="K44" s="49"/>
      <c r="L44" s="49"/>
      <c r="M44" s="521"/>
      <c r="N44" s="521"/>
      <c r="O44" s="521"/>
      <c r="P44" s="521"/>
      <c r="Q44" s="840"/>
      <c r="R44" s="521"/>
      <c r="S44" s="521"/>
      <c r="T44" s="521"/>
      <c r="U44" s="521"/>
      <c r="V44" s="521"/>
      <c r="W44" s="521"/>
    </row>
    <row r="45" spans="1:23" ht="15" customHeight="1" x14ac:dyDescent="0.25">
      <c r="A45" s="1050">
        <f t="shared" si="5"/>
        <v>15</v>
      </c>
      <c r="B45" s="1049" t="s">
        <v>886</v>
      </c>
      <c r="C45" s="833"/>
      <c r="D45" s="414">
        <f t="shared" si="4"/>
        <v>0.26785900000000001</v>
      </c>
      <c r="E45" s="995">
        <f t="shared" si="0"/>
        <v>0</v>
      </c>
      <c r="F45" s="246"/>
      <c r="G45" s="246">
        <v>0.26785900000000001</v>
      </c>
      <c r="H45" s="246">
        <v>0.26785900000000001</v>
      </c>
      <c r="I45" s="521"/>
      <c r="J45" s="521"/>
      <c r="K45" s="49"/>
      <c r="L45" s="49"/>
      <c r="M45" s="521"/>
      <c r="N45" s="521"/>
      <c r="O45" s="521"/>
      <c r="P45" s="521"/>
      <c r="Q45" s="840"/>
      <c r="R45" s="521"/>
      <c r="S45" s="521"/>
      <c r="T45" s="521"/>
      <c r="U45" s="521"/>
      <c r="V45" s="521"/>
      <c r="W45" s="521"/>
    </row>
    <row r="46" spans="1:23" ht="15" customHeight="1" x14ac:dyDescent="0.25">
      <c r="A46" s="1050">
        <f t="shared" si="5"/>
        <v>16</v>
      </c>
      <c r="B46" s="1049" t="s">
        <v>887</v>
      </c>
      <c r="C46" s="833"/>
      <c r="D46" s="414">
        <f t="shared" si="4"/>
        <v>19.909320000000001</v>
      </c>
      <c r="E46" s="995">
        <f t="shared" si="0"/>
        <v>0</v>
      </c>
      <c r="F46" s="246"/>
      <c r="G46" s="246">
        <v>19.909320000000001</v>
      </c>
      <c r="H46" s="246">
        <v>19.909320000000001</v>
      </c>
      <c r="I46" s="521"/>
      <c r="J46" s="521"/>
      <c r="K46" s="49"/>
      <c r="L46" s="49"/>
      <c r="M46" s="521"/>
      <c r="N46" s="521"/>
      <c r="O46" s="521"/>
      <c r="P46" s="521"/>
      <c r="Q46" s="840"/>
      <c r="R46" s="521"/>
      <c r="S46" s="521"/>
      <c r="T46" s="521"/>
      <c r="U46" s="521"/>
      <c r="V46" s="521"/>
      <c r="W46" s="521"/>
    </row>
    <row r="47" spans="1:23" ht="15" customHeight="1" x14ac:dyDescent="0.25">
      <c r="A47" s="1050">
        <f t="shared" si="5"/>
        <v>17</v>
      </c>
      <c r="B47" s="1049" t="s">
        <v>888</v>
      </c>
      <c r="C47" s="833"/>
      <c r="D47" s="414">
        <f t="shared" si="4"/>
        <v>0.18429200000000001</v>
      </c>
      <c r="E47" s="995">
        <f t="shared" si="0"/>
        <v>0</v>
      </c>
      <c r="F47" s="246"/>
      <c r="G47" s="246">
        <v>0.18429200000000001</v>
      </c>
      <c r="H47" s="246">
        <v>0.18429200000000001</v>
      </c>
      <c r="I47" s="521"/>
      <c r="J47" s="521"/>
      <c r="K47" s="49"/>
      <c r="L47" s="49"/>
      <c r="M47" s="521"/>
      <c r="N47" s="521"/>
      <c r="O47" s="521"/>
      <c r="P47" s="521"/>
      <c r="Q47" s="840"/>
      <c r="R47" s="521"/>
      <c r="S47" s="521"/>
      <c r="T47" s="521"/>
      <c r="U47" s="521"/>
      <c r="V47" s="521"/>
      <c r="W47" s="521"/>
    </row>
    <row r="48" spans="1:23" ht="15" customHeight="1" x14ac:dyDescent="0.25">
      <c r="A48" s="1050">
        <f t="shared" si="5"/>
        <v>18</v>
      </c>
      <c r="B48" s="1049" t="s">
        <v>889</v>
      </c>
      <c r="C48" s="833">
        <v>0</v>
      </c>
      <c r="D48" s="414">
        <f t="shared" si="4"/>
        <v>3.3593600000000001</v>
      </c>
      <c r="E48" s="995">
        <f t="shared" si="0"/>
        <v>0</v>
      </c>
      <c r="F48" s="246"/>
      <c r="G48" s="246">
        <v>3.3593600000000001</v>
      </c>
      <c r="H48" s="246">
        <v>3.3593600000000001</v>
      </c>
      <c r="I48" s="521"/>
      <c r="J48" s="521"/>
      <c r="K48" s="49"/>
      <c r="L48" s="49"/>
      <c r="M48" s="521"/>
      <c r="N48" s="521"/>
      <c r="O48" s="521"/>
      <c r="P48" s="521"/>
      <c r="Q48" s="840"/>
      <c r="R48" s="521"/>
      <c r="S48" s="521"/>
      <c r="T48" s="521"/>
      <c r="U48" s="521"/>
      <c r="V48" s="521"/>
      <c r="W48" s="521"/>
    </row>
    <row r="49" spans="1:23" ht="15" customHeight="1" x14ac:dyDescent="0.25">
      <c r="A49" s="1050">
        <f t="shared" si="5"/>
        <v>19</v>
      </c>
      <c r="B49" s="1049" t="s">
        <v>890</v>
      </c>
      <c r="C49" s="833"/>
      <c r="D49" s="414">
        <f t="shared" si="4"/>
        <v>1.949568</v>
      </c>
      <c r="E49" s="995">
        <f t="shared" si="0"/>
        <v>0</v>
      </c>
      <c r="F49" s="246"/>
      <c r="G49" s="246">
        <v>1.949568</v>
      </c>
      <c r="H49" s="246">
        <v>1.949568</v>
      </c>
      <c r="I49" s="521"/>
      <c r="J49" s="521"/>
      <c r="K49" s="49"/>
      <c r="L49" s="49"/>
      <c r="M49" s="521"/>
      <c r="N49" s="521"/>
      <c r="O49" s="521"/>
      <c r="P49" s="521"/>
      <c r="Q49" s="840"/>
      <c r="R49" s="521"/>
      <c r="S49" s="521"/>
      <c r="T49" s="521"/>
      <c r="U49" s="521"/>
      <c r="V49" s="521"/>
      <c r="W49" s="521"/>
    </row>
    <row r="50" spans="1:23" ht="15" customHeight="1" x14ac:dyDescent="0.25">
      <c r="A50" s="1050">
        <f t="shared" si="5"/>
        <v>20</v>
      </c>
      <c r="B50" s="1049" t="s">
        <v>891</v>
      </c>
      <c r="C50" s="833"/>
      <c r="D50" s="414">
        <f t="shared" si="4"/>
        <v>2.8991669999999998</v>
      </c>
      <c r="E50" s="995">
        <f t="shared" si="0"/>
        <v>0</v>
      </c>
      <c r="F50" s="246"/>
      <c r="G50" s="246">
        <v>2.8991669999999998</v>
      </c>
      <c r="H50" s="246">
        <v>2.8991669999999998</v>
      </c>
      <c r="I50" s="521"/>
      <c r="J50" s="521"/>
      <c r="K50" s="49"/>
      <c r="L50" s="49"/>
      <c r="M50" s="521"/>
      <c r="N50" s="521"/>
      <c r="O50" s="521"/>
      <c r="P50" s="521"/>
      <c r="Q50" s="840"/>
      <c r="R50" s="521"/>
      <c r="S50" s="521"/>
      <c r="T50" s="521"/>
      <c r="U50" s="521"/>
      <c r="V50" s="521"/>
      <c r="W50" s="521"/>
    </row>
    <row r="51" spans="1:23" ht="15" customHeight="1" x14ac:dyDescent="0.25">
      <c r="A51" s="1050">
        <f t="shared" si="5"/>
        <v>21</v>
      </c>
      <c r="B51" s="1049" t="s">
        <v>892</v>
      </c>
      <c r="C51" s="833"/>
      <c r="D51" s="414">
        <f t="shared" si="4"/>
        <v>0.789744</v>
      </c>
      <c r="E51" s="995">
        <f t="shared" si="0"/>
        <v>0</v>
      </c>
      <c r="F51" s="246"/>
      <c r="G51" s="246">
        <v>0.789744</v>
      </c>
      <c r="H51" s="246">
        <v>0.789744</v>
      </c>
      <c r="I51" s="521"/>
      <c r="J51" s="521"/>
      <c r="K51" s="49"/>
      <c r="L51" s="49"/>
      <c r="M51" s="521"/>
      <c r="N51" s="521"/>
      <c r="O51" s="521"/>
      <c r="P51" s="521"/>
      <c r="Q51" s="840"/>
      <c r="R51" s="521"/>
      <c r="S51" s="521"/>
      <c r="T51" s="521"/>
      <c r="U51" s="521"/>
      <c r="V51" s="521"/>
      <c r="W51" s="521"/>
    </row>
    <row r="52" spans="1:23" ht="15" customHeight="1" x14ac:dyDescent="0.25">
      <c r="A52" s="1050">
        <f t="shared" si="5"/>
        <v>22</v>
      </c>
      <c r="B52" s="1049" t="s">
        <v>985</v>
      </c>
      <c r="C52" s="833"/>
      <c r="D52" s="414">
        <f t="shared" si="4"/>
        <v>24.354700000000001</v>
      </c>
      <c r="E52" s="995">
        <f t="shared" si="0"/>
        <v>0</v>
      </c>
      <c r="F52" s="246"/>
      <c r="G52" s="246">
        <v>24.354700000000001</v>
      </c>
      <c r="H52" s="246">
        <v>15.1257</v>
      </c>
      <c r="I52" s="521"/>
      <c r="J52" s="521"/>
      <c r="K52" s="49"/>
      <c r="L52" s="49"/>
      <c r="M52" s="521"/>
      <c r="N52" s="521"/>
      <c r="O52" s="521"/>
      <c r="P52" s="521"/>
      <c r="Q52" s="840"/>
      <c r="R52" s="521"/>
      <c r="S52" s="521"/>
      <c r="T52" s="521"/>
      <c r="U52" s="521"/>
      <c r="V52" s="521"/>
      <c r="W52" s="521"/>
    </row>
    <row r="53" spans="1:23" ht="15" customHeight="1" x14ac:dyDescent="0.25">
      <c r="A53" s="1050">
        <f t="shared" si="5"/>
        <v>23</v>
      </c>
      <c r="B53" s="1049" t="s">
        <v>893</v>
      </c>
      <c r="C53" s="833">
        <v>0</v>
      </c>
      <c r="D53" s="414">
        <f t="shared" si="4"/>
        <v>1.1399999999999999</v>
      </c>
      <c r="E53" s="995">
        <f t="shared" si="0"/>
        <v>0</v>
      </c>
      <c r="F53" s="246"/>
      <c r="G53" s="246">
        <v>1.1399999999999999</v>
      </c>
      <c r="H53" s="246">
        <v>1.1399999999999999</v>
      </c>
      <c r="I53" s="521"/>
      <c r="J53" s="521"/>
      <c r="K53" s="49"/>
      <c r="L53" s="49"/>
      <c r="M53" s="521"/>
      <c r="N53" s="521"/>
      <c r="O53" s="521"/>
      <c r="P53" s="521"/>
      <c r="Q53" s="840"/>
      <c r="R53" s="521"/>
      <c r="S53" s="521"/>
      <c r="T53" s="521"/>
      <c r="U53" s="521"/>
      <c r="V53" s="521"/>
      <c r="W53" s="521"/>
    </row>
    <row r="54" spans="1:23" ht="15" customHeight="1" x14ac:dyDescent="0.25">
      <c r="A54" s="1050">
        <f t="shared" si="5"/>
        <v>24</v>
      </c>
      <c r="B54" s="1049" t="s">
        <v>894</v>
      </c>
      <c r="C54" s="833"/>
      <c r="D54" s="414">
        <f t="shared" si="4"/>
        <v>6.2799999999999995E-2</v>
      </c>
      <c r="E54" s="995">
        <f t="shared" si="0"/>
        <v>0</v>
      </c>
      <c r="F54" s="246"/>
      <c r="G54" s="246">
        <v>6.2799999999999995E-2</v>
      </c>
      <c r="H54" s="246">
        <v>6.2799999999999995E-2</v>
      </c>
      <c r="I54" s="521"/>
      <c r="J54" s="521"/>
      <c r="K54" s="49"/>
      <c r="L54" s="49"/>
      <c r="M54" s="521"/>
      <c r="N54" s="521"/>
      <c r="O54" s="521"/>
      <c r="P54" s="521"/>
      <c r="Q54" s="840"/>
      <c r="R54" s="521"/>
      <c r="S54" s="521"/>
      <c r="T54" s="521"/>
      <c r="U54" s="521"/>
      <c r="V54" s="521"/>
      <c r="W54" s="521"/>
    </row>
    <row r="55" spans="1:23" ht="15" customHeight="1" x14ac:dyDescent="0.25">
      <c r="A55" s="1050">
        <f t="shared" si="5"/>
        <v>25</v>
      </c>
      <c r="B55" s="1049" t="s">
        <v>895</v>
      </c>
      <c r="C55" s="833"/>
      <c r="D55" s="414">
        <f t="shared" si="4"/>
        <v>0.36892900000000001</v>
      </c>
      <c r="E55" s="995">
        <f t="shared" si="0"/>
        <v>0</v>
      </c>
      <c r="F55" s="246"/>
      <c r="G55" s="246">
        <v>0.36892900000000001</v>
      </c>
      <c r="H55" s="246">
        <v>0.36892900000000001</v>
      </c>
      <c r="I55" s="521"/>
      <c r="J55" s="521"/>
      <c r="K55" s="49"/>
      <c r="L55" s="49"/>
      <c r="M55" s="521"/>
      <c r="N55" s="521"/>
      <c r="O55" s="521"/>
      <c r="P55" s="521"/>
      <c r="Q55" s="840"/>
      <c r="R55" s="521"/>
      <c r="S55" s="521"/>
      <c r="T55" s="521"/>
      <c r="U55" s="521"/>
      <c r="V55" s="521"/>
      <c r="W55" s="521"/>
    </row>
    <row r="56" spans="1:23" ht="15" customHeight="1" x14ac:dyDescent="0.25">
      <c r="A56" s="1050">
        <f t="shared" si="5"/>
        <v>26</v>
      </c>
      <c r="B56" s="1049" t="s">
        <v>913</v>
      </c>
      <c r="C56" s="833">
        <f>0.219</f>
        <v>0.219</v>
      </c>
      <c r="D56" s="414">
        <f t="shared" si="4"/>
        <v>3.319</v>
      </c>
      <c r="E56" s="995">
        <f t="shared" si="0"/>
        <v>0.219</v>
      </c>
      <c r="F56" s="246"/>
      <c r="G56" s="246">
        <v>3.1</v>
      </c>
      <c r="H56" s="246">
        <v>3.1</v>
      </c>
      <c r="I56" s="521"/>
      <c r="J56" s="521"/>
      <c r="K56" s="49"/>
      <c r="L56" s="49"/>
      <c r="M56" s="521"/>
      <c r="N56" s="521"/>
      <c r="O56" s="521"/>
      <c r="P56" s="521"/>
      <c r="Q56" s="840"/>
      <c r="R56" s="521"/>
      <c r="S56" s="521"/>
      <c r="T56" s="521"/>
      <c r="U56" s="521"/>
      <c r="V56" s="521"/>
      <c r="W56" s="521"/>
    </row>
    <row r="57" spans="1:23" ht="15" customHeight="1" x14ac:dyDescent="0.25">
      <c r="A57" s="61"/>
      <c r="B57" s="444" t="s">
        <v>620</v>
      </c>
      <c r="C57" s="662"/>
      <c r="D57" s="414">
        <f t="shared" ref="D57:D70" si="6">C57+G57</f>
        <v>0</v>
      </c>
      <c r="E57" s="995">
        <f t="shared" si="0"/>
        <v>0</v>
      </c>
      <c r="F57" s="246"/>
      <c r="G57" s="246">
        <v>0</v>
      </c>
      <c r="H57" s="246">
        <v>0</v>
      </c>
      <c r="I57" s="521"/>
      <c r="J57" s="521"/>
      <c r="K57" s="49">
        <f>$J$33*H54</f>
        <v>0</v>
      </c>
      <c r="L57" s="49">
        <f t="shared" si="1"/>
        <v>0</v>
      </c>
      <c r="M57" s="521">
        <v>0</v>
      </c>
      <c r="N57" s="521">
        <v>0</v>
      </c>
      <c r="O57" s="521">
        <f t="shared" si="2"/>
        <v>0</v>
      </c>
      <c r="P57" s="521">
        <f t="shared" si="3"/>
        <v>0</v>
      </c>
      <c r="Q57" s="840"/>
      <c r="R57" s="521"/>
      <c r="S57" s="521"/>
      <c r="T57" s="521"/>
      <c r="U57" s="521"/>
      <c r="V57" s="521"/>
      <c r="W57" s="521"/>
    </row>
    <row r="58" spans="1:23" ht="15" customHeight="1" x14ac:dyDescent="0.25">
      <c r="A58" s="691"/>
      <c r="B58" s="444" t="s">
        <v>566</v>
      </c>
      <c r="C58" s="662"/>
      <c r="D58" s="414">
        <f t="shared" si="6"/>
        <v>1.857</v>
      </c>
      <c r="E58" s="995">
        <f t="shared" si="0"/>
        <v>0</v>
      </c>
      <c r="F58" s="246"/>
      <c r="G58" s="246">
        <v>1.857</v>
      </c>
      <c r="H58" s="246">
        <v>0</v>
      </c>
      <c r="I58" s="521"/>
      <c r="J58" s="521"/>
      <c r="K58" s="49">
        <f>$J$32*H56</f>
        <v>0</v>
      </c>
      <c r="L58" s="49">
        <f t="shared" si="1"/>
        <v>1.857</v>
      </c>
      <c r="M58" s="521">
        <v>1.857</v>
      </c>
      <c r="N58" s="521">
        <v>0</v>
      </c>
      <c r="O58" s="521">
        <f t="shared" si="2"/>
        <v>0</v>
      </c>
      <c r="P58" s="521">
        <f t="shared" si="3"/>
        <v>0</v>
      </c>
      <c r="Q58" s="840"/>
      <c r="R58" s="521"/>
      <c r="S58" s="521"/>
      <c r="T58" s="521"/>
      <c r="U58" s="521"/>
      <c r="V58" s="521"/>
      <c r="W58" s="521"/>
    </row>
    <row r="59" spans="1:23" ht="15" customHeight="1" x14ac:dyDescent="0.25">
      <c r="A59" s="57">
        <v>5</v>
      </c>
      <c r="B59" s="53" t="s">
        <v>67</v>
      </c>
      <c r="C59" s="246"/>
      <c r="D59" s="414">
        <f t="shared" si="6"/>
        <v>0</v>
      </c>
      <c r="E59" s="995">
        <f t="shared" si="0"/>
        <v>0</v>
      </c>
      <c r="F59" s="246"/>
      <c r="G59" s="246">
        <v>0</v>
      </c>
      <c r="H59" s="246">
        <v>0</v>
      </c>
      <c r="I59" s="521"/>
      <c r="J59" s="521"/>
      <c r="K59" s="49"/>
      <c r="L59" s="49">
        <f t="shared" si="1"/>
        <v>0</v>
      </c>
      <c r="M59" s="521"/>
      <c r="N59" s="521"/>
      <c r="O59" s="521">
        <f t="shared" si="2"/>
        <v>0</v>
      </c>
      <c r="P59" s="521">
        <f t="shared" si="3"/>
        <v>0</v>
      </c>
      <c r="Q59" s="840"/>
      <c r="R59" s="521"/>
      <c r="S59" s="521"/>
      <c r="T59" s="521"/>
      <c r="U59" s="521"/>
      <c r="V59" s="521"/>
      <c r="W59" s="521"/>
    </row>
    <row r="60" spans="1:23" x14ac:dyDescent="0.25">
      <c r="A60" s="55"/>
      <c r="B60" s="444" t="s">
        <v>287</v>
      </c>
      <c r="C60" s="246">
        <v>0.253</v>
      </c>
      <c r="D60" s="414">
        <f t="shared" si="6"/>
        <v>7.5340283633333343</v>
      </c>
      <c r="E60" s="995">
        <f t="shared" si="0"/>
        <v>0.253</v>
      </c>
      <c r="F60" s="246">
        <v>0.254</v>
      </c>
      <c r="G60" s="246">
        <v>7.2810283633333341</v>
      </c>
      <c r="H60" s="246">
        <v>2.7863770000000003</v>
      </c>
      <c r="I60" s="521"/>
      <c r="J60" s="521"/>
      <c r="K60" s="49">
        <v>6.5210283633333344</v>
      </c>
      <c r="L60" s="49">
        <f t="shared" si="1"/>
        <v>7.2810283633333341</v>
      </c>
      <c r="M60" s="521">
        <v>6.5210283633333344</v>
      </c>
      <c r="N60" s="521">
        <v>2.0263770000000001</v>
      </c>
      <c r="O60" s="521">
        <f t="shared" si="2"/>
        <v>1.0129999999999999</v>
      </c>
      <c r="P60" s="521">
        <f t="shared" si="3"/>
        <v>-1.773377</v>
      </c>
      <c r="Q60" s="840"/>
      <c r="R60" s="521"/>
      <c r="S60" s="521"/>
      <c r="T60" s="521"/>
      <c r="U60" s="521"/>
      <c r="V60" s="521"/>
      <c r="W60" s="521"/>
    </row>
    <row r="61" spans="1:23" x14ac:dyDescent="0.25">
      <c r="A61" s="55"/>
      <c r="B61" s="444" t="s">
        <v>307</v>
      </c>
      <c r="C61" s="246"/>
      <c r="D61" s="414">
        <f t="shared" si="6"/>
        <v>12.103</v>
      </c>
      <c r="E61" s="995">
        <f t="shared" si="0"/>
        <v>0</v>
      </c>
      <c r="F61" s="246"/>
      <c r="G61" s="246">
        <v>12.103</v>
      </c>
      <c r="H61" s="246">
        <v>0</v>
      </c>
      <c r="I61" s="521"/>
      <c r="J61" s="521"/>
      <c r="K61" s="49">
        <v>12.103</v>
      </c>
      <c r="L61" s="49">
        <f t="shared" si="1"/>
        <v>12.103</v>
      </c>
      <c r="M61" s="521">
        <v>12.103</v>
      </c>
      <c r="N61" s="521">
        <v>0</v>
      </c>
      <c r="O61" s="521">
        <f t="shared" si="2"/>
        <v>0</v>
      </c>
      <c r="P61" s="521">
        <f t="shared" si="3"/>
        <v>0</v>
      </c>
      <c r="Q61" s="840"/>
      <c r="R61" s="521"/>
      <c r="S61" s="521"/>
      <c r="T61" s="521"/>
      <c r="U61" s="521"/>
      <c r="V61" s="521"/>
      <c r="W61" s="523"/>
    </row>
    <row r="62" spans="1:23" x14ac:dyDescent="0.25">
      <c r="A62" s="55"/>
      <c r="B62" s="444" t="s">
        <v>288</v>
      </c>
      <c r="C62" s="246"/>
      <c r="D62" s="414">
        <f t="shared" si="6"/>
        <v>31.049518489500006</v>
      </c>
      <c r="E62" s="995">
        <f t="shared" si="0"/>
        <v>0</v>
      </c>
      <c r="F62" s="246"/>
      <c r="G62" s="246">
        <v>31.049518489500006</v>
      </c>
      <c r="H62" s="246">
        <v>11.824656564000001</v>
      </c>
      <c r="I62" s="521"/>
      <c r="J62" s="521"/>
      <c r="K62" s="49">
        <v>28.944677989500001</v>
      </c>
      <c r="L62" s="49">
        <f t="shared" si="1"/>
        <v>31.049518489500006</v>
      </c>
      <c r="M62" s="521">
        <v>28.944677989500001</v>
      </c>
      <c r="N62" s="521">
        <v>9.7198160640000015</v>
      </c>
      <c r="O62" s="521">
        <f t="shared" si="2"/>
        <v>2.1048405000000052</v>
      </c>
      <c r="P62" s="521">
        <f t="shared" si="3"/>
        <v>-9.7198160640000015</v>
      </c>
      <c r="Q62" s="840"/>
      <c r="R62" s="521"/>
      <c r="S62" s="521"/>
      <c r="T62" s="521"/>
      <c r="U62" s="521"/>
      <c r="V62" s="521"/>
      <c r="W62" s="336"/>
    </row>
    <row r="63" spans="1:23" x14ac:dyDescent="0.25">
      <c r="A63" s="61"/>
      <c r="B63" s="62" t="s">
        <v>289</v>
      </c>
      <c r="C63" s="246">
        <v>0</v>
      </c>
      <c r="D63" s="414">
        <f t="shared" si="6"/>
        <v>0.9714050000000003</v>
      </c>
      <c r="E63" s="995">
        <f t="shared" si="0"/>
        <v>0</v>
      </c>
      <c r="F63" s="59"/>
      <c r="G63" s="59">
        <v>0.9714050000000003</v>
      </c>
      <c r="H63" s="59">
        <v>0.2145</v>
      </c>
      <c r="I63" s="336"/>
      <c r="J63" s="336"/>
      <c r="K63" s="49">
        <v>0.83160500000000026</v>
      </c>
      <c r="L63" s="49">
        <f t="shared" si="1"/>
        <v>0.9714050000000003</v>
      </c>
      <c r="M63" s="521">
        <v>0.83160500000000026</v>
      </c>
      <c r="N63" s="521">
        <v>7.4700000000000003E-2</v>
      </c>
      <c r="O63" s="521">
        <f t="shared" si="2"/>
        <v>0.13980000000000004</v>
      </c>
      <c r="P63" s="521">
        <f t="shared" si="3"/>
        <v>-7.4700000000000003E-2</v>
      </c>
      <c r="Q63" s="840"/>
      <c r="R63" s="521"/>
      <c r="S63" s="521"/>
      <c r="T63" s="521"/>
      <c r="U63" s="521"/>
      <c r="V63" s="521"/>
      <c r="W63" s="336"/>
    </row>
    <row r="64" spans="1:23" x14ac:dyDescent="0.25">
      <c r="A64" s="193"/>
      <c r="B64" s="62" t="s">
        <v>457</v>
      </c>
      <c r="C64" s="246"/>
      <c r="D64" s="414">
        <f t="shared" si="6"/>
        <v>0.64847000000000021</v>
      </c>
      <c r="E64" s="995">
        <f t="shared" si="0"/>
        <v>0</v>
      </c>
      <c r="F64" s="59"/>
      <c r="G64" s="59">
        <v>0.64847000000000021</v>
      </c>
      <c r="H64" s="59">
        <v>4.5469999999999997E-2</v>
      </c>
      <c r="I64" s="336"/>
      <c r="J64" s="336"/>
      <c r="K64" s="49">
        <v>0.64847000000000021</v>
      </c>
      <c r="L64" s="49">
        <f t="shared" si="1"/>
        <v>0.64847000000000021</v>
      </c>
      <c r="M64" s="521">
        <v>0.64847000000000021</v>
      </c>
      <c r="N64" s="521">
        <v>4.5469999999999997E-2</v>
      </c>
      <c r="O64" s="521">
        <f t="shared" si="2"/>
        <v>0</v>
      </c>
      <c r="P64" s="521">
        <f t="shared" si="3"/>
        <v>-4.5469999999999997E-2</v>
      </c>
      <c r="Q64" s="840"/>
      <c r="R64" s="521"/>
      <c r="S64" s="521"/>
      <c r="T64" s="521"/>
      <c r="U64" s="521"/>
      <c r="V64" s="521"/>
      <c r="W64" s="336"/>
    </row>
    <row r="65" spans="1:24" x14ac:dyDescent="0.25">
      <c r="A65" s="193"/>
      <c r="B65" s="740" t="s">
        <v>678</v>
      </c>
      <c r="C65" s="246"/>
      <c r="D65" s="414">
        <f t="shared" si="6"/>
        <v>22.858000000000001</v>
      </c>
      <c r="E65" s="995">
        <f t="shared" si="0"/>
        <v>0</v>
      </c>
      <c r="F65" s="59"/>
      <c r="G65" s="59">
        <v>22.858000000000001</v>
      </c>
      <c r="H65" s="59">
        <v>0</v>
      </c>
      <c r="I65" s="336"/>
      <c r="J65" s="336"/>
      <c r="K65" s="49">
        <v>22.858000000000001</v>
      </c>
      <c r="L65" s="49">
        <f t="shared" si="1"/>
        <v>22.858000000000001</v>
      </c>
      <c r="M65" s="521">
        <v>22.858000000000001</v>
      </c>
      <c r="N65" s="521">
        <v>0</v>
      </c>
      <c r="O65" s="521">
        <f t="shared" si="2"/>
        <v>0</v>
      </c>
      <c r="P65" s="521">
        <f t="shared" si="3"/>
        <v>0</v>
      </c>
      <c r="Q65" s="840"/>
      <c r="R65" s="521"/>
      <c r="S65" s="521"/>
      <c r="T65" s="521"/>
      <c r="U65" s="521"/>
      <c r="V65" s="521"/>
      <c r="W65" s="336"/>
    </row>
    <row r="66" spans="1:24" x14ac:dyDescent="0.25">
      <c r="A66" s="193"/>
      <c r="B66" s="56" t="s">
        <v>290</v>
      </c>
      <c r="C66" s="246"/>
      <c r="D66" s="414">
        <f t="shared" si="6"/>
        <v>1.0650000000000002</v>
      </c>
      <c r="E66" s="995">
        <f t="shared" si="0"/>
        <v>0</v>
      </c>
      <c r="F66" s="59"/>
      <c r="G66" s="59">
        <v>1.0650000000000002</v>
      </c>
      <c r="H66" s="59">
        <v>0</v>
      </c>
      <c r="I66" s="336"/>
      <c r="J66" s="336"/>
      <c r="K66" s="49">
        <v>1.0650000000000002</v>
      </c>
      <c r="L66" s="49">
        <f t="shared" si="1"/>
        <v>1.0650000000000002</v>
      </c>
      <c r="M66" s="521">
        <v>1.0650000000000002</v>
      </c>
      <c r="N66" s="521">
        <v>0</v>
      </c>
      <c r="O66" s="521">
        <f t="shared" si="2"/>
        <v>0</v>
      </c>
      <c r="P66" s="521">
        <f t="shared" si="3"/>
        <v>0</v>
      </c>
      <c r="Q66" s="840"/>
      <c r="R66" s="521"/>
      <c r="S66" s="521"/>
      <c r="T66" s="521"/>
      <c r="U66" s="521"/>
      <c r="V66" s="521"/>
      <c r="W66" s="336"/>
    </row>
    <row r="67" spans="1:24" x14ac:dyDescent="0.25">
      <c r="A67" s="193"/>
      <c r="B67" s="56" t="s">
        <v>458</v>
      </c>
      <c r="C67" s="246"/>
      <c r="D67" s="414">
        <f t="shared" si="6"/>
        <v>2.9758440000000004</v>
      </c>
      <c r="E67" s="995">
        <f t="shared" si="0"/>
        <v>0</v>
      </c>
      <c r="F67" s="59"/>
      <c r="G67" s="59">
        <v>2.9758440000000004</v>
      </c>
      <c r="H67" s="59">
        <v>0.316355</v>
      </c>
      <c r="I67" s="336"/>
      <c r="J67" s="336"/>
      <c r="K67" s="49">
        <v>2.9758440000000004</v>
      </c>
      <c r="L67" s="49">
        <f t="shared" si="1"/>
        <v>2.9758440000000004</v>
      </c>
      <c r="M67" s="521">
        <v>2.9758440000000004</v>
      </c>
      <c r="N67" s="521">
        <v>0.316355</v>
      </c>
      <c r="O67" s="521">
        <f t="shared" si="2"/>
        <v>0</v>
      </c>
      <c r="P67" s="521">
        <f t="shared" si="3"/>
        <v>-0.316355</v>
      </c>
      <c r="Q67" s="840"/>
      <c r="R67" s="521"/>
      <c r="S67" s="521"/>
      <c r="T67" s="521"/>
      <c r="U67" s="521"/>
      <c r="V67" s="521"/>
      <c r="W67" s="336"/>
    </row>
    <row r="68" spans="1:24" x14ac:dyDescent="0.25">
      <c r="A68" s="193"/>
      <c r="B68" s="56" t="s">
        <v>478</v>
      </c>
      <c r="C68" s="246"/>
      <c r="D68" s="414">
        <f t="shared" si="6"/>
        <v>2.427</v>
      </c>
      <c r="E68" s="995">
        <f t="shared" si="0"/>
        <v>0</v>
      </c>
      <c r="F68" s="59"/>
      <c r="G68" s="59">
        <v>2.427</v>
      </c>
      <c r="H68" s="59">
        <v>0</v>
      </c>
      <c r="I68" s="336"/>
      <c r="J68" s="336"/>
      <c r="K68" s="49">
        <v>2.427</v>
      </c>
      <c r="L68" s="49">
        <f t="shared" si="1"/>
        <v>2.427</v>
      </c>
      <c r="M68" s="521">
        <v>2.427</v>
      </c>
      <c r="N68" s="521">
        <v>0</v>
      </c>
      <c r="O68" s="521">
        <f t="shared" si="2"/>
        <v>0</v>
      </c>
      <c r="P68" s="521">
        <f t="shared" si="3"/>
        <v>0</v>
      </c>
      <c r="Q68" s="840"/>
      <c r="R68" s="521"/>
      <c r="S68" s="521"/>
      <c r="T68" s="521"/>
      <c r="U68" s="521"/>
      <c r="V68" s="521"/>
      <c r="W68" s="336"/>
    </row>
    <row r="69" spans="1:24" x14ac:dyDescent="0.25">
      <c r="A69" s="193"/>
      <c r="B69" s="56" t="s">
        <v>721</v>
      </c>
      <c r="C69" s="246">
        <f>157.14-147.855</f>
        <v>9.2849999999999966</v>
      </c>
      <c r="D69" s="414">
        <f t="shared" si="6"/>
        <v>157.13984995000004</v>
      </c>
      <c r="E69" s="995">
        <f t="shared" si="0"/>
        <v>9.2849999999999966</v>
      </c>
      <c r="F69" s="59"/>
      <c r="G69" s="59">
        <v>147.85484995000004</v>
      </c>
      <c r="H69" s="59">
        <v>56.409888400000014</v>
      </c>
      <c r="I69" s="336"/>
      <c r="J69" s="336"/>
      <c r="K69" s="49">
        <v>137.83179995</v>
      </c>
      <c r="L69" s="49">
        <f t="shared" si="1"/>
        <v>147.85484995000004</v>
      </c>
      <c r="M69" s="521">
        <v>137.83179995</v>
      </c>
      <c r="N69" s="521">
        <v>46.576838400000014</v>
      </c>
      <c r="O69" s="521">
        <f t="shared" si="2"/>
        <v>19.308050000000037</v>
      </c>
      <c r="P69" s="521">
        <f t="shared" si="3"/>
        <v>-37.291838400000017</v>
      </c>
      <c r="Q69" s="840"/>
      <c r="R69" s="521"/>
      <c r="S69" s="521"/>
      <c r="T69" s="521"/>
      <c r="U69" s="521"/>
      <c r="V69" s="521"/>
      <c r="W69" s="336"/>
    </row>
    <row r="70" spans="1:24" x14ac:dyDescent="0.25">
      <c r="A70" s="881"/>
      <c r="B70" s="56" t="s">
        <v>927</v>
      </c>
      <c r="C70" s="246">
        <v>0</v>
      </c>
      <c r="D70" s="414">
        <f t="shared" si="6"/>
        <v>5.2030000000000003</v>
      </c>
      <c r="E70" s="995">
        <f t="shared" si="0"/>
        <v>0</v>
      </c>
      <c r="F70" s="59"/>
      <c r="G70" s="59">
        <v>5.2030000000000003</v>
      </c>
      <c r="H70" s="59">
        <v>-0.498</v>
      </c>
      <c r="I70" s="336"/>
      <c r="J70" s="336"/>
      <c r="K70" s="49">
        <v>5.5</v>
      </c>
      <c r="L70" s="49">
        <f t="shared" si="1"/>
        <v>5.2030000000000003</v>
      </c>
      <c r="M70" s="521">
        <v>5.5</v>
      </c>
      <c r="N70" s="521">
        <v>0.5</v>
      </c>
      <c r="O70" s="521">
        <f t="shared" si="2"/>
        <v>-0.29699999999999971</v>
      </c>
      <c r="P70" s="521">
        <f t="shared" si="3"/>
        <v>-0.5</v>
      </c>
      <c r="Q70" s="840"/>
      <c r="R70" s="521"/>
      <c r="S70" s="521"/>
      <c r="T70" s="521"/>
      <c r="U70" s="521"/>
      <c r="V70" s="521"/>
      <c r="W70" s="336"/>
    </row>
    <row r="71" spans="1:24" x14ac:dyDescent="0.25">
      <c r="A71" s="881"/>
      <c r="B71" s="832"/>
      <c r="C71" s="387"/>
      <c r="D71" s="387"/>
      <c r="E71" s="995">
        <f t="shared" ref="E71" si="7">H71+C71</f>
        <v>0</v>
      </c>
      <c r="F71" s="196"/>
      <c r="G71" s="196"/>
      <c r="H71" s="196"/>
      <c r="I71" s="337"/>
      <c r="J71" s="337"/>
      <c r="K71" s="49">
        <f>D71-C71</f>
        <v>0</v>
      </c>
      <c r="L71" s="49"/>
      <c r="M71" s="550"/>
      <c r="N71" s="521"/>
      <c r="O71" s="521"/>
      <c r="P71" s="521"/>
      <c r="Q71" s="521"/>
      <c r="R71" s="521"/>
      <c r="S71" s="521"/>
      <c r="T71" s="521"/>
      <c r="U71" s="521"/>
      <c r="V71" s="521"/>
      <c r="W71" s="336"/>
    </row>
    <row r="72" spans="1:24" ht="15" customHeight="1" thickBot="1" x14ac:dyDescent="0.3">
      <c r="A72" s="63"/>
      <c r="B72" s="267" t="s">
        <v>40</v>
      </c>
      <c r="C72" s="441">
        <f>SUM(C9:C70)</f>
        <v>43.912008590649997</v>
      </c>
      <c r="D72" s="441">
        <f>SUM(D9:D70)</f>
        <v>3070.7434404917185</v>
      </c>
      <c r="E72" s="996">
        <f>SUM(E9:E71)</f>
        <v>43.912008590649997</v>
      </c>
      <c r="F72" s="996">
        <f t="shared" ref="F72:H72" si="8">SUM(F9:F71)</f>
        <v>67.673083678065737</v>
      </c>
      <c r="G72" s="996">
        <f t="shared" si="8"/>
        <v>3026.8314319010697</v>
      </c>
      <c r="H72" s="996">
        <f t="shared" si="8"/>
        <v>1377.0299268252334</v>
      </c>
      <c r="I72" s="993">
        <v>2712.8594650712157</v>
      </c>
      <c r="J72" s="993">
        <v>1063.2495100001802</v>
      </c>
      <c r="K72" s="108"/>
      <c r="L72" s="108"/>
      <c r="M72" s="551"/>
      <c r="N72" s="415"/>
      <c r="O72" s="415"/>
      <c r="P72" s="415"/>
      <c r="Q72" s="521"/>
      <c r="R72" s="521"/>
      <c r="S72" s="415"/>
      <c r="T72" s="415"/>
      <c r="U72" s="521"/>
      <c r="V72" s="521"/>
      <c r="W72" s="415"/>
    </row>
    <row r="73" spans="1:24" ht="18" customHeight="1" thickTop="1" x14ac:dyDescent="0.25">
      <c r="A73" s="1209"/>
      <c r="B73" s="1210"/>
      <c r="C73" s="442"/>
      <c r="D73" s="386"/>
      <c r="E73" s="997"/>
      <c r="F73" s="54"/>
      <c r="G73" s="54"/>
      <c r="H73" s="54"/>
      <c r="I73" s="1057">
        <f>I72-G72</f>
        <v>-313.97196682985395</v>
      </c>
      <c r="J73" s="1057">
        <f>J72-H72</f>
        <v>-313.78041682505318</v>
      </c>
      <c r="K73" s="108"/>
      <c r="L73" s="108"/>
      <c r="M73" s="551"/>
      <c r="N73" s="154"/>
      <c r="O73" s="154"/>
      <c r="P73" s="828"/>
      <c r="Q73" s="521"/>
      <c r="R73" s="521"/>
      <c r="S73" s="142"/>
      <c r="T73" s="142"/>
      <c r="U73" s="521"/>
      <c r="V73" s="521"/>
      <c r="W73" s="142"/>
    </row>
    <row r="74" spans="1:24" ht="18" customHeight="1" x14ac:dyDescent="0.25">
      <c r="A74" s="57">
        <v>1</v>
      </c>
      <c r="B74" s="58" t="s">
        <v>18</v>
      </c>
      <c r="C74" s="442"/>
      <c r="D74" s="442"/>
      <c r="E74" s="997"/>
      <c r="F74" s="54"/>
      <c r="G74" s="54"/>
      <c r="H74" s="54"/>
      <c r="I74" s="142"/>
      <c r="J74" s="142"/>
      <c r="K74" s="108"/>
      <c r="L74" s="108"/>
      <c r="M74" s="551"/>
      <c r="N74" s="154"/>
      <c r="O74" s="154"/>
      <c r="P74" s="828"/>
      <c r="Q74" s="521"/>
      <c r="R74" s="521"/>
      <c r="S74" s="142"/>
      <c r="T74" s="142"/>
      <c r="U74" s="521"/>
      <c r="V74" s="521"/>
      <c r="W74" s="142"/>
    </row>
    <row r="75" spans="1:24" x14ac:dyDescent="0.25">
      <c r="A75" s="55"/>
      <c r="B75" s="56" t="s">
        <v>444</v>
      </c>
      <c r="C75" s="387"/>
      <c r="D75" s="414">
        <f t="shared" ref="D75:D115" si="9">C75+G75</f>
        <v>0.27300000000000002</v>
      </c>
      <c r="E75" s="995">
        <f t="shared" ref="E75:E115" si="10">C75</f>
        <v>0</v>
      </c>
      <c r="F75" s="196"/>
      <c r="G75" s="196">
        <v>0.27300000000000002</v>
      </c>
      <c r="H75" s="196">
        <v>5.3999999999999999E-2</v>
      </c>
      <c r="I75" s="1000"/>
      <c r="J75" s="196"/>
      <c r="K75" s="387">
        <v>0.22900000000000001</v>
      </c>
      <c r="L75" s="927"/>
      <c r="M75" s="791">
        <v>0.01</v>
      </c>
      <c r="N75" s="521"/>
      <c r="O75" s="521"/>
      <c r="P75" s="828" t="s">
        <v>738</v>
      </c>
      <c r="Q75" s="521"/>
      <c r="R75" s="521"/>
      <c r="S75" s="337"/>
      <c r="T75" s="337"/>
      <c r="U75" s="521"/>
      <c r="V75" s="521"/>
      <c r="W75" s="337"/>
    </row>
    <row r="76" spans="1:24" x14ac:dyDescent="0.25">
      <c r="A76" s="55"/>
      <c r="B76" s="56" t="s">
        <v>291</v>
      </c>
      <c r="C76" s="246">
        <v>3.1760000000000002</v>
      </c>
      <c r="D76" s="414">
        <f t="shared" si="9"/>
        <v>147.58800000000002</v>
      </c>
      <c r="E76" s="995">
        <f t="shared" si="10"/>
        <v>3.1760000000000002</v>
      </c>
      <c r="F76" s="196">
        <v>3.3530000000000002</v>
      </c>
      <c r="G76" s="196">
        <v>144.41200000000003</v>
      </c>
      <c r="H76" s="196">
        <v>57.94100000000001</v>
      </c>
      <c r="I76" s="1000"/>
      <c r="J76" s="196"/>
      <c r="K76" s="246">
        <v>128.25000000000003</v>
      </c>
      <c r="L76" s="792"/>
      <c r="M76" s="792">
        <v>41.779000000000003</v>
      </c>
      <c r="N76" s="521"/>
      <c r="O76" s="521">
        <f>115.016-114.171</f>
        <v>0.84499999999999886</v>
      </c>
      <c r="P76" s="828">
        <f>3367110/1000000</f>
        <v>3.3671099999999998</v>
      </c>
      <c r="Q76" s="521"/>
      <c r="R76" s="521"/>
      <c r="S76" s="337"/>
      <c r="T76" s="337"/>
      <c r="U76" s="521"/>
      <c r="V76" s="521"/>
      <c r="W76" s="337"/>
    </row>
    <row r="77" spans="1:24" x14ac:dyDescent="0.25">
      <c r="A77" s="55"/>
      <c r="B77" s="56" t="s">
        <v>292</v>
      </c>
      <c r="C77" s="246"/>
      <c r="D77" s="414">
        <f t="shared" si="9"/>
        <v>0</v>
      </c>
      <c r="E77" s="995">
        <f t="shared" si="10"/>
        <v>0</v>
      </c>
      <c r="F77" s="196"/>
      <c r="G77" s="196">
        <v>0</v>
      </c>
      <c r="H77" s="196">
        <v>0</v>
      </c>
      <c r="I77" s="1000"/>
      <c r="J77" s="196"/>
      <c r="K77" s="246">
        <v>0</v>
      </c>
      <c r="L77" s="792"/>
      <c r="M77" s="792">
        <v>0</v>
      </c>
      <c r="N77" s="521"/>
      <c r="O77" s="521"/>
      <c r="P77" s="828">
        <f>P76+115.016</f>
        <v>118.38311</v>
      </c>
      <c r="Q77" s="521"/>
      <c r="R77" s="521"/>
      <c r="S77" s="521"/>
      <c r="T77" s="521"/>
      <c r="U77" s="521"/>
      <c r="V77" s="521"/>
      <c r="W77" s="521"/>
    </row>
    <row r="78" spans="1:24" ht="18" customHeight="1" x14ac:dyDescent="0.25">
      <c r="A78" s="52">
        <v>2</v>
      </c>
      <c r="B78" s="53" t="s">
        <v>19</v>
      </c>
      <c r="C78" s="246"/>
      <c r="D78" s="414">
        <f t="shared" si="9"/>
        <v>0</v>
      </c>
      <c r="E78" s="995">
        <f t="shared" si="10"/>
        <v>0</v>
      </c>
      <c r="F78" s="196"/>
      <c r="G78" s="196">
        <v>0</v>
      </c>
      <c r="H78" s="196">
        <v>0</v>
      </c>
      <c r="I78" s="1000"/>
      <c r="J78" s="196"/>
      <c r="K78" s="246">
        <v>0</v>
      </c>
      <c r="L78" s="792"/>
      <c r="M78" s="793">
        <v>0</v>
      </c>
      <c r="N78" s="521"/>
      <c r="O78" s="521"/>
      <c r="P78" s="828">
        <f>P77-114.171</f>
        <v>4.2121099999999956</v>
      </c>
      <c r="Q78" s="521"/>
      <c r="R78" s="521"/>
      <c r="S78" s="336"/>
      <c r="T78" s="336"/>
      <c r="U78" s="521"/>
      <c r="V78" s="521"/>
      <c r="W78" s="336"/>
      <c r="X78" s="474"/>
    </row>
    <row r="79" spans="1:24" ht="15" x14ac:dyDescent="0.25">
      <c r="A79" s="55"/>
      <c r="B79" s="56" t="s">
        <v>626</v>
      </c>
      <c r="C79" s="246"/>
      <c r="D79" s="414">
        <f t="shared" si="9"/>
        <v>1.3651040000000001</v>
      </c>
      <c r="E79" s="995">
        <f t="shared" si="10"/>
        <v>0</v>
      </c>
      <c r="F79" s="196"/>
      <c r="G79" s="196">
        <v>1.3651040000000001</v>
      </c>
      <c r="H79" s="196">
        <v>0.299481</v>
      </c>
      <c r="I79" s="1000"/>
      <c r="J79" s="196"/>
      <c r="K79" s="246">
        <v>1.3651040000000001</v>
      </c>
      <c r="L79" s="792"/>
      <c r="M79" s="792">
        <v>0.299481</v>
      </c>
      <c r="N79" s="521"/>
      <c r="O79" s="521"/>
      <c r="P79" s="828"/>
      <c r="Q79" s="521"/>
      <c r="R79" s="521"/>
      <c r="S79" s="521"/>
      <c r="T79" s="521"/>
      <c r="U79" s="521"/>
      <c r="V79" s="521"/>
      <c r="W79" s="521"/>
      <c r="X79" s="309"/>
    </row>
    <row r="80" spans="1:24" ht="15" x14ac:dyDescent="0.25">
      <c r="A80" s="55"/>
      <c r="B80" s="56" t="s">
        <v>436</v>
      </c>
      <c r="C80" s="246"/>
      <c r="D80" s="414">
        <f t="shared" si="9"/>
        <v>1.0134449999999999</v>
      </c>
      <c r="E80" s="995">
        <f t="shared" si="10"/>
        <v>0</v>
      </c>
      <c r="F80" s="196"/>
      <c r="G80" s="196">
        <v>1.0134449999999999</v>
      </c>
      <c r="H80" s="196">
        <v>0.56374000000000002</v>
      </c>
      <c r="I80" s="1000"/>
      <c r="J80" s="196"/>
      <c r="K80" s="246">
        <v>1.0134449999999999</v>
      </c>
      <c r="L80" s="792"/>
      <c r="M80" s="792">
        <v>0.56374000000000002</v>
      </c>
      <c r="N80" s="521"/>
      <c r="O80" s="521"/>
      <c r="P80" s="828"/>
      <c r="Q80" s="521"/>
      <c r="R80" s="521"/>
      <c r="S80" s="521"/>
      <c r="T80" s="521"/>
      <c r="U80" s="521"/>
      <c r="V80" s="521"/>
      <c r="W80" s="521"/>
      <c r="X80" s="309"/>
    </row>
    <row r="81" spans="1:24" ht="15" x14ac:dyDescent="0.25">
      <c r="A81" s="55"/>
      <c r="B81" s="416" t="s">
        <v>293</v>
      </c>
      <c r="C81" s="246">
        <v>0.70099999999999996</v>
      </c>
      <c r="D81" s="414">
        <f t="shared" si="9"/>
        <v>13.368078999999998</v>
      </c>
      <c r="E81" s="995">
        <f t="shared" si="10"/>
        <v>0.70099999999999996</v>
      </c>
      <c r="F81" s="196">
        <v>0.51100000000000001</v>
      </c>
      <c r="G81" s="196">
        <v>12.667078999999998</v>
      </c>
      <c r="H81" s="196">
        <v>10.965149999999998</v>
      </c>
      <c r="I81" s="1000"/>
      <c r="J81" s="196"/>
      <c r="K81" s="246">
        <v>11.119078999999999</v>
      </c>
      <c r="L81" s="792"/>
      <c r="M81" s="792">
        <v>9.4171499999999995</v>
      </c>
      <c r="N81" s="521"/>
      <c r="O81" s="521"/>
      <c r="P81" s="828"/>
      <c r="Q81" s="521"/>
      <c r="R81" s="521">
        <f>(250+260)/2</f>
        <v>255</v>
      </c>
      <c r="S81" s="521"/>
      <c r="T81" s="521"/>
      <c r="U81" s="521"/>
      <c r="V81" s="521"/>
      <c r="W81" s="521"/>
      <c r="X81" s="310"/>
    </row>
    <row r="82" spans="1:24" ht="15" x14ac:dyDescent="0.25">
      <c r="A82" s="55"/>
      <c r="B82" s="416" t="s">
        <v>441</v>
      </c>
      <c r="C82" s="246"/>
      <c r="D82" s="414">
        <f t="shared" si="9"/>
        <v>1.6359999999999999</v>
      </c>
      <c r="E82" s="995">
        <f t="shared" si="10"/>
        <v>0</v>
      </c>
      <c r="F82" s="196"/>
      <c r="G82" s="196">
        <v>1.6359999999999999</v>
      </c>
      <c r="H82" s="196">
        <v>0.5</v>
      </c>
      <c r="I82" s="1000"/>
      <c r="J82" s="196"/>
      <c r="K82" s="246">
        <v>1.6359999999999999</v>
      </c>
      <c r="L82" s="792"/>
      <c r="M82" s="792">
        <v>0.5</v>
      </c>
      <c r="N82" s="521"/>
      <c r="O82" s="521"/>
      <c r="P82" s="828"/>
      <c r="Q82" s="521"/>
      <c r="R82" s="521">
        <f>(263+250)/2</f>
        <v>256.5</v>
      </c>
      <c r="S82" s="521"/>
      <c r="T82" s="521"/>
      <c r="U82" s="521"/>
      <c r="V82" s="521"/>
      <c r="W82" s="521"/>
      <c r="X82" s="473"/>
    </row>
    <row r="83" spans="1:24" ht="15" x14ac:dyDescent="0.25">
      <c r="A83" s="55"/>
      <c r="B83" s="416" t="s">
        <v>345</v>
      </c>
      <c r="C83" s="662"/>
      <c r="D83" s="414">
        <f t="shared" si="9"/>
        <v>1.8240600000000002</v>
      </c>
      <c r="E83" s="995">
        <f t="shared" si="10"/>
        <v>0</v>
      </c>
      <c r="F83" s="196"/>
      <c r="G83" s="196">
        <v>1.8240600000000002</v>
      </c>
      <c r="H83" s="196">
        <v>0.94034999999999991</v>
      </c>
      <c r="I83" s="1000"/>
      <c r="J83" s="196"/>
      <c r="K83" s="246">
        <v>1.8240600000000002</v>
      </c>
      <c r="L83" s="792"/>
      <c r="M83" s="792">
        <v>0.94034999999999991</v>
      </c>
      <c r="N83" s="521"/>
      <c r="O83" s="521"/>
      <c r="P83" s="829"/>
      <c r="Q83" s="521"/>
      <c r="R83" s="521">
        <f>768*255</f>
        <v>195840</v>
      </c>
      <c r="S83" s="521">
        <f>R83/1000000</f>
        <v>0.19583999999999999</v>
      </c>
      <c r="T83" s="521"/>
      <c r="U83" s="521"/>
      <c r="V83" s="521"/>
      <c r="W83" s="521"/>
      <c r="X83" s="473"/>
    </row>
    <row r="84" spans="1:24" ht="15" x14ac:dyDescent="0.25">
      <c r="A84" s="55"/>
      <c r="B84" s="416" t="s">
        <v>389</v>
      </c>
      <c r="C84" s="246"/>
      <c r="D84" s="414">
        <f t="shared" si="9"/>
        <v>0</v>
      </c>
      <c r="E84" s="995">
        <f t="shared" si="10"/>
        <v>0</v>
      </c>
      <c r="F84" s="196"/>
      <c r="G84" s="196">
        <v>0</v>
      </c>
      <c r="H84" s="196">
        <v>0</v>
      </c>
      <c r="I84" s="1000"/>
      <c r="J84" s="196"/>
      <c r="K84" s="246">
        <v>0</v>
      </c>
      <c r="L84" s="792"/>
      <c r="M84" s="792">
        <v>0</v>
      </c>
      <c r="N84" s="521"/>
      <c r="O84" s="521"/>
      <c r="P84" s="829"/>
      <c r="Q84" s="521"/>
      <c r="R84" s="521">
        <f>(22524-2880)*R82</f>
        <v>5038686</v>
      </c>
      <c r="S84" s="521">
        <f>R84/1000000</f>
        <v>5.0386860000000002</v>
      </c>
      <c r="T84" s="521"/>
      <c r="U84" s="521"/>
      <c r="V84" s="521"/>
      <c r="W84" s="521"/>
      <c r="X84" s="473"/>
    </row>
    <row r="85" spans="1:24" x14ac:dyDescent="0.25">
      <c r="A85" s="55"/>
      <c r="B85" s="416" t="s">
        <v>347</v>
      </c>
      <c r="C85" s="246">
        <v>0.02</v>
      </c>
      <c r="D85" s="414">
        <f t="shared" si="9"/>
        <v>0.78649999999999998</v>
      </c>
      <c r="E85" s="995">
        <f t="shared" si="10"/>
        <v>0.02</v>
      </c>
      <c r="F85" s="196">
        <v>9.7000000000000003E-2</v>
      </c>
      <c r="G85" s="196">
        <v>0.76649999999999996</v>
      </c>
      <c r="H85" s="196">
        <v>0.5544</v>
      </c>
      <c r="I85" s="1000"/>
      <c r="J85" s="196"/>
      <c r="K85" s="246">
        <v>0.50639999999999996</v>
      </c>
      <c r="L85" s="792"/>
      <c r="M85" s="792">
        <v>0.29430000000000001</v>
      </c>
      <c r="N85" s="521"/>
      <c r="O85" s="521"/>
      <c r="P85" s="830"/>
      <c r="Q85" s="521"/>
      <c r="R85" s="521">
        <f>R83+R84</f>
        <v>5234526</v>
      </c>
      <c r="S85" s="521"/>
      <c r="T85" s="521"/>
      <c r="U85" s="521"/>
      <c r="V85" s="521"/>
      <c r="W85" s="521"/>
    </row>
    <row r="86" spans="1:24" x14ac:dyDescent="0.25">
      <c r="A86" s="55"/>
      <c r="B86" s="416" t="s">
        <v>349</v>
      </c>
      <c r="C86" s="246"/>
      <c r="D86" s="414">
        <f t="shared" si="9"/>
        <v>0.24299999999999999</v>
      </c>
      <c r="E86" s="995">
        <f t="shared" si="10"/>
        <v>0</v>
      </c>
      <c r="F86" s="196"/>
      <c r="G86" s="196">
        <v>0.24299999999999999</v>
      </c>
      <c r="H86" s="196">
        <v>0</v>
      </c>
      <c r="I86" s="1000"/>
      <c r="J86" s="196"/>
      <c r="K86" s="246">
        <v>0.24299999999999999</v>
      </c>
      <c r="L86" s="792"/>
      <c r="M86" s="792">
        <v>0</v>
      </c>
      <c r="N86" s="521"/>
      <c r="O86" s="521"/>
      <c r="P86" s="830"/>
      <c r="Q86" s="521"/>
      <c r="R86" s="521"/>
      <c r="S86" s="521"/>
      <c r="T86" s="521"/>
      <c r="U86" s="521"/>
      <c r="V86" s="521"/>
      <c r="W86" s="521"/>
    </row>
    <row r="87" spans="1:24" x14ac:dyDescent="0.25">
      <c r="A87" s="55"/>
      <c r="B87" s="416" t="s">
        <v>350</v>
      </c>
      <c r="C87" s="246"/>
      <c r="D87" s="414">
        <f t="shared" si="9"/>
        <v>0</v>
      </c>
      <c r="E87" s="995">
        <f t="shared" si="10"/>
        <v>0</v>
      </c>
      <c r="F87" s="196"/>
      <c r="G87" s="196">
        <v>0</v>
      </c>
      <c r="H87" s="196">
        <v>0</v>
      </c>
      <c r="I87" s="1000"/>
      <c r="J87" s="196"/>
      <c r="K87" s="246">
        <v>0</v>
      </c>
      <c r="L87" s="792"/>
      <c r="M87" s="792">
        <v>0</v>
      </c>
      <c r="N87" s="521"/>
      <c r="O87" s="521"/>
      <c r="P87" s="830"/>
      <c r="Q87" s="521"/>
      <c r="R87" s="521"/>
      <c r="S87" s="521"/>
      <c r="T87" s="521"/>
      <c r="U87" s="521"/>
      <c r="V87" s="521"/>
      <c r="W87" s="521"/>
    </row>
    <row r="88" spans="1:24" x14ac:dyDescent="0.25">
      <c r="A88" s="452"/>
      <c r="B88" s="416" t="s">
        <v>362</v>
      </c>
      <c r="C88" s="246"/>
      <c r="D88" s="414">
        <f t="shared" si="9"/>
        <v>0.19269999999999998</v>
      </c>
      <c r="E88" s="995">
        <f t="shared" si="10"/>
        <v>0</v>
      </c>
      <c r="F88" s="196"/>
      <c r="G88" s="196">
        <v>0.19269999999999998</v>
      </c>
      <c r="H88" s="196">
        <v>0.13979999999999998</v>
      </c>
      <c r="I88" s="1000"/>
      <c r="J88" s="196"/>
      <c r="K88" s="246">
        <v>0.19269999999999998</v>
      </c>
      <c r="L88" s="792"/>
      <c r="M88" s="792">
        <v>0.13979999999999998</v>
      </c>
      <c r="N88" s="521"/>
      <c r="O88" s="521"/>
      <c r="P88" s="830"/>
      <c r="Q88" s="521"/>
      <c r="R88" s="521"/>
      <c r="S88" s="521"/>
      <c r="T88" s="521"/>
      <c r="U88" s="521"/>
      <c r="V88" s="521"/>
      <c r="W88" s="521"/>
    </row>
    <row r="89" spans="1:24" x14ac:dyDescent="0.25">
      <c r="A89" s="55"/>
      <c r="B89" s="56" t="s">
        <v>294</v>
      </c>
      <c r="C89" s="246"/>
      <c r="D89" s="414">
        <f t="shared" si="9"/>
        <v>1.1992999999999998</v>
      </c>
      <c r="E89" s="995">
        <f t="shared" si="10"/>
        <v>0</v>
      </c>
      <c r="F89" s="196">
        <v>0.30099999999999999</v>
      </c>
      <c r="G89" s="196">
        <v>1.1992999999999998</v>
      </c>
      <c r="H89" s="196">
        <v>0.30099999999999999</v>
      </c>
      <c r="I89" s="1000"/>
      <c r="J89" s="196"/>
      <c r="K89" s="246">
        <v>0.89829999999999988</v>
      </c>
      <c r="L89" s="792"/>
      <c r="M89" s="792">
        <v>0</v>
      </c>
      <c r="N89" s="521"/>
      <c r="O89" s="521"/>
      <c r="P89" s="830"/>
      <c r="Q89" s="521"/>
      <c r="R89" s="521"/>
      <c r="S89" s="521"/>
      <c r="T89" s="521"/>
      <c r="U89" s="521"/>
      <c r="V89" s="521"/>
      <c r="W89" s="521"/>
    </row>
    <row r="90" spans="1:24" x14ac:dyDescent="0.25">
      <c r="A90" s="55"/>
      <c r="B90" s="56" t="s">
        <v>361</v>
      </c>
      <c r="C90" s="246"/>
      <c r="D90" s="414">
        <f t="shared" si="9"/>
        <v>1.633</v>
      </c>
      <c r="E90" s="995">
        <f t="shared" si="10"/>
        <v>0</v>
      </c>
      <c r="F90" s="196"/>
      <c r="G90" s="196">
        <v>1.633</v>
      </c>
      <c r="H90" s="196">
        <v>0</v>
      </c>
      <c r="I90" s="1000"/>
      <c r="J90" s="196"/>
      <c r="K90" s="246">
        <v>1.633</v>
      </c>
      <c r="L90" s="792"/>
      <c r="M90" s="792">
        <v>0</v>
      </c>
      <c r="N90" s="521"/>
      <c r="O90" s="521"/>
      <c r="P90" s="830"/>
      <c r="Q90" s="521"/>
      <c r="R90" s="521"/>
      <c r="S90" s="521"/>
      <c r="T90" s="521"/>
      <c r="U90" s="521"/>
      <c r="V90" s="521"/>
      <c r="W90" s="521"/>
    </row>
    <row r="91" spans="1:24" x14ac:dyDescent="0.25">
      <c r="A91" s="55"/>
      <c r="B91" s="416" t="s">
        <v>364</v>
      </c>
      <c r="C91" s="246"/>
      <c r="D91" s="414">
        <f t="shared" si="9"/>
        <v>4.9000000000000002E-2</v>
      </c>
      <c r="E91" s="995">
        <f t="shared" si="10"/>
        <v>0</v>
      </c>
      <c r="F91" s="196"/>
      <c r="G91" s="196">
        <v>4.9000000000000002E-2</v>
      </c>
      <c r="H91" s="196">
        <v>0</v>
      </c>
      <c r="I91" s="1000"/>
      <c r="J91" s="196"/>
      <c r="K91" s="246">
        <v>4.9000000000000002E-2</v>
      </c>
      <c r="L91" s="792"/>
      <c r="M91" s="792">
        <v>0</v>
      </c>
      <c r="N91" s="521"/>
      <c r="O91" s="521"/>
      <c r="P91" s="830"/>
      <c r="Q91" s="521"/>
      <c r="R91" s="521"/>
      <c r="S91" s="521"/>
      <c r="T91" s="521"/>
      <c r="U91" s="521"/>
      <c r="V91" s="521"/>
      <c r="W91" s="521"/>
    </row>
    <row r="92" spans="1:24" x14ac:dyDescent="0.25">
      <c r="A92" s="55"/>
      <c r="B92" s="62" t="s">
        <v>671</v>
      </c>
      <c r="C92" s="246"/>
      <c r="D92" s="414">
        <f t="shared" si="9"/>
        <v>3.5999999999999999E-3</v>
      </c>
      <c r="E92" s="995">
        <f t="shared" si="10"/>
        <v>0</v>
      </c>
      <c r="F92" s="196"/>
      <c r="G92" s="196">
        <v>3.5999999999999999E-3</v>
      </c>
      <c r="H92" s="196">
        <v>1.8E-3</v>
      </c>
      <c r="I92" s="1000"/>
      <c r="J92" s="196"/>
      <c r="K92" s="246">
        <v>3.5999999999999999E-3</v>
      </c>
      <c r="L92" s="792"/>
      <c r="M92" s="792">
        <v>1.8E-3</v>
      </c>
      <c r="N92" s="521"/>
      <c r="O92" s="521"/>
      <c r="P92" s="830"/>
      <c r="Q92" s="521"/>
      <c r="R92" s="521"/>
      <c r="S92" s="521"/>
      <c r="T92" s="521"/>
      <c r="U92" s="521"/>
      <c r="V92" s="521"/>
      <c r="W92" s="521"/>
    </row>
    <row r="93" spans="1:24" x14ac:dyDescent="0.25">
      <c r="A93" s="55"/>
      <c r="B93" s="62" t="s">
        <v>295</v>
      </c>
      <c r="C93" s="246"/>
      <c r="D93" s="414">
        <f t="shared" si="9"/>
        <v>0.10640000000000001</v>
      </c>
      <c r="E93" s="995">
        <f t="shared" si="10"/>
        <v>0</v>
      </c>
      <c r="F93" s="196"/>
      <c r="G93" s="196">
        <v>0.10640000000000001</v>
      </c>
      <c r="H93" s="196">
        <v>1.0999999999999999E-2</v>
      </c>
      <c r="I93" s="1000"/>
      <c r="J93" s="196"/>
      <c r="K93" s="246">
        <v>0.10640000000000001</v>
      </c>
      <c r="L93" s="792"/>
      <c r="M93" s="792">
        <v>1.0999999999999999E-2</v>
      </c>
      <c r="N93" s="521"/>
      <c r="O93" s="521"/>
      <c r="P93" s="830"/>
      <c r="Q93" s="521"/>
      <c r="R93" s="521"/>
      <c r="S93" s="521"/>
      <c r="T93" s="521"/>
      <c r="U93" s="521"/>
      <c r="V93" s="521"/>
      <c r="W93" s="521"/>
    </row>
    <row r="94" spans="1:24" x14ac:dyDescent="0.25">
      <c r="A94" s="55"/>
      <c r="B94" s="62" t="s">
        <v>296</v>
      </c>
      <c r="C94" s="246">
        <v>0.03</v>
      </c>
      <c r="D94" s="414">
        <f t="shared" si="9"/>
        <v>0.18429999999999999</v>
      </c>
      <c r="E94" s="995">
        <f t="shared" si="10"/>
        <v>0.03</v>
      </c>
      <c r="F94" s="196"/>
      <c r="G94" s="196">
        <v>0.15429999999999999</v>
      </c>
      <c r="H94" s="196">
        <v>7.4999999999999997E-3</v>
      </c>
      <c r="I94" s="1000"/>
      <c r="J94" s="196"/>
      <c r="K94" s="246">
        <v>0.15429999999999999</v>
      </c>
      <c r="L94" s="792"/>
      <c r="M94" s="792">
        <v>7.4999999999999997E-3</v>
      </c>
      <c r="N94" s="521"/>
      <c r="O94" s="521"/>
      <c r="P94" s="830"/>
      <c r="Q94" s="521"/>
      <c r="R94" s="521"/>
      <c r="S94" s="521"/>
      <c r="T94" s="521"/>
      <c r="U94" s="521"/>
      <c r="V94" s="521"/>
      <c r="W94" s="521"/>
    </row>
    <row r="95" spans="1:24" x14ac:dyDescent="0.25">
      <c r="A95" s="55"/>
      <c r="B95" s="62" t="s">
        <v>297</v>
      </c>
      <c r="C95" s="246">
        <v>0.06</v>
      </c>
      <c r="D95" s="414">
        <f t="shared" si="9"/>
        <v>2.4627930000000005</v>
      </c>
      <c r="E95" s="995">
        <f t="shared" si="10"/>
        <v>0.06</v>
      </c>
      <c r="F95" s="196">
        <v>3.5000000000000003E-2</v>
      </c>
      <c r="G95" s="196">
        <v>2.4027930000000004</v>
      </c>
      <c r="H95" s="196">
        <v>1.3942600000000001</v>
      </c>
      <c r="I95" s="1000"/>
      <c r="J95" s="196"/>
      <c r="K95" s="246">
        <v>2.1860530000000002</v>
      </c>
      <c r="L95" s="792"/>
      <c r="M95" s="792">
        <v>1.1775200000000001</v>
      </c>
      <c r="N95" s="521"/>
      <c r="O95" s="521"/>
      <c r="P95" s="830"/>
      <c r="Q95" s="521"/>
      <c r="R95" s="521"/>
      <c r="S95" s="521"/>
      <c r="T95" s="521"/>
      <c r="U95" s="521"/>
      <c r="V95" s="521"/>
      <c r="W95" s="521"/>
    </row>
    <row r="96" spans="1:24" x14ac:dyDescent="0.25">
      <c r="A96" s="55"/>
      <c r="B96" s="62" t="s">
        <v>298</v>
      </c>
      <c r="C96" s="246"/>
      <c r="D96" s="414">
        <f t="shared" si="9"/>
        <v>0</v>
      </c>
      <c r="E96" s="995">
        <f t="shared" si="10"/>
        <v>0</v>
      </c>
      <c r="F96" s="196"/>
      <c r="G96" s="196">
        <v>0</v>
      </c>
      <c r="H96" s="196">
        <v>0</v>
      </c>
      <c r="I96" s="1000"/>
      <c r="J96" s="196"/>
      <c r="K96" s="246">
        <v>0</v>
      </c>
      <c r="L96" s="792"/>
      <c r="M96" s="792">
        <v>0</v>
      </c>
      <c r="N96" s="521"/>
      <c r="O96" s="521"/>
      <c r="P96" s="830"/>
      <c r="Q96" s="521"/>
      <c r="R96" s="521"/>
      <c r="S96" s="521"/>
      <c r="T96" s="521"/>
      <c r="U96" s="521"/>
      <c r="V96" s="521"/>
      <c r="W96" s="521"/>
    </row>
    <row r="97" spans="1:23" x14ac:dyDescent="0.25">
      <c r="A97" s="55"/>
      <c r="B97" s="62" t="s">
        <v>340</v>
      </c>
      <c r="C97" s="246">
        <v>7.0000000000000007E-2</v>
      </c>
      <c r="D97" s="414">
        <f t="shared" si="9"/>
        <v>1.756116</v>
      </c>
      <c r="E97" s="995">
        <f t="shared" si="10"/>
        <v>7.0000000000000007E-2</v>
      </c>
      <c r="F97" s="196"/>
      <c r="G97" s="196">
        <v>1.6861159999999999</v>
      </c>
      <c r="H97" s="196">
        <v>0.72011599999999998</v>
      </c>
      <c r="I97" s="1000"/>
      <c r="J97" s="196"/>
      <c r="K97" s="246">
        <v>1.611116</v>
      </c>
      <c r="L97" s="792"/>
      <c r="M97" s="792">
        <v>0.64511600000000002</v>
      </c>
      <c r="N97" s="521"/>
      <c r="O97" s="521"/>
      <c r="P97" s="830"/>
      <c r="Q97" s="521"/>
      <c r="R97" s="521"/>
      <c r="S97" s="521"/>
      <c r="T97" s="521"/>
      <c r="U97" s="521"/>
      <c r="V97" s="521"/>
      <c r="W97" s="521"/>
    </row>
    <row r="98" spans="1:23" x14ac:dyDescent="0.25">
      <c r="A98" s="55"/>
      <c r="B98" s="62" t="s">
        <v>360</v>
      </c>
      <c r="C98" s="246"/>
      <c r="D98" s="414">
        <f t="shared" si="9"/>
        <v>0.27007000000000003</v>
      </c>
      <c r="E98" s="995">
        <f t="shared" si="10"/>
        <v>0</v>
      </c>
      <c r="F98" s="196"/>
      <c r="G98" s="196">
        <v>0.27007000000000003</v>
      </c>
      <c r="H98" s="196">
        <v>0</v>
      </c>
      <c r="I98" s="1000"/>
      <c r="J98" s="196"/>
      <c r="K98" s="246">
        <v>0.27007000000000003</v>
      </c>
      <c r="L98" s="792"/>
      <c r="M98" s="792">
        <v>0</v>
      </c>
      <c r="N98" s="521"/>
      <c r="O98" s="521"/>
      <c r="P98" s="830"/>
      <c r="Q98" s="521"/>
      <c r="R98" s="521"/>
      <c r="S98" s="521"/>
      <c r="T98" s="521"/>
      <c r="U98" s="521"/>
      <c r="V98" s="521"/>
      <c r="W98" s="521"/>
    </row>
    <row r="99" spans="1:23" x14ac:dyDescent="0.25">
      <c r="A99" s="55"/>
      <c r="B99" s="62" t="s">
        <v>339</v>
      </c>
      <c r="C99" s="389"/>
      <c r="D99" s="414">
        <f t="shared" si="9"/>
        <v>4.0000000000000002E-4</v>
      </c>
      <c r="E99" s="995">
        <f t="shared" si="10"/>
        <v>0</v>
      </c>
      <c r="F99" s="839"/>
      <c r="G99" s="839">
        <v>4.0000000000000002E-4</v>
      </c>
      <c r="H99" s="839">
        <v>4.0000000000000002E-4</v>
      </c>
      <c r="I99" s="1001"/>
      <c r="J99" s="839"/>
      <c r="K99" s="246">
        <v>4.0000000000000002E-4</v>
      </c>
      <c r="L99" s="792"/>
      <c r="M99" s="792">
        <v>4.0000000000000002E-4</v>
      </c>
      <c r="N99" s="521"/>
      <c r="O99" s="521"/>
      <c r="P99" s="830"/>
      <c r="Q99" s="521"/>
      <c r="R99" s="521"/>
      <c r="S99" s="521"/>
      <c r="T99" s="521"/>
      <c r="U99" s="521"/>
      <c r="V99" s="521"/>
      <c r="W99" s="521"/>
    </row>
    <row r="100" spans="1:23" x14ac:dyDescent="0.25">
      <c r="A100" s="55"/>
      <c r="B100" s="62" t="s">
        <v>299</v>
      </c>
      <c r="C100" s="246"/>
      <c r="D100" s="414">
        <f t="shared" si="9"/>
        <v>1.6176540000000001</v>
      </c>
      <c r="E100" s="995">
        <f t="shared" si="10"/>
        <v>0</v>
      </c>
      <c r="F100" s="196"/>
      <c r="G100" s="196">
        <v>1.6176540000000001</v>
      </c>
      <c r="H100" s="196">
        <v>0.62029000000000001</v>
      </c>
      <c r="I100" s="1000"/>
      <c r="J100" s="196"/>
      <c r="K100" s="246">
        <v>1.6176540000000001</v>
      </c>
      <c r="L100" s="792"/>
      <c r="M100" s="792">
        <v>0.62029000000000001</v>
      </c>
      <c r="N100" s="521"/>
      <c r="O100" s="521"/>
      <c r="P100" s="830"/>
      <c r="Q100" s="521"/>
      <c r="R100" s="521"/>
      <c r="S100" s="521"/>
      <c r="T100" s="521"/>
      <c r="U100" s="521"/>
      <c r="V100" s="521"/>
      <c r="W100" s="521"/>
    </row>
    <row r="101" spans="1:23" x14ac:dyDescent="0.25">
      <c r="A101" s="55"/>
      <c r="B101" s="62" t="s">
        <v>343</v>
      </c>
      <c r="C101" s="246"/>
      <c r="D101" s="414">
        <f t="shared" si="9"/>
        <v>0</v>
      </c>
      <c r="E101" s="995">
        <f t="shared" si="10"/>
        <v>0</v>
      </c>
      <c r="F101" s="196"/>
      <c r="G101" s="196">
        <v>0</v>
      </c>
      <c r="H101" s="196">
        <v>0</v>
      </c>
      <c r="I101" s="1000"/>
      <c r="J101" s="196"/>
      <c r="K101" s="246">
        <v>0</v>
      </c>
      <c r="L101" s="792"/>
      <c r="M101" s="792">
        <v>0</v>
      </c>
      <c r="N101" s="521"/>
      <c r="O101" s="521"/>
      <c r="P101" s="830"/>
      <c r="Q101" s="521"/>
      <c r="R101" s="521"/>
      <c r="S101" s="521"/>
      <c r="T101" s="521"/>
      <c r="U101" s="521"/>
      <c r="V101" s="521"/>
      <c r="W101" s="521"/>
    </row>
    <row r="102" spans="1:23" x14ac:dyDescent="0.25">
      <c r="A102" s="55"/>
      <c r="B102" s="56" t="s">
        <v>933</v>
      </c>
      <c r="C102" s="246">
        <f>0.0533+0.11</f>
        <v>0.1633</v>
      </c>
      <c r="D102" s="414">
        <f t="shared" si="9"/>
        <v>2.0128569999999999</v>
      </c>
      <c r="E102" s="995">
        <f t="shared" si="10"/>
        <v>0.1633</v>
      </c>
      <c r="F102" s="196"/>
      <c r="G102" s="196">
        <v>1.8495569999999999</v>
      </c>
      <c r="H102" s="196">
        <v>0.44700000000000001</v>
      </c>
      <c r="I102" s="1000"/>
      <c r="J102" s="196"/>
      <c r="K102" s="246">
        <v>1.8495569999999999</v>
      </c>
      <c r="L102" s="792"/>
      <c r="M102" s="792">
        <v>0.44700000000000001</v>
      </c>
      <c r="N102" s="521"/>
      <c r="O102" s="521">
        <f>18750/1000000</f>
        <v>1.8749999999999999E-2</v>
      </c>
      <c r="P102" s="830"/>
      <c r="Q102" s="521"/>
      <c r="R102" s="521"/>
      <c r="S102" s="521"/>
      <c r="T102" s="521"/>
      <c r="U102" s="521"/>
      <c r="V102" s="521"/>
      <c r="W102" s="521"/>
    </row>
    <row r="103" spans="1:23" x14ac:dyDescent="0.25">
      <c r="A103" s="55"/>
      <c r="B103" s="62" t="s">
        <v>346</v>
      </c>
      <c r="C103" s="246">
        <v>6.5000000000000002E-2</v>
      </c>
      <c r="D103" s="414">
        <f t="shared" si="9"/>
        <v>0.68420000000000014</v>
      </c>
      <c r="E103" s="995">
        <f t="shared" si="10"/>
        <v>6.5000000000000002E-2</v>
      </c>
      <c r="F103" s="196">
        <v>1.9E-2</v>
      </c>
      <c r="G103" s="196">
        <v>0.61920000000000008</v>
      </c>
      <c r="H103" s="196">
        <v>0.40700000000000003</v>
      </c>
      <c r="I103" s="1000"/>
      <c r="J103" s="196"/>
      <c r="K103" s="246">
        <v>0.54220000000000002</v>
      </c>
      <c r="L103" s="792"/>
      <c r="M103" s="792">
        <v>0.33</v>
      </c>
      <c r="N103" s="521"/>
      <c r="O103" s="521"/>
      <c r="P103" s="830"/>
      <c r="Q103" s="521"/>
      <c r="R103" s="521"/>
      <c r="S103" s="521"/>
      <c r="T103" s="521"/>
      <c r="U103" s="521"/>
      <c r="V103" s="521"/>
      <c r="W103" s="521"/>
    </row>
    <row r="104" spans="1:23" x14ac:dyDescent="0.25">
      <c r="A104" s="428"/>
      <c r="B104" s="444" t="s">
        <v>304</v>
      </c>
      <c r="C104" s="246">
        <v>0</v>
      </c>
      <c r="D104" s="414">
        <f t="shared" si="9"/>
        <v>0.14300000000000002</v>
      </c>
      <c r="E104" s="995">
        <f t="shared" si="10"/>
        <v>0</v>
      </c>
      <c r="F104" s="196">
        <v>0.04</v>
      </c>
      <c r="G104" s="196">
        <v>0.14300000000000002</v>
      </c>
      <c r="H104" s="196">
        <v>0.08</v>
      </c>
      <c r="I104" s="1000"/>
      <c r="J104" s="196"/>
      <c r="K104" s="246">
        <v>6.3E-2</v>
      </c>
      <c r="L104" s="792"/>
      <c r="M104" s="792">
        <v>0</v>
      </c>
      <c r="N104" s="521"/>
      <c r="O104" s="521"/>
      <c r="P104" s="830"/>
      <c r="Q104" s="521"/>
      <c r="R104" s="521"/>
      <c r="S104" s="521"/>
      <c r="T104" s="521"/>
      <c r="U104" s="521"/>
      <c r="V104" s="521"/>
      <c r="W104" s="521"/>
    </row>
    <row r="105" spans="1:23" x14ac:dyDescent="0.25">
      <c r="A105" s="55"/>
      <c r="B105" s="62" t="s">
        <v>286</v>
      </c>
      <c r="C105" s="246"/>
      <c r="D105" s="414">
        <f t="shared" si="9"/>
        <v>0.75861999999999996</v>
      </c>
      <c r="E105" s="995">
        <f t="shared" si="10"/>
        <v>0</v>
      </c>
      <c r="F105" s="196"/>
      <c r="G105" s="196">
        <v>0.75861999999999996</v>
      </c>
      <c r="H105" s="196">
        <v>0.75861999999999996</v>
      </c>
      <c r="I105" s="1000"/>
      <c r="J105" s="196"/>
      <c r="K105" s="246">
        <v>0.75861999999999996</v>
      </c>
      <c r="L105" s="792"/>
      <c r="M105" s="792">
        <v>0.75861999999999996</v>
      </c>
      <c r="N105" s="521"/>
      <c r="O105" s="521"/>
      <c r="P105" s="521"/>
      <c r="Q105" s="521"/>
      <c r="R105" s="521"/>
      <c r="S105" s="521"/>
      <c r="T105" s="521"/>
      <c r="U105" s="521"/>
      <c r="V105" s="521"/>
      <c r="W105" s="521"/>
    </row>
    <row r="106" spans="1:23" x14ac:dyDescent="0.25">
      <c r="A106" s="55"/>
      <c r="B106" s="62" t="s">
        <v>338</v>
      </c>
      <c r="C106" s="246"/>
      <c r="D106" s="414">
        <f t="shared" si="9"/>
        <v>0</v>
      </c>
      <c r="E106" s="995">
        <f t="shared" si="10"/>
        <v>0</v>
      </c>
      <c r="F106" s="196"/>
      <c r="G106" s="196">
        <v>0</v>
      </c>
      <c r="H106" s="196">
        <v>0</v>
      </c>
      <c r="I106" s="1000"/>
      <c r="J106" s="196"/>
      <c r="K106" s="246">
        <v>0</v>
      </c>
      <c r="L106" s="792"/>
      <c r="M106" s="792">
        <v>0</v>
      </c>
      <c r="N106" s="521"/>
      <c r="O106" s="521"/>
      <c r="P106" s="830"/>
      <c r="Q106" s="521"/>
      <c r="R106" s="521"/>
      <c r="S106" s="521"/>
      <c r="T106" s="521"/>
      <c r="U106" s="521"/>
      <c r="V106" s="521"/>
      <c r="W106" s="521"/>
    </row>
    <row r="107" spans="1:23" x14ac:dyDescent="0.25">
      <c r="A107" s="55"/>
      <c r="B107" s="62" t="s">
        <v>309</v>
      </c>
      <c r="C107" s="246"/>
      <c r="D107" s="414">
        <f t="shared" si="9"/>
        <v>0</v>
      </c>
      <c r="E107" s="995">
        <f t="shared" si="10"/>
        <v>0</v>
      </c>
      <c r="F107" s="196"/>
      <c r="G107" s="196">
        <v>0</v>
      </c>
      <c r="H107" s="196">
        <v>0</v>
      </c>
      <c r="I107" s="1000"/>
      <c r="J107" s="196"/>
      <c r="K107" s="246">
        <v>0</v>
      </c>
      <c r="L107" s="792"/>
      <c r="M107" s="792">
        <v>0</v>
      </c>
      <c r="N107" s="521"/>
      <c r="O107" s="521"/>
      <c r="P107" s="830"/>
      <c r="Q107" s="521"/>
      <c r="R107" s="521"/>
      <c r="S107" s="521"/>
      <c r="T107" s="521"/>
      <c r="U107" s="521"/>
      <c r="V107" s="521"/>
      <c r="W107" s="521"/>
    </row>
    <row r="108" spans="1:23" x14ac:dyDescent="0.25">
      <c r="A108" s="55"/>
      <c r="B108" s="62" t="s">
        <v>303</v>
      </c>
      <c r="C108" s="246"/>
      <c r="D108" s="414">
        <f t="shared" si="9"/>
        <v>7.0000000000000001E-3</v>
      </c>
      <c r="E108" s="995">
        <f t="shared" si="10"/>
        <v>0</v>
      </c>
      <c r="F108" s="196"/>
      <c r="G108" s="196">
        <v>7.0000000000000001E-3</v>
      </c>
      <c r="H108" s="196">
        <v>0</v>
      </c>
      <c r="I108" s="1000"/>
      <c r="J108" s="196"/>
      <c r="K108" s="246">
        <v>7.0000000000000001E-3</v>
      </c>
      <c r="L108" s="792"/>
      <c r="M108" s="792">
        <v>0</v>
      </c>
      <c r="N108" s="521"/>
      <c r="O108" s="521"/>
      <c r="P108" s="830"/>
      <c r="Q108" s="521"/>
      <c r="R108" s="521"/>
      <c r="S108" s="521"/>
      <c r="T108" s="521"/>
      <c r="U108" s="521"/>
      <c r="V108" s="521"/>
      <c r="W108" s="521"/>
    </row>
    <row r="109" spans="1:23" x14ac:dyDescent="0.25">
      <c r="A109" s="55"/>
      <c r="B109" s="62" t="s">
        <v>497</v>
      </c>
      <c r="C109" s="246"/>
      <c r="D109" s="414">
        <f t="shared" si="9"/>
        <v>0.499</v>
      </c>
      <c r="E109" s="995">
        <f t="shared" si="10"/>
        <v>0</v>
      </c>
      <c r="F109" s="196"/>
      <c r="G109" s="196">
        <v>0.499</v>
      </c>
      <c r="H109" s="196">
        <v>0.14099999999999999</v>
      </c>
      <c r="I109" s="1000"/>
      <c r="J109" s="196"/>
      <c r="K109" s="246">
        <v>0.499</v>
      </c>
      <c r="L109" s="792"/>
      <c r="M109" s="792">
        <v>0.14099999999999999</v>
      </c>
      <c r="N109" s="521"/>
      <c r="O109" s="521"/>
      <c r="P109" s="830"/>
      <c r="Q109" s="521"/>
      <c r="R109" s="521"/>
      <c r="S109" s="521"/>
      <c r="T109" s="521"/>
      <c r="U109" s="521"/>
      <c r="V109" s="521"/>
      <c r="W109" s="521"/>
    </row>
    <row r="110" spans="1:23" x14ac:dyDescent="0.25">
      <c r="A110" s="55"/>
      <c r="B110" s="62" t="s">
        <v>390</v>
      </c>
      <c r="C110" s="246">
        <v>2.9000000000000001E-2</v>
      </c>
      <c r="D110" s="414">
        <f t="shared" si="9"/>
        <v>5.8259999999999999E-2</v>
      </c>
      <c r="E110" s="995">
        <f t="shared" si="10"/>
        <v>2.9000000000000001E-2</v>
      </c>
      <c r="F110" s="196"/>
      <c r="G110" s="196">
        <v>2.9259999999999998E-2</v>
      </c>
      <c r="H110" s="196">
        <v>3.6000000000000002E-4</v>
      </c>
      <c r="I110" s="1000"/>
      <c r="J110" s="196"/>
      <c r="K110" s="246">
        <v>2.9259999999999998E-2</v>
      </c>
      <c r="L110" s="792"/>
      <c r="M110" s="792">
        <v>3.6000000000000002E-4</v>
      </c>
      <c r="N110" s="521"/>
      <c r="O110" s="521"/>
      <c r="P110" s="830"/>
      <c r="Q110" s="521"/>
      <c r="R110" s="521"/>
      <c r="S110" s="521"/>
      <c r="T110" s="521"/>
      <c r="U110" s="521"/>
      <c r="V110" s="521"/>
      <c r="W110" s="521"/>
    </row>
    <row r="111" spans="1:23" x14ac:dyDescent="0.25">
      <c r="A111" s="55"/>
      <c r="B111" s="62" t="s">
        <v>534</v>
      </c>
      <c r="C111" s="246"/>
      <c r="D111" s="414">
        <f t="shared" si="9"/>
        <v>8.0000000000000002E-3</v>
      </c>
      <c r="E111" s="995">
        <f t="shared" si="10"/>
        <v>0</v>
      </c>
      <c r="F111" s="196"/>
      <c r="G111" s="196">
        <v>8.0000000000000002E-3</v>
      </c>
      <c r="H111" s="196">
        <v>0</v>
      </c>
      <c r="I111" s="1000"/>
      <c r="J111" s="196"/>
      <c r="K111" s="246">
        <v>8.0000000000000002E-3</v>
      </c>
      <c r="L111" s="792"/>
      <c r="M111" s="792">
        <v>0</v>
      </c>
      <c r="N111" s="521"/>
      <c r="O111" s="521"/>
      <c r="P111" s="830"/>
      <c r="Q111" s="521"/>
      <c r="R111" s="521"/>
      <c r="S111" s="521"/>
      <c r="T111" s="521"/>
      <c r="U111" s="521"/>
      <c r="V111" s="521"/>
      <c r="W111" s="521"/>
    </row>
    <row r="112" spans="1:23" x14ac:dyDescent="0.25">
      <c r="A112" s="55"/>
      <c r="B112" s="62" t="s">
        <v>392</v>
      </c>
      <c r="C112" s="246">
        <v>7.0000000000000007E-2</v>
      </c>
      <c r="D112" s="414">
        <f t="shared" si="9"/>
        <v>3.2229799999999993</v>
      </c>
      <c r="E112" s="995">
        <f t="shared" si="10"/>
        <v>7.0000000000000007E-2</v>
      </c>
      <c r="F112" s="196">
        <v>0.125</v>
      </c>
      <c r="G112" s="196">
        <v>3.1529799999999994</v>
      </c>
      <c r="H112" s="196">
        <v>1.0603799999999999</v>
      </c>
      <c r="I112" s="1000"/>
      <c r="J112" s="196"/>
      <c r="K112" s="246">
        <v>2.8959799999999993</v>
      </c>
      <c r="L112" s="246"/>
      <c r="M112" s="246">
        <v>0.80337999999999998</v>
      </c>
      <c r="N112" s="481"/>
      <c r="O112" s="482"/>
      <c r="P112" s="830"/>
      <c r="Q112" s="521"/>
      <c r="R112" s="521"/>
      <c r="S112" s="521"/>
      <c r="T112" s="521"/>
      <c r="U112" s="521"/>
      <c r="V112" s="521"/>
      <c r="W112" s="521"/>
    </row>
    <row r="113" spans="1:23" ht="18" customHeight="1" x14ac:dyDescent="0.25">
      <c r="A113" s="52">
        <v>3</v>
      </c>
      <c r="B113" s="53" t="s">
        <v>69</v>
      </c>
      <c r="C113" s="246"/>
      <c r="D113" s="414">
        <f t="shared" si="9"/>
        <v>0</v>
      </c>
      <c r="E113" s="995">
        <f t="shared" si="10"/>
        <v>0</v>
      </c>
      <c r="F113" s="246"/>
      <c r="G113" s="246">
        <v>0</v>
      </c>
      <c r="H113" s="246">
        <v>0</v>
      </c>
      <c r="I113" s="1002"/>
      <c r="J113" s="246"/>
      <c r="K113" s="246">
        <v>0</v>
      </c>
      <c r="L113" s="246"/>
      <c r="M113" s="246"/>
      <c r="N113" s="481"/>
      <c r="O113" s="482"/>
      <c r="P113" s="830"/>
      <c r="Q113" s="521"/>
      <c r="R113" s="521"/>
      <c r="S113" s="521"/>
      <c r="T113" s="521"/>
      <c r="U113" s="521"/>
      <c r="V113" s="521"/>
      <c r="W113" s="521"/>
    </row>
    <row r="114" spans="1:23" x14ac:dyDescent="0.25">
      <c r="A114" s="55"/>
      <c r="B114" s="56" t="s">
        <v>300</v>
      </c>
      <c r="C114" s="246"/>
      <c r="D114" s="414">
        <f t="shared" si="9"/>
        <v>0</v>
      </c>
      <c r="E114" s="995">
        <f t="shared" si="10"/>
        <v>0</v>
      </c>
      <c r="F114" s="246"/>
      <c r="G114" s="246">
        <v>0</v>
      </c>
      <c r="H114" s="246">
        <v>0</v>
      </c>
      <c r="I114" s="1002"/>
      <c r="J114" s="246"/>
      <c r="K114" s="246">
        <v>0</v>
      </c>
      <c r="L114" s="246"/>
      <c r="M114" s="246">
        <v>0</v>
      </c>
      <c r="N114" s="481"/>
      <c r="O114" s="482"/>
      <c r="P114" s="830"/>
      <c r="Q114" s="521"/>
      <c r="R114" s="521"/>
      <c r="S114" s="521"/>
      <c r="T114" s="521"/>
      <c r="U114" s="521"/>
      <c r="V114" s="521"/>
      <c r="W114" s="521"/>
    </row>
    <row r="115" spans="1:23" ht="15" thickBot="1" x14ac:dyDescent="0.3">
      <c r="A115" s="55"/>
      <c r="B115" s="56" t="s">
        <v>301</v>
      </c>
      <c r="C115" s="59"/>
      <c r="D115" s="414">
        <f t="shared" si="9"/>
        <v>0</v>
      </c>
      <c r="E115" s="995">
        <f t="shared" si="10"/>
        <v>0</v>
      </c>
      <c r="F115" s="246"/>
      <c r="G115" s="246">
        <v>0</v>
      </c>
      <c r="H115" s="246">
        <v>0</v>
      </c>
      <c r="I115" s="1002"/>
      <c r="J115" s="246"/>
      <c r="K115" s="246">
        <v>0</v>
      </c>
      <c r="L115" s="246"/>
      <c r="M115" s="246">
        <v>0</v>
      </c>
      <c r="N115" s="481"/>
      <c r="O115" s="482"/>
      <c r="P115" s="830"/>
      <c r="Q115" s="521"/>
      <c r="R115" s="521"/>
      <c r="S115" s="521"/>
      <c r="T115" s="521"/>
      <c r="U115" s="521"/>
      <c r="V115" s="521"/>
      <c r="W115" s="521"/>
    </row>
    <row r="116" spans="1:23" ht="18" customHeight="1" thickTop="1" thickBot="1" x14ac:dyDescent="0.3">
      <c r="A116" s="63"/>
      <c r="B116" s="64" t="s">
        <v>39</v>
      </c>
      <c r="C116" s="84">
        <f t="shared" ref="C116:H116" si="11">SUM(C74:C115)</f>
        <v>4.3843000000000005</v>
      </c>
      <c r="D116" s="84">
        <f t="shared" si="11"/>
        <v>184.96643800000004</v>
      </c>
      <c r="E116" s="998">
        <f t="shared" si="11"/>
        <v>4.3843000000000005</v>
      </c>
      <c r="F116" s="84">
        <f t="shared" si="11"/>
        <v>4.4810000000000008</v>
      </c>
      <c r="G116" s="84">
        <f t="shared" si="11"/>
        <v>180.5821380000001</v>
      </c>
      <c r="H116" s="84">
        <f t="shared" si="11"/>
        <v>77.908646999999988</v>
      </c>
      <c r="I116" s="1003"/>
      <c r="J116" s="84"/>
      <c r="K116" s="84">
        <v>114.83145800000005</v>
      </c>
      <c r="L116" s="84"/>
      <c r="M116" s="84">
        <v>12.157966999999999</v>
      </c>
      <c r="N116" s="479"/>
      <c r="O116" s="480"/>
      <c r="P116" s="155"/>
      <c r="Q116" s="521"/>
      <c r="R116" s="521"/>
      <c r="S116" s="155"/>
      <c r="T116" s="155"/>
      <c r="U116" s="521"/>
      <c r="V116" s="521"/>
      <c r="W116" s="155"/>
    </row>
    <row r="117" spans="1:23" ht="18" customHeight="1" thickTop="1" thickBot="1" x14ac:dyDescent="0.3">
      <c r="A117" s="63"/>
      <c r="B117" s="64" t="s">
        <v>733</v>
      </c>
      <c r="C117" s="84">
        <v>0</v>
      </c>
      <c r="D117" s="84">
        <v>0</v>
      </c>
      <c r="E117" s="998">
        <v>0</v>
      </c>
      <c r="F117" s="84">
        <v>0</v>
      </c>
      <c r="G117" s="84">
        <v>0</v>
      </c>
      <c r="H117" s="84">
        <v>0</v>
      </c>
      <c r="I117" s="155"/>
      <c r="J117" s="155"/>
      <c r="K117" s="155"/>
      <c r="L117" s="155"/>
      <c r="M117" s="155"/>
      <c r="N117" s="479"/>
      <c r="O117" s="480"/>
      <c r="P117" s="155"/>
      <c r="Q117" s="521"/>
      <c r="R117" s="521"/>
      <c r="S117" s="155"/>
      <c r="T117" s="155"/>
      <c r="U117" s="521"/>
      <c r="V117" s="521"/>
      <c r="W117" s="155"/>
    </row>
    <row r="118" spans="1:23" ht="18" customHeight="1" thickTop="1" thickBot="1" x14ac:dyDescent="0.3">
      <c r="A118" s="65"/>
      <c r="B118" s="66" t="s">
        <v>196</v>
      </c>
      <c r="C118" s="85">
        <f t="shared" ref="C118:H118" si="12">C117+C116+C72</f>
        <v>48.29630859065</v>
      </c>
      <c r="D118" s="85">
        <f t="shared" si="12"/>
        <v>3255.7098784917184</v>
      </c>
      <c r="E118" s="999">
        <f t="shared" si="12"/>
        <v>48.29630859065</v>
      </c>
      <c r="F118" s="85">
        <f t="shared" si="12"/>
        <v>72.154083678065732</v>
      </c>
      <c r="G118" s="85">
        <f t="shared" si="12"/>
        <v>3207.4135699010699</v>
      </c>
      <c r="H118" s="85">
        <f t="shared" si="12"/>
        <v>1454.9385738252333</v>
      </c>
      <c r="I118" s="994"/>
      <c r="J118" s="994"/>
      <c r="K118" s="108"/>
      <c r="L118" s="108"/>
      <c r="M118" s="551"/>
      <c r="N118" s="483"/>
      <c r="O118" s="484"/>
      <c r="P118" s="831"/>
      <c r="Q118" s="338"/>
      <c r="R118" s="338"/>
      <c r="S118" s="338"/>
      <c r="T118" s="338"/>
      <c r="U118" s="338"/>
      <c r="V118" s="338"/>
      <c r="W118" s="338"/>
    </row>
    <row r="119" spans="1:23" ht="15" thickTop="1" x14ac:dyDescent="0.25">
      <c r="B119" s="18"/>
      <c r="C119" s="49">
        <f>D118-C118</f>
        <v>3207.4135699010685</v>
      </c>
      <c r="D119" s="108">
        <f>D118-C118</f>
        <v>3207.4135699010685</v>
      </c>
      <c r="E119" s="108"/>
      <c r="F119" s="108"/>
      <c r="G119" s="108"/>
      <c r="H119" s="108"/>
      <c r="I119" s="108"/>
      <c r="J119" s="108"/>
      <c r="K119" s="108"/>
      <c r="L119" s="108"/>
      <c r="M119" s="551"/>
      <c r="Q119" s="108"/>
      <c r="R119" s="108"/>
      <c r="S119" s="108"/>
      <c r="T119" s="108"/>
      <c r="U119" s="108"/>
      <c r="V119" s="108"/>
      <c r="W119" s="108"/>
    </row>
    <row r="120" spans="1:23" x14ac:dyDescent="0.25">
      <c r="B120" s="18"/>
      <c r="C120" s="99"/>
      <c r="E120" s="99"/>
      <c r="F120" s="99"/>
      <c r="G120" s="99"/>
      <c r="H120" s="99"/>
      <c r="I120" s="99"/>
      <c r="J120" s="99"/>
      <c r="K120" s="108"/>
      <c r="L120" s="108"/>
      <c r="M120" s="551"/>
      <c r="N120" s="18"/>
      <c r="O120" s="23"/>
      <c r="P120" s="23"/>
      <c r="Q120" s="99"/>
      <c r="R120" s="99"/>
      <c r="S120" s="99"/>
      <c r="T120" s="99"/>
      <c r="U120" s="99"/>
      <c r="V120" s="99"/>
      <c r="W120" s="99"/>
    </row>
    <row r="121" spans="1:23" x14ac:dyDescent="0.25">
      <c r="D121" s="99">
        <f>D118-D119</f>
        <v>48.296308590649915</v>
      </c>
      <c r="E121" s="210"/>
      <c r="F121" s="210"/>
      <c r="G121" s="210"/>
      <c r="H121" s="210"/>
      <c r="I121" s="210"/>
      <c r="J121" s="210"/>
      <c r="K121" s="108"/>
      <c r="L121" s="108"/>
      <c r="M121" s="551"/>
      <c r="Q121" s="99"/>
      <c r="R121" s="210"/>
      <c r="S121" s="210"/>
      <c r="T121" s="210"/>
      <c r="U121" s="210"/>
      <c r="V121" s="210"/>
      <c r="W121" s="210"/>
    </row>
    <row r="122" spans="1:23" x14ac:dyDescent="0.25">
      <c r="C122" s="108"/>
      <c r="D122" s="470">
        <f>C61</f>
        <v>0</v>
      </c>
      <c r="E122" s="151"/>
      <c r="F122" s="151"/>
      <c r="G122" s="151"/>
      <c r="H122" s="151"/>
      <c r="I122" s="151"/>
      <c r="J122" s="151"/>
      <c r="K122" s="108"/>
      <c r="L122" s="108"/>
      <c r="M122" s="551"/>
      <c r="Q122" s="151"/>
      <c r="R122" s="151"/>
      <c r="S122" s="151"/>
      <c r="T122" s="151"/>
      <c r="U122" s="151"/>
      <c r="V122" s="151"/>
      <c r="W122" s="151"/>
    </row>
    <row r="123" spans="1:23" ht="15" x14ac:dyDescent="0.25">
      <c r="C123" s="49"/>
      <c r="D123" s="491">
        <f>D118-D121-D122</f>
        <v>3207.4135699010685</v>
      </c>
      <c r="E123" s="108"/>
      <c r="F123" s="108"/>
      <c r="G123" s="108"/>
      <c r="H123" s="108"/>
      <c r="I123" s="108"/>
      <c r="J123" s="108"/>
      <c r="K123" s="108"/>
      <c r="L123" s="108"/>
      <c r="M123" s="551"/>
      <c r="N123" s="108"/>
      <c r="Q123" s="108"/>
      <c r="R123" s="108"/>
      <c r="S123" s="108"/>
      <c r="T123" s="108"/>
      <c r="U123" s="108"/>
      <c r="V123" s="108"/>
      <c r="W123" s="108"/>
    </row>
    <row r="124" spans="1:23" x14ac:dyDescent="0.25">
      <c r="C124" s="49" t="s">
        <v>378</v>
      </c>
      <c r="D124" s="108">
        <f>'[4]Anx D'!$D$78</f>
        <v>148.82231224718481</v>
      </c>
      <c r="E124" s="108"/>
      <c r="F124" s="108"/>
      <c r="G124" s="108"/>
      <c r="H124" s="108"/>
      <c r="I124" s="108"/>
      <c r="J124" s="108"/>
      <c r="K124" s="108"/>
      <c r="L124" s="108"/>
      <c r="M124" s="551">
        <f>D116/D118*100</f>
        <v>5.6812936319034035</v>
      </c>
      <c r="N124" s="108"/>
      <c r="Q124" s="108"/>
      <c r="R124" s="108"/>
      <c r="S124" s="108"/>
      <c r="T124" s="108"/>
      <c r="U124" s="108"/>
      <c r="V124" s="108"/>
      <c r="W124" s="108"/>
    </row>
    <row r="125" spans="1:23" x14ac:dyDescent="0.25">
      <c r="C125" s="49"/>
      <c r="D125" s="108">
        <f>D124-D123</f>
        <v>-3058.5912576538835</v>
      </c>
      <c r="E125" s="108"/>
      <c r="F125" s="108"/>
      <c r="G125" s="108"/>
      <c r="H125" s="108"/>
      <c r="I125" s="108"/>
      <c r="J125" s="108"/>
      <c r="K125" s="108"/>
      <c r="L125" s="108"/>
      <c r="M125" s="551">
        <f>C116/C118*100</f>
        <v>9.0779194682568072</v>
      </c>
      <c r="N125" s="108"/>
      <c r="Q125" s="108"/>
      <c r="R125" s="108"/>
      <c r="S125" s="108"/>
      <c r="T125" s="108"/>
      <c r="U125" s="108"/>
      <c r="V125" s="108"/>
      <c r="W125" s="108"/>
    </row>
    <row r="126" spans="1:23" x14ac:dyDescent="0.25">
      <c r="C126" s="108"/>
      <c r="D126" s="344"/>
      <c r="E126" s="344"/>
      <c r="F126" s="344"/>
      <c r="G126" s="344"/>
      <c r="H126" s="344"/>
      <c r="I126" s="344"/>
      <c r="J126" s="344"/>
      <c r="K126" s="108"/>
      <c r="L126" s="108"/>
      <c r="M126" s="551"/>
      <c r="Q126" s="344"/>
      <c r="R126" s="344"/>
      <c r="S126" s="344"/>
      <c r="T126" s="344"/>
      <c r="U126" s="344"/>
      <c r="V126" s="344"/>
      <c r="W126" s="344"/>
    </row>
    <row r="127" spans="1:23" x14ac:dyDescent="0.25">
      <c r="C127" s="108"/>
      <c r="D127" s="42">
        <v>114</v>
      </c>
      <c r="K127" s="108"/>
      <c r="L127" s="108"/>
      <c r="M127" s="551"/>
    </row>
    <row r="128" spans="1:23" x14ac:dyDescent="0.25">
      <c r="C128" s="108"/>
      <c r="D128" s="42">
        <v>396</v>
      </c>
      <c r="K128" s="108"/>
      <c r="L128" s="108"/>
      <c r="M128" s="551"/>
      <c r="N128" s="145"/>
    </row>
    <row r="129" spans="2:14" x14ac:dyDescent="0.25">
      <c r="C129" s="108"/>
      <c r="D129" s="108">
        <f>D118-D127-D128</f>
        <v>2745.7098784917184</v>
      </c>
      <c r="K129" s="108"/>
      <c r="L129" s="108"/>
      <c r="M129" s="551"/>
      <c r="N129" s="145"/>
    </row>
    <row r="130" spans="2:14" x14ac:dyDescent="0.25">
      <c r="C130" s="108"/>
      <c r="K130" s="108"/>
      <c r="L130" s="108"/>
      <c r="M130" s="551"/>
      <c r="N130" s="145"/>
    </row>
    <row r="131" spans="2:14" x14ac:dyDescent="0.25">
      <c r="B131" s="42">
        <f>223181+391705</f>
        <v>614886</v>
      </c>
      <c r="C131" s="108"/>
      <c r="K131" s="108"/>
      <c r="L131" s="108"/>
      <c r="M131" s="551"/>
    </row>
    <row r="132" spans="2:14" ht="15" x14ac:dyDescent="0.25">
      <c r="B132" s="79">
        <f>B131/1000000</f>
        <v>0.61488600000000004</v>
      </c>
      <c r="C132" s="434"/>
      <c r="K132" s="1204"/>
      <c r="L132" s="1205"/>
      <c r="M132" s="1206"/>
    </row>
    <row r="133" spans="2:14" x14ac:dyDescent="0.25">
      <c r="C133" s="108"/>
      <c r="K133" s="108"/>
      <c r="L133" s="108"/>
      <c r="M133" s="551"/>
    </row>
    <row r="134" spans="2:14" ht="15" x14ac:dyDescent="0.25">
      <c r="B134" s="79"/>
      <c r="C134" s="436"/>
      <c r="K134" s="108"/>
      <c r="L134" s="108"/>
      <c r="M134" s="551"/>
    </row>
    <row r="135" spans="2:14" x14ac:dyDescent="0.25">
      <c r="C135" s="151"/>
      <c r="K135" s="108"/>
      <c r="L135" s="108"/>
      <c r="M135" s="551"/>
    </row>
    <row r="136" spans="2:14" x14ac:dyDescent="0.25">
      <c r="C136" s="151"/>
      <c r="K136" s="108"/>
      <c r="L136" s="108"/>
      <c r="M136" s="551"/>
    </row>
    <row r="137" spans="2:14" x14ac:dyDescent="0.25">
      <c r="C137" s="151"/>
      <c r="K137" s="108"/>
      <c r="L137" s="108"/>
      <c r="M137" s="551"/>
    </row>
    <row r="138" spans="2:14" ht="15" x14ac:dyDescent="0.25">
      <c r="C138" s="436"/>
      <c r="D138" s="284"/>
      <c r="K138" s="108"/>
      <c r="L138" s="108"/>
      <c r="M138" s="551"/>
    </row>
    <row r="139" spans="2:14" x14ac:dyDescent="0.25">
      <c r="C139" s="284"/>
      <c r="D139" s="284"/>
      <c r="K139" s="108"/>
      <c r="L139" s="108"/>
      <c r="M139" s="551"/>
    </row>
    <row r="140" spans="2:14" x14ac:dyDescent="0.25">
      <c r="D140" s="435"/>
      <c r="K140" s="108"/>
      <c r="L140" s="108"/>
      <c r="M140" s="551"/>
    </row>
    <row r="141" spans="2:14" x14ac:dyDescent="0.25">
      <c r="B141" s="42" t="s">
        <v>739</v>
      </c>
      <c r="C141" s="42">
        <v>0.93799999999999994</v>
      </c>
      <c r="K141" s="108"/>
      <c r="L141" s="108"/>
      <c r="M141" s="551"/>
    </row>
    <row r="142" spans="2:14" x14ac:dyDescent="0.25">
      <c r="B142" s="42" t="s">
        <v>740</v>
      </c>
      <c r="C142" s="42">
        <v>3.4329999999999998</v>
      </c>
      <c r="K142" s="108"/>
      <c r="L142" s="108"/>
      <c r="M142" s="551"/>
    </row>
    <row r="143" spans="2:14" x14ac:dyDescent="0.25">
      <c r="C143" s="42">
        <f>SUM(C141:C142)</f>
        <v>4.3709999999999996</v>
      </c>
      <c r="K143" s="108"/>
      <c r="L143" s="108"/>
      <c r="M143" s="551"/>
    </row>
    <row r="144" spans="2:14" x14ac:dyDescent="0.25">
      <c r="E144" s="42">
        <f>27685*266.99</f>
        <v>7391618.1500000004</v>
      </c>
      <c r="K144" s="108"/>
      <c r="L144" s="108"/>
      <c r="M144" s="551"/>
    </row>
    <row r="145" spans="4:13" x14ac:dyDescent="0.25">
      <c r="D145" s="42">
        <f>269.1+264.88</f>
        <v>533.98</v>
      </c>
      <c r="E145" s="42">
        <f>215*D148</f>
        <v>55480.75</v>
      </c>
      <c r="K145" s="108"/>
      <c r="L145" s="108"/>
      <c r="M145" s="551"/>
    </row>
    <row r="146" spans="4:13" x14ac:dyDescent="0.25">
      <c r="D146" s="42">
        <f>D145/2</f>
        <v>266.99</v>
      </c>
      <c r="E146" s="42">
        <f>E144+E145</f>
        <v>7447098.9000000004</v>
      </c>
      <c r="K146" s="108"/>
      <c r="L146" s="108"/>
      <c r="M146" s="551"/>
    </row>
    <row r="147" spans="4:13" x14ac:dyDescent="0.25">
      <c r="E147" s="42">
        <f>E146/1000000</f>
        <v>7.4470989000000003</v>
      </c>
      <c r="K147" s="108"/>
      <c r="L147" s="108"/>
      <c r="M147" s="551"/>
    </row>
    <row r="148" spans="4:13" x14ac:dyDescent="0.25">
      <c r="D148" s="42">
        <f>(258.5+257.6)/2</f>
        <v>258.05</v>
      </c>
      <c r="K148" s="108"/>
      <c r="L148" s="108"/>
      <c r="M148" s="551"/>
    </row>
    <row r="149" spans="4:13" x14ac:dyDescent="0.25">
      <c r="K149" s="108"/>
      <c r="L149" s="108"/>
      <c r="M149" s="562"/>
    </row>
    <row r="150" spans="4:13" x14ac:dyDescent="0.25">
      <c r="K150" s="108"/>
      <c r="L150" s="108"/>
      <c r="M150" s="562"/>
    </row>
    <row r="151" spans="4:13" x14ac:dyDescent="0.25">
      <c r="K151" s="108"/>
      <c r="L151" s="108"/>
      <c r="M151" s="562"/>
    </row>
    <row r="152" spans="4:13" x14ac:dyDescent="0.25">
      <c r="K152" s="108"/>
      <c r="L152" s="108"/>
      <c r="M152" s="562"/>
    </row>
    <row r="153" spans="4:13" x14ac:dyDescent="0.25">
      <c r="K153" s="108"/>
      <c r="L153" s="108"/>
      <c r="M153" s="562"/>
    </row>
    <row r="154" spans="4:13" x14ac:dyDescent="0.25">
      <c r="K154" s="108"/>
      <c r="L154" s="108"/>
      <c r="M154" s="562"/>
    </row>
    <row r="155" spans="4:13" x14ac:dyDescent="0.25">
      <c r="K155" s="108"/>
      <c r="L155" s="108"/>
      <c r="M155" s="562"/>
    </row>
    <row r="156" spans="4:13" x14ac:dyDescent="0.25">
      <c r="K156" s="108"/>
      <c r="L156" s="108"/>
      <c r="M156" s="562"/>
    </row>
    <row r="157" spans="4:13" x14ac:dyDescent="0.25">
      <c r="K157" s="108"/>
      <c r="L157" s="108"/>
      <c r="M157" s="562"/>
    </row>
    <row r="158" spans="4:13" x14ac:dyDescent="0.25">
      <c r="K158" s="108">
        <f>23.562-20.316</f>
        <v>3.2460000000000022</v>
      </c>
      <c r="L158" s="108"/>
      <c r="M158" s="551"/>
    </row>
    <row r="159" spans="4:13" x14ac:dyDescent="0.25">
      <c r="K159" s="108"/>
      <c r="L159" s="108"/>
      <c r="M159" s="650">
        <v>3.028</v>
      </c>
    </row>
    <row r="160" spans="4:13" x14ac:dyDescent="0.25">
      <c r="K160" s="49"/>
      <c r="L160" s="49"/>
      <c r="M160" s="650">
        <v>3.028</v>
      </c>
    </row>
    <row r="161" spans="11:13" x14ac:dyDescent="0.25">
      <c r="M161" s="552"/>
    </row>
    <row r="166" spans="11:13" ht="15" x14ac:dyDescent="0.25">
      <c r="K166">
        <v>740.91899999999998</v>
      </c>
      <c r="L166"/>
    </row>
    <row r="167" spans="11:13" x14ac:dyDescent="0.25">
      <c r="K167" s="42">
        <v>115</v>
      </c>
    </row>
    <row r="168" spans="11:13" x14ac:dyDescent="0.25">
      <c r="K168" s="42">
        <v>383</v>
      </c>
    </row>
    <row r="169" spans="11:13" x14ac:dyDescent="0.25">
      <c r="K169" s="42">
        <f>K166-K167-K168</f>
        <v>242.91899999999998</v>
      </c>
    </row>
  </sheetData>
  <mergeCells count="11">
    <mergeCell ref="K132:M132"/>
    <mergeCell ref="A8:B8"/>
    <mergeCell ref="A73:B73"/>
    <mergeCell ref="A1:E1"/>
    <mergeCell ref="A4:E4"/>
    <mergeCell ref="A5:E5"/>
    <mergeCell ref="A6:A7"/>
    <mergeCell ref="B6:B7"/>
    <mergeCell ref="C6:E6"/>
    <mergeCell ref="A3:E3"/>
    <mergeCell ref="F6:H6"/>
  </mergeCells>
  <printOptions horizontalCentered="1"/>
  <pageMargins left="0.82" right="0.3" top="0.32" bottom="0.33" header="0.17" footer="0.18"/>
  <pageSetup paperSize="9" scale="67" orientation="landscape" r:id="rId1"/>
  <rowBreaks count="1" manualBreakCount="1">
    <brk id="72" max="4" man="1"/>
  </rowBreaks>
  <drawing r:id="rId2"/>
  <legacyDrawing r:id="rId3"/>
  <oleObjects>
    <mc:AlternateContent xmlns:mc="http://schemas.openxmlformats.org/markup-compatibility/2006">
      <mc:Choice Requires="x14">
        <oleObject progId="Word.Picture.8" shapeId="5121" r:id="rId4">
          <objectPr defaultSize="0" autoPict="0" r:id="rId5">
            <anchor moveWithCells="1" sizeWithCells="1">
              <from>
                <xdr:col>0</xdr:col>
                <xdr:colOff>0</xdr:colOff>
                <xdr:row>0</xdr:row>
                <xdr:rowOff>0</xdr:rowOff>
              </from>
              <to>
                <xdr:col>0</xdr:col>
                <xdr:colOff>257175</xdr:colOff>
                <xdr:row>1</xdr:row>
                <xdr:rowOff>171450</xdr:rowOff>
              </to>
            </anchor>
          </objectPr>
        </oleObject>
      </mc:Choice>
      <mc:Fallback>
        <oleObject progId="Word.Picture.8" shapeId="5121"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J120"/>
  <sheetViews>
    <sheetView view="pageBreakPreview" zoomScale="57" zoomScaleNormal="70" zoomScaleSheetLayoutView="50" workbookViewId="0">
      <pane xSplit="7" ySplit="6" topLeftCell="H43" activePane="bottomRight" state="frozen"/>
      <selection pane="topRight" activeCell="H1" sqref="H1"/>
      <selection pane="bottomLeft" activeCell="A7" sqref="A7"/>
      <selection pane="bottomRight" activeCell="N43" sqref="N43"/>
    </sheetView>
  </sheetViews>
  <sheetFormatPr defaultColWidth="9.140625" defaultRowHeight="12.75" x14ac:dyDescent="0.25"/>
  <cols>
    <col min="1" max="1" width="3.5703125" style="67" customWidth="1"/>
    <col min="2" max="2" width="16.28515625" style="67" customWidth="1"/>
    <col min="3" max="3" width="18.5703125" style="148" customWidth="1"/>
    <col min="4" max="4" width="16.140625" style="148" customWidth="1"/>
    <col min="5" max="5" width="10.85546875" style="67" customWidth="1"/>
    <col min="6" max="6" width="12.42578125" style="67" bestFit="1" customWidth="1"/>
    <col min="7" max="7" width="10.42578125" style="67" hidden="1" customWidth="1"/>
    <col min="8" max="12" width="9.28515625" style="67" customWidth="1"/>
    <col min="13" max="13" width="12.7109375" style="67" customWidth="1"/>
    <col min="14" max="14" width="10.85546875" style="67" customWidth="1"/>
    <col min="15" max="18" width="9.28515625" style="67" customWidth="1"/>
    <col min="19" max="19" width="10.42578125" style="67" bestFit="1" customWidth="1"/>
    <col min="20" max="20" width="9.28515625" style="67" customWidth="1"/>
    <col min="21" max="21" width="15.28515625" style="67" customWidth="1"/>
    <col min="22" max="22" width="11.28515625" style="67" customWidth="1"/>
    <col min="23" max="23" width="9.140625" style="105"/>
    <col min="24" max="25" width="9.140625" style="67"/>
    <col min="26" max="26" width="10" style="67" bestFit="1" customWidth="1"/>
    <col min="27" max="31" width="9.140625" style="67"/>
    <col min="32" max="32" width="10.42578125" style="67" bestFit="1" customWidth="1"/>
    <col min="33" max="33" width="10.85546875" style="67" customWidth="1"/>
    <col min="34" max="35" width="9.28515625" style="67" customWidth="1"/>
    <col min="36" max="36" width="11.42578125" style="67" bestFit="1" customWidth="1"/>
    <col min="37" max="37" width="9.28515625" style="67" bestFit="1" customWidth="1"/>
    <col min="38" max="40" width="10.42578125" style="67" bestFit="1" customWidth="1"/>
    <col min="41" max="41" width="8.28515625" style="67" bestFit="1" customWidth="1"/>
    <col min="42" max="42" width="9.140625" style="105"/>
    <col min="43" max="43" width="11.42578125" style="67" bestFit="1" customWidth="1"/>
    <col min="44" max="44" width="6.28515625" style="67" bestFit="1" customWidth="1"/>
    <col min="45" max="45" width="10" style="67" bestFit="1" customWidth="1"/>
    <col min="46" max="46" width="9.140625" style="67"/>
    <col min="47" max="47" width="12.85546875" style="67" bestFit="1" customWidth="1"/>
    <col min="48" max="49" width="9.140625" style="67"/>
    <col min="50" max="50" width="9.42578125" style="67" bestFit="1" customWidth="1"/>
    <col min="51" max="16384" width="9.140625" style="67"/>
  </cols>
  <sheetData>
    <row r="1" spans="1:62" ht="10.5" customHeight="1" x14ac:dyDescent="0.25">
      <c r="A1" s="98"/>
      <c r="B1" s="98"/>
      <c r="C1" s="98"/>
      <c r="D1" s="98"/>
      <c r="E1" s="98"/>
      <c r="F1" s="98"/>
      <c r="G1" s="98"/>
      <c r="H1" s="98"/>
      <c r="I1" s="98"/>
      <c r="J1" s="98"/>
      <c r="K1" s="98"/>
      <c r="L1" s="727"/>
      <c r="M1" s="98"/>
      <c r="N1" s="98"/>
      <c r="O1" s="98"/>
      <c r="P1" s="98"/>
      <c r="Q1" s="98"/>
      <c r="R1" s="98"/>
      <c r="S1" s="98"/>
      <c r="T1" s="775"/>
      <c r="U1" s="103" t="str">
        <f>"MONTH - "&amp;Summary!$G$6</f>
        <v>MONTH - July 2025</v>
      </c>
      <c r="AG1" s="950"/>
      <c r="AH1" s="950"/>
      <c r="AI1" s="950"/>
      <c r="AJ1" s="950"/>
      <c r="AK1" s="950"/>
      <c r="AL1" s="950"/>
      <c r="AM1" s="950"/>
      <c r="AN1" s="944"/>
    </row>
    <row r="2" spans="1:62" ht="16.5" customHeight="1" x14ac:dyDescent="0.25">
      <c r="A2" s="1177" t="s">
        <v>119</v>
      </c>
      <c r="B2" s="1177"/>
      <c r="C2" s="1177"/>
      <c r="D2" s="1177"/>
      <c r="E2" s="1177"/>
      <c r="F2" s="1177"/>
      <c r="G2" s="1177"/>
      <c r="H2" s="1177"/>
      <c r="I2" s="1177"/>
      <c r="J2" s="1177"/>
      <c r="K2" s="1177"/>
      <c r="L2" s="1177"/>
      <c r="M2" s="1177"/>
      <c r="N2" s="1177"/>
      <c r="O2" s="1177"/>
      <c r="P2" s="1177"/>
      <c r="Q2" s="1177"/>
      <c r="R2" s="1177"/>
      <c r="S2" s="1177"/>
      <c r="T2" s="1177"/>
      <c r="U2" s="1177"/>
    </row>
    <row r="3" spans="1:62" ht="15.75" x14ac:dyDescent="0.25">
      <c r="A3" s="1179" t="str">
        <f>'Anx D'!A4:E4</f>
        <v xml:space="preserve">PMU NLC INFRA DEV WORKS at Chahar Bagh (RUDA ) </v>
      </c>
      <c r="B3" s="1179"/>
      <c r="C3" s="1179"/>
      <c r="D3" s="1179"/>
      <c r="E3" s="1179"/>
      <c r="F3" s="1179"/>
      <c r="G3" s="1179"/>
      <c r="H3" s="1179"/>
      <c r="I3" s="1179"/>
      <c r="J3" s="1179"/>
      <c r="K3" s="1179"/>
      <c r="L3" s="1179"/>
      <c r="M3" s="1179"/>
      <c r="N3" s="1179"/>
      <c r="O3" s="1179"/>
      <c r="P3" s="1179"/>
      <c r="Q3" s="1179"/>
      <c r="R3" s="1179"/>
      <c r="S3" s="1179"/>
      <c r="T3" s="1179"/>
      <c r="U3" s="1179"/>
    </row>
    <row r="4" spans="1:62" ht="27.6" customHeight="1" thickBot="1" x14ac:dyDescent="0.3">
      <c r="A4" s="41"/>
      <c r="B4" s="41"/>
      <c r="C4" s="41"/>
      <c r="D4" s="41"/>
      <c r="E4" s="41"/>
      <c r="F4" s="41"/>
      <c r="G4" s="41"/>
      <c r="H4" s="41"/>
      <c r="I4" s="41"/>
      <c r="J4" s="41"/>
      <c r="K4" s="41"/>
      <c r="L4" s="725"/>
      <c r="M4" s="41"/>
      <c r="N4" s="41"/>
      <c r="O4" s="41"/>
      <c r="P4" s="41"/>
      <c r="Q4" s="41"/>
      <c r="R4" s="41"/>
      <c r="S4" s="41"/>
      <c r="T4" s="774"/>
      <c r="U4" s="41"/>
      <c r="AG4" s="1218" t="s">
        <v>873</v>
      </c>
      <c r="AH4" s="1218"/>
      <c r="AI4" s="1218"/>
      <c r="AJ4" s="1218"/>
      <c r="AK4" s="1218"/>
      <c r="AL4" s="1218"/>
      <c r="AM4" s="1218"/>
      <c r="AN4" s="1218"/>
      <c r="AO4" s="1218"/>
      <c r="AP4" s="1218"/>
      <c r="AQ4" s="1218"/>
      <c r="AR4" s="1218"/>
      <c r="AS4" s="1218"/>
    </row>
    <row r="5" spans="1:62" ht="27.75" customHeight="1" thickTop="1" x14ac:dyDescent="0.25">
      <c r="A5" s="1227" t="s">
        <v>120</v>
      </c>
      <c r="B5" s="1225" t="s">
        <v>121</v>
      </c>
      <c r="C5" s="1225" t="s">
        <v>47</v>
      </c>
      <c r="D5" s="1225" t="s">
        <v>8</v>
      </c>
      <c r="E5" s="1225" t="s">
        <v>122</v>
      </c>
      <c r="F5" s="1223" t="s">
        <v>123</v>
      </c>
      <c r="G5" s="564"/>
      <c r="H5" s="1219" t="s">
        <v>80</v>
      </c>
      <c r="I5" s="1220"/>
      <c r="J5" s="1220"/>
      <c r="K5" s="1220"/>
      <c r="L5" s="1221"/>
      <c r="M5" s="1222"/>
      <c r="N5" s="1219" t="s">
        <v>282</v>
      </c>
      <c r="O5" s="1220"/>
      <c r="P5" s="1220"/>
      <c r="Q5" s="1220"/>
      <c r="R5" s="1220"/>
      <c r="S5" s="1222"/>
      <c r="T5" s="777"/>
      <c r="U5" s="1219" t="s">
        <v>205</v>
      </c>
      <c r="V5" s="1220"/>
      <c r="W5" s="1220"/>
      <c r="X5" s="1220"/>
      <c r="Y5" s="1221"/>
      <c r="Z5" s="1222"/>
      <c r="AA5" s="1219" t="s">
        <v>80</v>
      </c>
      <c r="AB5" s="1220"/>
      <c r="AC5" s="1220"/>
      <c r="AD5" s="1220"/>
      <c r="AE5" s="1221"/>
      <c r="AF5" s="1222"/>
      <c r="AG5" s="1219" t="s">
        <v>282</v>
      </c>
      <c r="AH5" s="1220"/>
      <c r="AI5" s="1220"/>
      <c r="AJ5" s="1220"/>
      <c r="AK5" s="1220"/>
      <c r="AL5" s="1222"/>
      <c r="AM5" s="777"/>
      <c r="AN5" s="1219" t="s">
        <v>205</v>
      </c>
      <c r="AO5" s="1220"/>
      <c r="AP5" s="1220"/>
      <c r="AQ5" s="1220"/>
      <c r="AR5" s="1221"/>
      <c r="AS5" s="1222"/>
      <c r="AZ5" s="1219" t="s">
        <v>282</v>
      </c>
      <c r="BA5" s="1220"/>
      <c r="BB5" s="1220"/>
      <c r="BC5" s="1220"/>
      <c r="BD5" s="1220"/>
      <c r="BE5" s="1222"/>
      <c r="BF5" s="1219" t="s">
        <v>205</v>
      </c>
      <c r="BG5" s="1220"/>
      <c r="BH5" s="1220"/>
      <c r="BI5" s="1220"/>
      <c r="BJ5" s="1222"/>
    </row>
    <row r="6" spans="1:62" ht="84" customHeight="1" thickBot="1" x14ac:dyDescent="0.3">
      <c r="A6" s="1228"/>
      <c r="B6" s="1226"/>
      <c r="C6" s="1226"/>
      <c r="D6" s="1226"/>
      <c r="E6" s="1226"/>
      <c r="F6" s="1224"/>
      <c r="G6" s="565"/>
      <c r="H6" s="528" t="s">
        <v>124</v>
      </c>
      <c r="I6" s="529" t="s">
        <v>27</v>
      </c>
      <c r="J6" s="529" t="s">
        <v>308</v>
      </c>
      <c r="K6" s="529" t="s">
        <v>322</v>
      </c>
      <c r="L6" s="529" t="s">
        <v>667</v>
      </c>
      <c r="M6" s="530" t="s">
        <v>125</v>
      </c>
      <c r="N6" s="528" t="s">
        <v>124</v>
      </c>
      <c r="O6" s="529" t="s">
        <v>27</v>
      </c>
      <c r="P6" s="529" t="s">
        <v>233</v>
      </c>
      <c r="Q6" s="529" t="s">
        <v>308</v>
      </c>
      <c r="R6" s="529" t="s">
        <v>667</v>
      </c>
      <c r="S6" s="530" t="s">
        <v>125</v>
      </c>
      <c r="T6" s="778"/>
      <c r="U6" s="528" t="s">
        <v>124</v>
      </c>
      <c r="V6" s="529" t="s">
        <v>27</v>
      </c>
      <c r="W6" s="529" t="s">
        <v>233</v>
      </c>
      <c r="X6" s="529" t="s">
        <v>308</v>
      </c>
      <c r="Y6" s="529" t="s">
        <v>667</v>
      </c>
      <c r="Z6" s="530" t="s">
        <v>125</v>
      </c>
      <c r="AA6" s="1040" t="s">
        <v>124</v>
      </c>
      <c r="AB6" s="1041" t="s">
        <v>27</v>
      </c>
      <c r="AC6" s="1041" t="s">
        <v>308</v>
      </c>
      <c r="AD6" s="1041" t="s">
        <v>322</v>
      </c>
      <c r="AE6" s="1041" t="s">
        <v>667</v>
      </c>
      <c r="AF6" s="1042" t="s">
        <v>125</v>
      </c>
      <c r="AG6" s="528" t="s">
        <v>124</v>
      </c>
      <c r="AH6" s="529" t="s">
        <v>27</v>
      </c>
      <c r="AI6" s="529" t="s">
        <v>233</v>
      </c>
      <c r="AJ6" s="529" t="s">
        <v>308</v>
      </c>
      <c r="AK6" s="529" t="s">
        <v>667</v>
      </c>
      <c r="AL6" s="530" t="s">
        <v>125</v>
      </c>
      <c r="AM6" s="778"/>
      <c r="AN6" s="528" t="s">
        <v>124</v>
      </c>
      <c r="AO6" s="529" t="s">
        <v>27</v>
      </c>
      <c r="AP6" s="529" t="s">
        <v>233</v>
      </c>
      <c r="AQ6" s="529" t="s">
        <v>308</v>
      </c>
      <c r="AR6" s="529" t="s">
        <v>667</v>
      </c>
      <c r="AS6" s="530" t="s">
        <v>125</v>
      </c>
      <c r="AV6" s="67" t="s">
        <v>391</v>
      </c>
      <c r="AZ6" s="528" t="s">
        <v>124</v>
      </c>
      <c r="BA6" s="529" t="s">
        <v>27</v>
      </c>
      <c r="BB6" s="529" t="s">
        <v>233</v>
      </c>
      <c r="BC6" s="529" t="s">
        <v>308</v>
      </c>
      <c r="BD6" s="529" t="s">
        <v>229</v>
      </c>
      <c r="BE6" s="530" t="s">
        <v>125</v>
      </c>
      <c r="BF6" s="528" t="s">
        <v>124</v>
      </c>
      <c r="BG6" s="529" t="s">
        <v>27</v>
      </c>
      <c r="BH6" s="529" t="s">
        <v>233</v>
      </c>
      <c r="BI6" s="529" t="s">
        <v>308</v>
      </c>
      <c r="BJ6" s="530" t="s">
        <v>125</v>
      </c>
    </row>
    <row r="7" spans="1:62" ht="78" thickTop="1" thickBot="1" x14ac:dyDescent="0.3">
      <c r="A7" s="536">
        <v>1</v>
      </c>
      <c r="B7" s="899" t="str">
        <f>'Anx C '!B8</f>
        <v>C/2022/P0460/Chaharbagh Sch Lhr-Petty-4 (Const of Rd Pkg -1 St No. 11,12,13,14,15,16)</v>
      </c>
      <c r="C7" s="537" t="str">
        <f>'Anx C '!C8</f>
        <v>M/s Muhammad Rafique Contractor (MRC)</v>
      </c>
      <c r="D7" s="537" t="str">
        <f>'Anx C '!D8</f>
        <v>Earth Work</v>
      </c>
      <c r="E7" s="538">
        <f>'Anx C '!E8</f>
        <v>20.753</v>
      </c>
      <c r="F7" s="570">
        <f>'Anx C '!F8</f>
        <v>14.686</v>
      </c>
      <c r="G7" s="568">
        <f>+((E7-F7))/E7</f>
        <v>0.29234327567098733</v>
      </c>
      <c r="H7" s="531">
        <f>'Anx C '!G8*70.77/100</f>
        <v>0</v>
      </c>
      <c r="I7" s="532">
        <f t="shared" ref="I7:I16" si="0">H7*5/100</f>
        <v>0</v>
      </c>
      <c r="J7" s="532">
        <f t="shared" ref="J7:J16" si="1">(H7-I7)*7/100</f>
        <v>0</v>
      </c>
      <c r="K7" s="532">
        <v>0</v>
      </c>
      <c r="L7" s="735"/>
      <c r="M7" s="533">
        <f>H7-I7-J7-K7</f>
        <v>0</v>
      </c>
      <c r="N7" s="531">
        <f>'Anx C '!H8*70.77/100</f>
        <v>8.1725195999999993</v>
      </c>
      <c r="O7" s="532">
        <f t="shared" ref="O7:O36" si="2">N7*5/100</f>
        <v>0.40862598</v>
      </c>
      <c r="P7" s="532">
        <v>0</v>
      </c>
      <c r="Q7" s="532">
        <f t="shared" ref="Q7:Q28" si="3">(N7-O7)*7/100</f>
        <v>0.5434725534</v>
      </c>
      <c r="R7" s="532">
        <v>0</v>
      </c>
      <c r="S7" s="533">
        <f>N7-O7-P7-Q7</f>
        <v>7.2204210665999993</v>
      </c>
      <c r="T7" s="779">
        <v>7.2204210665999993</v>
      </c>
      <c r="U7" s="531">
        <f>'Anx C '!I8*70.77/100</f>
        <v>0</v>
      </c>
      <c r="V7" s="316">
        <f>U7*5/100</f>
        <v>0</v>
      </c>
      <c r="W7" s="532">
        <f>K7</f>
        <v>0</v>
      </c>
      <c r="X7" s="532">
        <f>(U7-V7)*7/100</f>
        <v>0</v>
      </c>
      <c r="Y7" s="735"/>
      <c r="Z7" s="735">
        <f>U7-V7-W7-X7</f>
        <v>0</v>
      </c>
      <c r="AA7" s="316">
        <v>0</v>
      </c>
      <c r="AB7" s="316">
        <v>0</v>
      </c>
      <c r="AC7" s="316">
        <v>0</v>
      </c>
      <c r="AD7" s="316">
        <v>0</v>
      </c>
      <c r="AE7" s="316"/>
      <c r="AF7" s="316">
        <v>0</v>
      </c>
      <c r="AG7" s="1039">
        <v>8.1725195999999993</v>
      </c>
      <c r="AH7" s="532">
        <v>0.40862598</v>
      </c>
      <c r="AI7" s="532">
        <v>0</v>
      </c>
      <c r="AJ7" s="532">
        <v>0.5434725534</v>
      </c>
      <c r="AK7" s="532">
        <v>0</v>
      </c>
      <c r="AL7" s="533">
        <v>7.2204210665999993</v>
      </c>
      <c r="AM7" s="779">
        <v>7.2204210665999993</v>
      </c>
      <c r="AN7" s="531">
        <v>0</v>
      </c>
      <c r="AO7" s="316">
        <v>0</v>
      </c>
      <c r="AP7" s="532">
        <v>0</v>
      </c>
      <c r="AQ7" s="532">
        <v>0</v>
      </c>
      <c r="AR7" s="735"/>
      <c r="AS7" s="533">
        <v>0</v>
      </c>
      <c r="AU7" s="223"/>
      <c r="AV7" s="249">
        <f>+((E7-F7)/E7)</f>
        <v>0.29234327567098733</v>
      </c>
      <c r="AW7" s="515">
        <v>1</v>
      </c>
      <c r="AX7" s="516">
        <f>+AW7-AV7</f>
        <v>0.70765672432901261</v>
      </c>
      <c r="AZ7" s="67">
        <v>15.82553930672</v>
      </c>
      <c r="BA7" s="67">
        <v>0.791276965336</v>
      </c>
      <c r="BB7" s="67">
        <v>0</v>
      </c>
      <c r="BC7" s="67">
        <v>1.1077877514704</v>
      </c>
      <c r="BD7" s="67">
        <v>0</v>
      </c>
      <c r="BE7" s="67">
        <v>13.9264745899136</v>
      </c>
      <c r="BF7" s="67">
        <v>1.324601426720001</v>
      </c>
      <c r="BG7" s="67">
        <v>0</v>
      </c>
      <c r="BH7" s="67">
        <v>0</v>
      </c>
      <c r="BI7" s="67">
        <v>9.2722099870400074E-2</v>
      </c>
      <c r="BJ7" s="67">
        <v>1.2318793268496009</v>
      </c>
    </row>
    <row r="8" spans="1:62" ht="78" thickTop="1" thickBot="1" x14ac:dyDescent="0.3">
      <c r="A8" s="539">
        <f>A7+1</f>
        <v>2</v>
      </c>
      <c r="B8" s="878" t="str">
        <f>'Anx C '!B9</f>
        <v>C/2022/P0460/Chaharbagh Sch Lhr-Petty-17 (Const of Rd Pkg-2 St No. 11,12,13,14,15,16)</v>
      </c>
      <c r="C8" s="69" t="str">
        <f>'Anx C '!C9</f>
        <v>M/s Muhammad Rafique Contractor (MRC)</v>
      </c>
      <c r="D8" s="69" t="str">
        <f>'Anx C '!D9</f>
        <v>Earth Work</v>
      </c>
      <c r="E8" s="318">
        <f>'Anx C '!E9</f>
        <v>20.753</v>
      </c>
      <c r="F8" s="566">
        <f>'Anx C '!F9</f>
        <v>14.686</v>
      </c>
      <c r="G8" s="569">
        <f>+((E8-F8))/E8</f>
        <v>0.29234327567098733</v>
      </c>
      <c r="H8" s="531">
        <f>'Anx C '!G9*70.77/100</f>
        <v>0</v>
      </c>
      <c r="I8" s="532">
        <f t="shared" si="0"/>
        <v>0</v>
      </c>
      <c r="J8" s="532">
        <f t="shared" si="1"/>
        <v>0</v>
      </c>
      <c r="K8" s="316">
        <v>0</v>
      </c>
      <c r="L8" s="736"/>
      <c r="M8" s="533">
        <f t="shared" ref="M8:M24" si="4">H8-I8-J8-K8</f>
        <v>0</v>
      </c>
      <c r="N8" s="531">
        <f>'Anx C '!H9*70.77/100</f>
        <v>11.683419300000002</v>
      </c>
      <c r="O8" s="316">
        <f t="shared" si="2"/>
        <v>0.5841709650000001</v>
      </c>
      <c r="P8" s="316">
        <v>0</v>
      </c>
      <c r="Q8" s="532">
        <f t="shared" si="3"/>
        <v>0.77694738345000014</v>
      </c>
      <c r="R8" s="316">
        <f>'Anx F Contr '!K323</f>
        <v>0</v>
      </c>
      <c r="S8" s="533">
        <f t="shared" ref="S8:S28" si="5">N8-O8-P8-Q8</f>
        <v>10.322300951550002</v>
      </c>
      <c r="T8" s="779">
        <v>10.322300951550002</v>
      </c>
      <c r="U8" s="531">
        <f>'Anx C '!I9*70.77/100</f>
        <v>0</v>
      </c>
      <c r="V8" s="316">
        <f>U8*5/100</f>
        <v>0</v>
      </c>
      <c r="W8" s="532">
        <f t="shared" ref="W8:W61" si="6">K8</f>
        <v>0</v>
      </c>
      <c r="X8" s="532">
        <f t="shared" ref="X8:X29" si="7">(U8-V8)*7/100</f>
        <v>0</v>
      </c>
      <c r="Y8" s="736"/>
      <c r="Z8" s="535">
        <f t="shared" ref="Z8:Z28" si="8">U8-V8-W8-X8</f>
        <v>0</v>
      </c>
      <c r="AA8" s="316">
        <v>0</v>
      </c>
      <c r="AB8" s="316">
        <v>0</v>
      </c>
      <c r="AC8" s="316">
        <v>0</v>
      </c>
      <c r="AD8" s="316">
        <v>0</v>
      </c>
      <c r="AE8" s="316"/>
      <c r="AF8" s="316">
        <v>0</v>
      </c>
      <c r="AG8" s="531">
        <v>11.683419300000002</v>
      </c>
      <c r="AH8" s="316">
        <v>0.5841709650000001</v>
      </c>
      <c r="AI8" s="316">
        <v>0</v>
      </c>
      <c r="AJ8" s="532">
        <v>0.77694738345000014</v>
      </c>
      <c r="AK8" s="316">
        <v>0</v>
      </c>
      <c r="AL8" s="533">
        <v>10.322300951550002</v>
      </c>
      <c r="AM8" s="779">
        <v>10.322300951550002</v>
      </c>
      <c r="AN8" s="531">
        <v>0</v>
      </c>
      <c r="AO8" s="316">
        <v>0</v>
      </c>
      <c r="AP8" s="316">
        <v>0</v>
      </c>
      <c r="AQ8" s="532">
        <v>0</v>
      </c>
      <c r="AR8" s="736"/>
      <c r="AS8" s="535">
        <v>0</v>
      </c>
      <c r="AU8" s="223"/>
      <c r="AV8" s="249">
        <f>+((E8-F8)/E8)</f>
        <v>0.29234327567098733</v>
      </c>
      <c r="AW8" s="515">
        <v>1</v>
      </c>
      <c r="AX8" s="516">
        <f>+AW8-AV8</f>
        <v>0.70765672432901261</v>
      </c>
      <c r="AZ8" s="67">
        <v>2.44598856</v>
      </c>
      <c r="BA8" s="67">
        <v>0.122299428</v>
      </c>
      <c r="BB8" s="67">
        <v>0</v>
      </c>
      <c r="BC8" s="67">
        <v>0.17121919920000001</v>
      </c>
      <c r="BD8" s="67">
        <v>0</v>
      </c>
      <c r="BE8" s="67">
        <v>2.1524699328000003</v>
      </c>
      <c r="BF8" s="67">
        <v>0</v>
      </c>
      <c r="BG8" s="67">
        <v>0</v>
      </c>
      <c r="BH8" s="67">
        <v>0</v>
      </c>
      <c r="BI8" s="67">
        <v>0</v>
      </c>
      <c r="BJ8" s="67">
        <v>0</v>
      </c>
    </row>
    <row r="9" spans="1:62" ht="52.5" thickTop="1" thickBot="1" x14ac:dyDescent="0.3">
      <c r="A9" s="539">
        <f t="shared" ref="A9:A46" si="9">A8+1</f>
        <v>3</v>
      </c>
      <c r="B9" s="878" t="str">
        <f>'Anx C '!B10</f>
        <v>C/2022/P0460/Chaharbagh Sch Lhr-Petty-14 (Const of Rd St No. 4,5,6)</v>
      </c>
      <c r="C9" s="69" t="str">
        <f>'Anx C '!C10</f>
        <v>M/s Muhammad Rafique Contractor (MRC)</v>
      </c>
      <c r="D9" s="69" t="str">
        <f>'Anx C '!D10</f>
        <v>Earth Work</v>
      </c>
      <c r="E9" s="69">
        <f>'Anx C '!E10</f>
        <v>17.98</v>
      </c>
      <c r="F9" s="69">
        <f>'Anx C '!F10</f>
        <v>12.973000000000001</v>
      </c>
      <c r="G9" s="671"/>
      <c r="H9" s="531">
        <f>'Anx C '!G10*72.15/100</f>
        <v>0</v>
      </c>
      <c r="I9" s="532">
        <f t="shared" si="0"/>
        <v>0</v>
      </c>
      <c r="J9" s="532">
        <f t="shared" si="1"/>
        <v>0</v>
      </c>
      <c r="K9" s="316"/>
      <c r="L9" s="736"/>
      <c r="M9" s="533">
        <f t="shared" si="4"/>
        <v>0</v>
      </c>
      <c r="N9" s="901">
        <f>'Anx C '!H10*72.15/100</f>
        <v>3.0505020000000003</v>
      </c>
      <c r="O9" s="316">
        <f t="shared" si="2"/>
        <v>0.1525251</v>
      </c>
      <c r="P9" s="316">
        <v>0</v>
      </c>
      <c r="Q9" s="532">
        <f t="shared" si="3"/>
        <v>0.20285838300000003</v>
      </c>
      <c r="R9" s="316">
        <f>'Anx F Contr '!K324</f>
        <v>0</v>
      </c>
      <c r="S9" s="533">
        <f t="shared" si="5"/>
        <v>2.695118517</v>
      </c>
      <c r="T9" s="779">
        <v>2.695118517</v>
      </c>
      <c r="U9" s="531">
        <f>'Anx C '!I10*72.15/100</f>
        <v>0</v>
      </c>
      <c r="V9" s="316">
        <f t="shared" ref="V9:V16" si="10">U9*5/100</f>
        <v>0</v>
      </c>
      <c r="W9" s="532">
        <f t="shared" si="6"/>
        <v>0</v>
      </c>
      <c r="X9" s="532">
        <f t="shared" si="7"/>
        <v>0</v>
      </c>
      <c r="Y9" s="736"/>
      <c r="Z9" s="535">
        <f t="shared" si="8"/>
        <v>0</v>
      </c>
      <c r="AA9" s="316">
        <v>0</v>
      </c>
      <c r="AB9" s="316">
        <v>0</v>
      </c>
      <c r="AC9" s="316">
        <v>0</v>
      </c>
      <c r="AD9" s="316"/>
      <c r="AE9" s="316"/>
      <c r="AF9" s="316">
        <v>0</v>
      </c>
      <c r="AG9" s="901">
        <v>3.0505020000000003</v>
      </c>
      <c r="AH9" s="316">
        <v>0.1525251</v>
      </c>
      <c r="AI9" s="316">
        <v>0</v>
      </c>
      <c r="AJ9" s="532">
        <v>0.20285838300000003</v>
      </c>
      <c r="AK9" s="316">
        <v>0</v>
      </c>
      <c r="AL9" s="533">
        <v>2.695118517</v>
      </c>
      <c r="AM9" s="779">
        <v>2.695118517</v>
      </c>
      <c r="AN9" s="531">
        <v>0</v>
      </c>
      <c r="AO9" s="316">
        <v>0</v>
      </c>
      <c r="AP9" s="316">
        <v>0</v>
      </c>
      <c r="AQ9" s="532">
        <v>0</v>
      </c>
      <c r="AR9" s="736"/>
      <c r="AS9" s="535">
        <v>0</v>
      </c>
      <c r="AU9" s="902">
        <v>4.2629999999999999</v>
      </c>
      <c r="AV9" s="249">
        <f>AU9*5%</f>
        <v>0.21315000000000001</v>
      </c>
      <c r="AW9" s="903">
        <f>AU9-AV9</f>
        <v>4.0498500000000002</v>
      </c>
      <c r="AX9" s="516"/>
    </row>
    <row r="10" spans="1:62" ht="52.5" thickTop="1" thickBot="1" x14ac:dyDescent="0.3">
      <c r="A10" s="539">
        <f t="shared" si="9"/>
        <v>4</v>
      </c>
      <c r="B10" s="878" t="str">
        <f>'Anx C '!B11</f>
        <v>C/2022/P0460/Chaharbagh Sch Lhr-Petty-15 (Const of Rd St No. 7,8,9)</v>
      </c>
      <c r="C10" s="69" t="str">
        <f>'Anx C '!C11</f>
        <v>M/s Muhammad Rafique Contractor (MRC)</v>
      </c>
      <c r="D10" s="69" t="str">
        <f>'Anx C '!D11</f>
        <v>Earth Work</v>
      </c>
      <c r="E10" s="69">
        <f>'Anx C '!E11</f>
        <v>20.262</v>
      </c>
      <c r="F10" s="69">
        <f>'Anx C '!F11</f>
        <v>14.612</v>
      </c>
      <c r="G10" s="671"/>
      <c r="H10" s="531">
        <f>'Anx C '!G11*72.11/100</f>
        <v>0</v>
      </c>
      <c r="I10" s="532">
        <f t="shared" si="0"/>
        <v>0</v>
      </c>
      <c r="J10" s="532">
        <f t="shared" si="1"/>
        <v>0</v>
      </c>
      <c r="K10" s="316"/>
      <c r="L10" s="736"/>
      <c r="M10" s="533">
        <f t="shared" si="4"/>
        <v>0</v>
      </c>
      <c r="N10" s="531">
        <f>'Anx C '!H11*72.11/100</f>
        <v>3.2110583000000008</v>
      </c>
      <c r="O10" s="316">
        <f t="shared" si="2"/>
        <v>0.16055291500000002</v>
      </c>
      <c r="P10" s="316">
        <v>0</v>
      </c>
      <c r="Q10" s="532">
        <f t="shared" si="3"/>
        <v>0.21353537695000008</v>
      </c>
      <c r="R10" s="316">
        <f>'Anx F Contr '!K325</f>
        <v>0</v>
      </c>
      <c r="S10" s="533">
        <f t="shared" si="5"/>
        <v>2.8369700080500011</v>
      </c>
      <c r="T10" s="779">
        <v>2.8369700080500011</v>
      </c>
      <c r="U10" s="531">
        <f>'Anx C '!I11*72.11/100</f>
        <v>0</v>
      </c>
      <c r="V10" s="316">
        <f t="shared" si="10"/>
        <v>0</v>
      </c>
      <c r="W10" s="532">
        <f t="shared" si="6"/>
        <v>0</v>
      </c>
      <c r="X10" s="532">
        <f t="shared" si="7"/>
        <v>0</v>
      </c>
      <c r="Y10" s="736"/>
      <c r="Z10" s="535">
        <f t="shared" si="8"/>
        <v>0</v>
      </c>
      <c r="AA10" s="316">
        <v>0</v>
      </c>
      <c r="AB10" s="316">
        <v>0</v>
      </c>
      <c r="AC10" s="316">
        <v>0</v>
      </c>
      <c r="AD10" s="316"/>
      <c r="AE10" s="316"/>
      <c r="AF10" s="316">
        <v>0</v>
      </c>
      <c r="AG10" s="531">
        <v>3.2110583000000008</v>
      </c>
      <c r="AH10" s="316">
        <v>0.16055291500000002</v>
      </c>
      <c r="AI10" s="316">
        <v>0</v>
      </c>
      <c r="AJ10" s="532">
        <v>0.21353537695000008</v>
      </c>
      <c r="AK10" s="316">
        <v>0</v>
      </c>
      <c r="AL10" s="533">
        <v>2.8369700080500011</v>
      </c>
      <c r="AM10" s="779">
        <v>2.8369700080500011</v>
      </c>
      <c r="AN10" s="531">
        <v>0</v>
      </c>
      <c r="AO10" s="316">
        <v>0</v>
      </c>
      <c r="AP10" s="316">
        <v>0</v>
      </c>
      <c r="AQ10" s="532">
        <v>0</v>
      </c>
      <c r="AR10" s="736"/>
      <c r="AS10" s="535">
        <v>0</v>
      </c>
      <c r="AU10" s="223"/>
      <c r="AV10" s="249"/>
      <c r="AW10" s="515"/>
      <c r="AX10" s="516"/>
    </row>
    <row r="11" spans="1:62" ht="65.25" thickTop="1" thickBot="1" x14ac:dyDescent="0.3">
      <c r="A11" s="539">
        <f t="shared" si="9"/>
        <v>5</v>
      </c>
      <c r="B11" s="878" t="str">
        <f>'Anx C '!B12</f>
        <v>C/2022/P0460/Chaharbagh Sch Lhr-Petty-16 (Const of Rd Pkg-1 St No. B-3)</v>
      </c>
      <c r="C11" s="69" t="str">
        <f>'Anx C '!C12</f>
        <v>M/s Muhammad Rafique Contractor (MRC)</v>
      </c>
      <c r="D11" s="69" t="str">
        <f>'Anx C '!D12</f>
        <v>Earth Work</v>
      </c>
      <c r="E11" s="69">
        <f>'Anx C '!E12</f>
        <v>17.015000000000001</v>
      </c>
      <c r="F11" s="69">
        <f>'Anx C '!F12</f>
        <v>12.363</v>
      </c>
      <c r="G11" s="671"/>
      <c r="H11" s="531">
        <f>'Anx C '!G12*72.65/100</f>
        <v>0</v>
      </c>
      <c r="I11" s="532">
        <f t="shared" si="0"/>
        <v>0</v>
      </c>
      <c r="J11" s="532">
        <f t="shared" si="1"/>
        <v>0</v>
      </c>
      <c r="K11" s="316"/>
      <c r="L11" s="736"/>
      <c r="M11" s="533">
        <f t="shared" si="4"/>
        <v>0</v>
      </c>
      <c r="N11" s="531">
        <f>'Anx C '!H12*72.65/100</f>
        <v>12.240072</v>
      </c>
      <c r="O11" s="316">
        <f t="shared" si="2"/>
        <v>0.61200359999999998</v>
      </c>
      <c r="P11" s="316">
        <v>0</v>
      </c>
      <c r="Q11" s="532">
        <f t="shared" si="3"/>
        <v>0.81396478799999994</v>
      </c>
      <c r="R11" s="316">
        <f>'Anx F Contr '!K326</f>
        <v>0</v>
      </c>
      <c r="S11" s="533">
        <f t="shared" si="5"/>
        <v>10.814103612</v>
      </c>
      <c r="T11" s="779">
        <v>10.814103612</v>
      </c>
      <c r="U11" s="531">
        <f>'Anx C '!I12*72.65/100</f>
        <v>0</v>
      </c>
      <c r="V11" s="316">
        <f t="shared" si="10"/>
        <v>0</v>
      </c>
      <c r="W11" s="532">
        <f t="shared" si="6"/>
        <v>0</v>
      </c>
      <c r="X11" s="532">
        <f t="shared" si="7"/>
        <v>0</v>
      </c>
      <c r="Y11" s="736"/>
      <c r="Z11" s="535">
        <f t="shared" si="8"/>
        <v>0</v>
      </c>
      <c r="AA11" s="316">
        <v>0</v>
      </c>
      <c r="AB11" s="316">
        <v>0</v>
      </c>
      <c r="AC11" s="316">
        <v>0</v>
      </c>
      <c r="AD11" s="316"/>
      <c r="AE11" s="316"/>
      <c r="AF11" s="316">
        <v>0</v>
      </c>
      <c r="AG11" s="531">
        <v>12.240072</v>
      </c>
      <c r="AH11" s="316">
        <v>0.61200359999999998</v>
      </c>
      <c r="AI11" s="316">
        <v>0</v>
      </c>
      <c r="AJ11" s="532">
        <v>0.81396478799999994</v>
      </c>
      <c r="AK11" s="316">
        <v>0</v>
      </c>
      <c r="AL11" s="533">
        <v>10.814103612</v>
      </c>
      <c r="AM11" s="779">
        <v>10.814103612</v>
      </c>
      <c r="AN11" s="531">
        <v>0</v>
      </c>
      <c r="AO11" s="316">
        <v>0</v>
      </c>
      <c r="AP11" s="316">
        <v>0</v>
      </c>
      <c r="AQ11" s="532">
        <v>0</v>
      </c>
      <c r="AR11" s="736"/>
      <c r="AS11" s="535">
        <v>0</v>
      </c>
      <c r="AU11" s="223"/>
      <c r="AV11" s="249"/>
      <c r="AW11" s="515"/>
      <c r="AX11" s="516"/>
    </row>
    <row r="12" spans="1:62" ht="78" thickTop="1" thickBot="1" x14ac:dyDescent="0.3">
      <c r="A12" s="539">
        <f t="shared" si="9"/>
        <v>6</v>
      </c>
      <c r="B12" s="69" t="str">
        <f>'Anx C '!B13</f>
        <v>C/2022/P0460/Chaharbagh Sch Lhr-Petty-19 (Const of Rd Pkg-2 St No. 11,12,13,14,15,16)</v>
      </c>
      <c r="C12" s="69" t="str">
        <f>'Anx C '!C13</f>
        <v>M/s Muhammad Rafique Contractor (MRC)</v>
      </c>
      <c r="D12" s="69" t="str">
        <f>'Anx C '!D13</f>
        <v>Earth Work</v>
      </c>
      <c r="E12" s="69">
        <f>'Anx C '!E13</f>
        <v>17.689</v>
      </c>
      <c r="F12" s="69">
        <f>'Anx C '!F13</f>
        <v>13.698</v>
      </c>
      <c r="G12" s="671"/>
      <c r="H12" s="685">
        <f>'Anx C '!G13*77.44/100</f>
        <v>0</v>
      </c>
      <c r="I12" s="532">
        <f>H12*5/100</f>
        <v>0</v>
      </c>
      <c r="J12" s="532">
        <f>(H12-I12)*7/100</f>
        <v>0</v>
      </c>
      <c r="K12" s="316"/>
      <c r="L12" s="736"/>
      <c r="M12" s="533">
        <f t="shared" si="4"/>
        <v>0</v>
      </c>
      <c r="N12" s="531">
        <f>'Anx C '!H13*77.44/100</f>
        <v>8.5904191999999995</v>
      </c>
      <c r="O12" s="316">
        <f>N12*5/100</f>
        <v>0.42952095999999995</v>
      </c>
      <c r="P12" s="316">
        <v>0</v>
      </c>
      <c r="Q12" s="532">
        <f>(N12-O12)*7/100</f>
        <v>0.57126287679999999</v>
      </c>
      <c r="R12" s="316">
        <f>'Anx F Contr '!K327</f>
        <v>0</v>
      </c>
      <c r="S12" s="533">
        <f t="shared" si="5"/>
        <v>7.5896353632000002</v>
      </c>
      <c r="T12" s="780">
        <v>7.5896353632000002</v>
      </c>
      <c r="U12" s="685">
        <f>'Anx C '!I13*77.44/100</f>
        <v>0</v>
      </c>
      <c r="V12" s="316">
        <f t="shared" si="10"/>
        <v>0</v>
      </c>
      <c r="W12" s="532">
        <f t="shared" si="6"/>
        <v>0</v>
      </c>
      <c r="X12" s="532">
        <f t="shared" si="7"/>
        <v>0</v>
      </c>
      <c r="Y12" s="736"/>
      <c r="Z12" s="535">
        <f t="shared" si="8"/>
        <v>0</v>
      </c>
      <c r="AA12" s="316">
        <v>0</v>
      </c>
      <c r="AB12" s="316">
        <v>0</v>
      </c>
      <c r="AC12" s="316">
        <v>0</v>
      </c>
      <c r="AD12" s="316"/>
      <c r="AE12" s="316"/>
      <c r="AF12" s="316">
        <v>0</v>
      </c>
      <c r="AG12" s="531">
        <v>8.5904191999999995</v>
      </c>
      <c r="AH12" s="316">
        <v>0.42952095999999995</v>
      </c>
      <c r="AI12" s="316">
        <v>0</v>
      </c>
      <c r="AJ12" s="532">
        <v>0.57126287679999999</v>
      </c>
      <c r="AK12" s="316">
        <v>0</v>
      </c>
      <c r="AL12" s="533">
        <v>7.5896353632000002</v>
      </c>
      <c r="AM12" s="780">
        <v>7.5896353632000002</v>
      </c>
      <c r="AN12" s="685">
        <v>0</v>
      </c>
      <c r="AO12" s="316">
        <v>0</v>
      </c>
      <c r="AP12" s="316"/>
      <c r="AQ12" s="532">
        <v>0</v>
      </c>
      <c r="AR12" s="736"/>
      <c r="AS12" s="535">
        <v>0</v>
      </c>
      <c r="AU12" s="223"/>
      <c r="AV12" s="249"/>
      <c r="AW12" s="515"/>
      <c r="AX12" s="516"/>
    </row>
    <row r="13" spans="1:62" ht="39.75" thickTop="1" thickBot="1" x14ac:dyDescent="0.3">
      <c r="A13" s="539">
        <f t="shared" si="9"/>
        <v>7</v>
      </c>
      <c r="B13" s="69" t="str">
        <f>'Anx C '!B14</f>
        <v>C/2022/P0460/Chaharbagh Sch Lhr-Petty-21</v>
      </c>
      <c r="C13" s="69" t="str">
        <f>'Anx C '!C14</f>
        <v>M/s Muhammad Rafique Contractor (MRC)</v>
      </c>
      <c r="D13" s="69" t="str">
        <f>'Anx C '!D14</f>
        <v>Earth Work</v>
      </c>
      <c r="E13" s="69">
        <f>'Anx C '!E14</f>
        <v>19.283000000000001</v>
      </c>
      <c r="F13" s="69">
        <f>'Anx C '!F14</f>
        <v>14.935</v>
      </c>
      <c r="G13" s="671"/>
      <c r="H13" s="685">
        <f>'Anx C '!G14*77.45/100</f>
        <v>0</v>
      </c>
      <c r="I13" s="532">
        <f>H13*5/100</f>
        <v>0</v>
      </c>
      <c r="J13" s="532">
        <f>(H13-I13)*7/100</f>
        <v>0</v>
      </c>
      <c r="K13" s="316"/>
      <c r="L13" s="736"/>
      <c r="M13" s="533">
        <f t="shared" si="4"/>
        <v>0</v>
      </c>
      <c r="N13" s="531">
        <f>'Anx C '!H14*77.45/100</f>
        <v>6.8884030000000003</v>
      </c>
      <c r="O13" s="316">
        <f>N13*5/100</f>
        <v>0.34442014999999998</v>
      </c>
      <c r="P13" s="316">
        <v>0</v>
      </c>
      <c r="Q13" s="532">
        <f>(N13-O13)*7/100</f>
        <v>0.45807879950000002</v>
      </c>
      <c r="R13" s="316">
        <f>'Anx F Contr '!K328</f>
        <v>0</v>
      </c>
      <c r="S13" s="533">
        <f t="shared" si="5"/>
        <v>6.0859040504999999</v>
      </c>
      <c r="T13" s="780">
        <v>6.0859040504999999</v>
      </c>
      <c r="U13" s="685">
        <f>'Anx C '!I14*77.45/100</f>
        <v>0</v>
      </c>
      <c r="V13" s="316">
        <f t="shared" si="10"/>
        <v>0</v>
      </c>
      <c r="W13" s="532">
        <f t="shared" si="6"/>
        <v>0</v>
      </c>
      <c r="X13" s="532">
        <f t="shared" si="7"/>
        <v>0</v>
      </c>
      <c r="Y13" s="736"/>
      <c r="Z13" s="535">
        <f t="shared" si="8"/>
        <v>0</v>
      </c>
      <c r="AA13" s="316">
        <v>0</v>
      </c>
      <c r="AB13" s="316">
        <v>0</v>
      </c>
      <c r="AC13" s="316">
        <v>0</v>
      </c>
      <c r="AD13" s="316"/>
      <c r="AE13" s="316"/>
      <c r="AF13" s="316">
        <v>0</v>
      </c>
      <c r="AG13" s="531">
        <v>6.8884030000000003</v>
      </c>
      <c r="AH13" s="316">
        <v>0.34442014999999998</v>
      </c>
      <c r="AI13" s="316">
        <v>0</v>
      </c>
      <c r="AJ13" s="532">
        <v>0.45807879950000002</v>
      </c>
      <c r="AK13" s="316">
        <v>0</v>
      </c>
      <c r="AL13" s="533">
        <v>6.0859040504999999</v>
      </c>
      <c r="AM13" s="780">
        <v>6.0859040504999999</v>
      </c>
      <c r="AN13" s="685">
        <v>0</v>
      </c>
      <c r="AO13" s="316">
        <v>0</v>
      </c>
      <c r="AP13" s="316"/>
      <c r="AQ13" s="532">
        <v>0</v>
      </c>
      <c r="AR13" s="736"/>
      <c r="AS13" s="535">
        <v>0</v>
      </c>
      <c r="AU13" s="223"/>
      <c r="AV13" s="249"/>
      <c r="AW13" s="515"/>
      <c r="AX13" s="516"/>
    </row>
    <row r="14" spans="1:62" ht="39.75" thickTop="1" thickBot="1" x14ac:dyDescent="0.3">
      <c r="A14" s="539">
        <f t="shared" si="9"/>
        <v>8</v>
      </c>
      <c r="B14" s="69" t="str">
        <f>'Anx C '!B15</f>
        <v>C/2022/P0460/Chaharbagh Sch Lhr-Petty-27</v>
      </c>
      <c r="C14" s="69" t="str">
        <f>'Anx C '!C15</f>
        <v>M/s Muhammad Rafique Contractor (MRC)</v>
      </c>
      <c r="D14" s="69" t="str">
        <f>'Anx C '!D15</f>
        <v>Earth Work</v>
      </c>
      <c r="E14" s="69">
        <f>'Anx C '!E15</f>
        <v>11.803000000000001</v>
      </c>
      <c r="F14" s="69">
        <f>'Anx C '!F15</f>
        <v>9.141</v>
      </c>
      <c r="G14" s="671"/>
      <c r="H14" s="685">
        <f>'Anx C '!G15*77.45/100</f>
        <v>0</v>
      </c>
      <c r="I14" s="532">
        <f>H14*5/100</f>
        <v>0</v>
      </c>
      <c r="J14" s="532">
        <f>(H14-I14)*7/100</f>
        <v>0</v>
      </c>
      <c r="K14" s="316"/>
      <c r="L14" s="736"/>
      <c r="M14" s="533">
        <f t="shared" si="4"/>
        <v>0</v>
      </c>
      <c r="N14" s="531">
        <f>'Anx C '!H15*77.45/100</f>
        <v>9.1367765000000016</v>
      </c>
      <c r="O14" s="316">
        <f>N14*5/100</f>
        <v>0.45683882500000011</v>
      </c>
      <c r="P14" s="316">
        <v>0</v>
      </c>
      <c r="Q14" s="532">
        <f>(N14-O14)*7/100</f>
        <v>0.6075956372500001</v>
      </c>
      <c r="R14" s="316">
        <f>'Anx F Contr '!K329</f>
        <v>0</v>
      </c>
      <c r="S14" s="533">
        <f t="shared" si="5"/>
        <v>8.0723420377500013</v>
      </c>
      <c r="T14" s="780">
        <v>8.0723420377500013</v>
      </c>
      <c r="U14" s="685">
        <f>'Anx C '!I15*77.45/100</f>
        <v>0</v>
      </c>
      <c r="V14" s="316">
        <f t="shared" si="10"/>
        <v>0</v>
      </c>
      <c r="W14" s="532">
        <f t="shared" si="6"/>
        <v>0</v>
      </c>
      <c r="X14" s="532">
        <f t="shared" si="7"/>
        <v>0</v>
      </c>
      <c r="Y14" s="736"/>
      <c r="Z14" s="535">
        <f t="shared" si="8"/>
        <v>0</v>
      </c>
      <c r="AA14" s="316">
        <v>0</v>
      </c>
      <c r="AB14" s="316">
        <v>0</v>
      </c>
      <c r="AC14" s="316">
        <v>0</v>
      </c>
      <c r="AD14" s="316"/>
      <c r="AE14" s="316"/>
      <c r="AF14" s="316">
        <v>0</v>
      </c>
      <c r="AG14" s="531">
        <v>9.1367765000000016</v>
      </c>
      <c r="AH14" s="316">
        <v>0.45683882500000011</v>
      </c>
      <c r="AI14" s="316">
        <v>0</v>
      </c>
      <c r="AJ14" s="532">
        <v>0.6075956372500001</v>
      </c>
      <c r="AK14" s="316">
        <v>0</v>
      </c>
      <c r="AL14" s="533">
        <v>8.0723420377500013</v>
      </c>
      <c r="AM14" s="780">
        <v>8.0723420377500013</v>
      </c>
      <c r="AN14" s="685">
        <v>0</v>
      </c>
      <c r="AO14" s="316">
        <v>0</v>
      </c>
      <c r="AP14" s="316"/>
      <c r="AQ14" s="532">
        <v>0</v>
      </c>
      <c r="AR14" s="736"/>
      <c r="AS14" s="535">
        <v>0</v>
      </c>
      <c r="AU14" s="223"/>
      <c r="AV14" s="249"/>
      <c r="AW14" s="515"/>
      <c r="AX14" s="516"/>
    </row>
    <row r="15" spans="1:62" ht="39.75" thickTop="1" thickBot="1" x14ac:dyDescent="0.3">
      <c r="A15" s="539">
        <f t="shared" si="9"/>
        <v>9</v>
      </c>
      <c r="B15" s="878" t="str">
        <f>'Anx C '!B16</f>
        <v>C/2022/P0460/Chahar Bagh/Lhr/Petty-13</v>
      </c>
      <c r="C15" s="69" t="str">
        <f>'Anx C '!C16</f>
        <v xml:space="preserve">M/s Focus Engg </v>
      </c>
      <c r="D15" s="69" t="str">
        <f>'Anx C '!D16</f>
        <v>Earth Work</v>
      </c>
      <c r="E15" s="69">
        <f>'Anx C '!E16</f>
        <v>18.391999999999999</v>
      </c>
      <c r="F15" s="69">
        <f>'Anx C '!F16</f>
        <v>14.23</v>
      </c>
      <c r="G15" s="318">
        <f>'Anx C '!G16</f>
        <v>0</v>
      </c>
      <c r="H15" s="318">
        <f>'Anx C '!G16*77.37/100</f>
        <v>0</v>
      </c>
      <c r="I15" s="532">
        <f t="shared" si="0"/>
        <v>0</v>
      </c>
      <c r="J15" s="532">
        <f t="shared" si="1"/>
        <v>0</v>
      </c>
      <c r="K15" s="316">
        <v>0</v>
      </c>
      <c r="L15" s="736"/>
      <c r="M15" s="533">
        <f t="shared" si="4"/>
        <v>0</v>
      </c>
      <c r="N15" s="708">
        <f>'Anx C '!H16*77.37/100</f>
        <v>11.8909953</v>
      </c>
      <c r="O15" s="316">
        <f t="shared" si="2"/>
        <v>0.59454976500000001</v>
      </c>
      <c r="P15" s="316">
        <v>0</v>
      </c>
      <c r="Q15" s="532">
        <f t="shared" si="3"/>
        <v>0.79075118744999995</v>
      </c>
      <c r="R15" s="316">
        <f>'Anx F Contr '!K324</f>
        <v>0</v>
      </c>
      <c r="S15" s="533">
        <f t="shared" si="5"/>
        <v>10.50569434755</v>
      </c>
      <c r="T15" s="736">
        <v>10.50569434755</v>
      </c>
      <c r="U15" s="318">
        <f>'Anx C '!I16*77.37/100</f>
        <v>0</v>
      </c>
      <c r="V15" s="316">
        <f t="shared" si="10"/>
        <v>0</v>
      </c>
      <c r="W15" s="532">
        <f t="shared" si="6"/>
        <v>0</v>
      </c>
      <c r="X15" s="532">
        <f t="shared" si="7"/>
        <v>0</v>
      </c>
      <c r="Y15" s="736"/>
      <c r="Z15" s="535">
        <f t="shared" si="8"/>
        <v>0</v>
      </c>
      <c r="AA15" s="316">
        <v>0</v>
      </c>
      <c r="AB15" s="316">
        <v>0</v>
      </c>
      <c r="AC15" s="316">
        <v>0</v>
      </c>
      <c r="AD15" s="316">
        <v>0</v>
      </c>
      <c r="AE15" s="316"/>
      <c r="AF15" s="316">
        <v>0</v>
      </c>
      <c r="AG15" s="708">
        <v>11.8909953</v>
      </c>
      <c r="AH15" s="316">
        <v>0.59454976500000001</v>
      </c>
      <c r="AI15" s="316">
        <v>0</v>
      </c>
      <c r="AJ15" s="532">
        <v>0.79075118744999995</v>
      </c>
      <c r="AK15" s="316">
        <v>0</v>
      </c>
      <c r="AL15" s="533">
        <v>10.50569434755</v>
      </c>
      <c r="AM15" s="736">
        <v>10.50569434755</v>
      </c>
      <c r="AN15" s="318">
        <v>0</v>
      </c>
      <c r="AO15" s="316">
        <v>0</v>
      </c>
      <c r="AP15" s="316">
        <v>0</v>
      </c>
      <c r="AQ15" s="532">
        <v>0</v>
      </c>
      <c r="AR15" s="736"/>
      <c r="AS15" s="535">
        <v>0</v>
      </c>
      <c r="AU15" s="223"/>
      <c r="AV15" s="249"/>
      <c r="AW15" s="515"/>
      <c r="AX15" s="516"/>
    </row>
    <row r="16" spans="1:62" ht="57.75" customHeight="1" thickTop="1" thickBot="1" x14ac:dyDescent="0.3">
      <c r="A16" s="539">
        <f t="shared" si="9"/>
        <v>10</v>
      </c>
      <c r="B16" s="878" t="str">
        <f>'Anx C '!B17</f>
        <v>C/2022/P0460/Chahar Bagh/Lhr/Petty-6</v>
      </c>
      <c r="C16" s="69" t="str">
        <f>'Anx C '!C17</f>
        <v>M/s Bhatti Associates</v>
      </c>
      <c r="D16" s="69" t="str">
        <f>'Anx C '!D17</f>
        <v>Bndry Wall</v>
      </c>
      <c r="E16" s="69">
        <f>'Anx C '!E17</f>
        <v>7.6980000000000004</v>
      </c>
      <c r="F16" s="69">
        <f>'Anx C '!F17</f>
        <v>6.7190000000000003</v>
      </c>
      <c r="G16" s="569">
        <f>+((E16-F16))/E16</f>
        <v>0.12717588984151729</v>
      </c>
      <c r="H16" s="534">
        <f>'Anx C '!G17*87.28/100</f>
        <v>0</v>
      </c>
      <c r="I16" s="532">
        <f t="shared" si="0"/>
        <v>0</v>
      </c>
      <c r="J16" s="532">
        <f t="shared" si="1"/>
        <v>0</v>
      </c>
      <c r="K16" s="316">
        <v>0</v>
      </c>
      <c r="L16" s="736"/>
      <c r="M16" s="533">
        <f t="shared" si="4"/>
        <v>0</v>
      </c>
      <c r="N16" s="534">
        <f>'Anx C '!H17*87.28/100</f>
        <v>3.5435679999999992</v>
      </c>
      <c r="O16" s="316">
        <f t="shared" si="2"/>
        <v>0.17717839999999996</v>
      </c>
      <c r="P16" s="316">
        <v>0</v>
      </c>
      <c r="Q16" s="532">
        <f t="shared" si="3"/>
        <v>0.23564727199999996</v>
      </c>
      <c r="R16" s="316">
        <f>'Anx F Contr '!K324</f>
        <v>0</v>
      </c>
      <c r="S16" s="533">
        <f t="shared" si="5"/>
        <v>3.1307423279999993</v>
      </c>
      <c r="T16" s="780">
        <v>3.1307423279999993</v>
      </c>
      <c r="U16" s="534">
        <f>'Anx C '!I17*87.28/100</f>
        <v>0</v>
      </c>
      <c r="V16" s="316">
        <f t="shared" si="10"/>
        <v>0</v>
      </c>
      <c r="W16" s="532">
        <f t="shared" si="6"/>
        <v>0</v>
      </c>
      <c r="X16" s="532">
        <f t="shared" si="7"/>
        <v>0</v>
      </c>
      <c r="Y16" s="736"/>
      <c r="Z16" s="535">
        <f t="shared" si="8"/>
        <v>0</v>
      </c>
      <c r="AA16" s="316">
        <v>0</v>
      </c>
      <c r="AB16" s="316">
        <v>0</v>
      </c>
      <c r="AC16" s="316">
        <v>0</v>
      </c>
      <c r="AD16" s="316">
        <v>0</v>
      </c>
      <c r="AE16" s="316"/>
      <c r="AF16" s="316">
        <v>0</v>
      </c>
      <c r="AG16" s="534">
        <v>3.5435679999999992</v>
      </c>
      <c r="AH16" s="316">
        <v>0.17717839999999996</v>
      </c>
      <c r="AI16" s="316">
        <v>0</v>
      </c>
      <c r="AJ16" s="532">
        <v>0.23564727199999996</v>
      </c>
      <c r="AK16" s="316">
        <v>0</v>
      </c>
      <c r="AL16" s="533">
        <v>3.1307423279999993</v>
      </c>
      <c r="AM16" s="780">
        <v>3.1307423279999993</v>
      </c>
      <c r="AN16" s="534">
        <v>0</v>
      </c>
      <c r="AO16" s="316">
        <v>0</v>
      </c>
      <c r="AP16" s="316">
        <v>0</v>
      </c>
      <c r="AQ16" s="532">
        <v>0</v>
      </c>
      <c r="AR16" s="736"/>
      <c r="AS16" s="535">
        <v>0</v>
      </c>
      <c r="AU16" s="223"/>
      <c r="AV16" s="249">
        <f>+((E16-F16)/E16)</f>
        <v>0.12717588984151729</v>
      </c>
      <c r="AW16" s="515">
        <v>1</v>
      </c>
      <c r="AX16" s="516">
        <f>+AW16-AV16</f>
        <v>0.87282411015848271</v>
      </c>
      <c r="AZ16" s="67">
        <v>4.8471774909137988</v>
      </c>
      <c r="BA16" s="67">
        <v>0.24235887454568997</v>
      </c>
      <c r="BB16" s="67">
        <v>0</v>
      </c>
      <c r="BC16" s="67">
        <v>0.3393024243639659</v>
      </c>
      <c r="BD16" s="67">
        <v>0</v>
      </c>
      <c r="BE16" s="67">
        <v>4.2655161920041422</v>
      </c>
      <c r="BF16" s="67">
        <v>4.8471774909137988</v>
      </c>
      <c r="BG16" s="67">
        <v>0</v>
      </c>
      <c r="BH16" s="67">
        <v>0</v>
      </c>
      <c r="BI16" s="67">
        <v>0.3393024243639659</v>
      </c>
      <c r="BJ16" s="67">
        <v>4.5078750665498326</v>
      </c>
    </row>
    <row r="17" spans="1:50" ht="57.75" customHeight="1" thickTop="1" thickBot="1" x14ac:dyDescent="0.3">
      <c r="A17" s="539">
        <f t="shared" si="9"/>
        <v>11</v>
      </c>
      <c r="B17" s="878" t="str">
        <f>'Anx C '!B24</f>
        <v>C/2022/P0460/Chaharbagh Sch-Lhr-01</v>
      </c>
      <c r="C17" s="69" t="str">
        <f>'Anx C '!C24</f>
        <v>M/s Z.K Builders</v>
      </c>
      <c r="D17" s="69" t="str">
        <f>'Anx C '!D24</f>
        <v>OWHT 1,2 &amp; 4</v>
      </c>
      <c r="E17" s="69">
        <f>'Anx C '!E24</f>
        <v>121.116</v>
      </c>
      <c r="F17" s="69">
        <f>'Anx C '!F24</f>
        <v>112.878</v>
      </c>
      <c r="G17" s="672"/>
      <c r="H17" s="534">
        <f>'Anx C '!G24*93.198/100</f>
        <v>0</v>
      </c>
      <c r="I17" s="532">
        <f t="shared" ref="I17:I24" si="11">H17*5/100</f>
        <v>0</v>
      </c>
      <c r="J17" s="532">
        <f t="shared" ref="J17:J36" si="12">(H17-I17)*7/100</f>
        <v>0</v>
      </c>
      <c r="K17" s="316">
        <v>0</v>
      </c>
      <c r="L17" s="736"/>
      <c r="M17" s="533">
        <f t="shared" si="4"/>
        <v>0</v>
      </c>
      <c r="N17" s="534">
        <f>'Anx C '!H24*93.198/100</f>
        <v>31.134655860000002</v>
      </c>
      <c r="O17" s="316">
        <f t="shared" si="2"/>
        <v>1.5567327930000001</v>
      </c>
      <c r="P17" s="915">
        <f>'Anx F Contr '!G93</f>
        <v>21.033999999999999</v>
      </c>
      <c r="Q17" s="532">
        <f t="shared" si="3"/>
        <v>2.07045461469</v>
      </c>
      <c r="R17" s="316"/>
      <c r="S17" s="533">
        <f>N17-O17-P17-Q17</f>
        <v>6.4734684523100015</v>
      </c>
      <c r="T17" s="780">
        <v>6.4734684523100015</v>
      </c>
      <c r="U17" s="534">
        <f>'Anx C '!I24*93.198/100</f>
        <v>0</v>
      </c>
      <c r="V17" s="316">
        <f t="shared" ref="V17:V24" si="13">U17*5/100</f>
        <v>0</v>
      </c>
      <c r="W17" s="532">
        <f t="shared" si="6"/>
        <v>0</v>
      </c>
      <c r="X17" s="532">
        <f t="shared" si="7"/>
        <v>0</v>
      </c>
      <c r="Y17" s="736"/>
      <c r="Z17" s="535">
        <f t="shared" si="8"/>
        <v>0</v>
      </c>
      <c r="AA17" s="316">
        <v>0</v>
      </c>
      <c r="AB17" s="316">
        <v>0</v>
      </c>
      <c r="AC17" s="316">
        <v>0</v>
      </c>
      <c r="AD17" s="316">
        <v>0</v>
      </c>
      <c r="AE17" s="316"/>
      <c r="AF17" s="316">
        <v>0</v>
      </c>
      <c r="AG17" s="534">
        <v>31.134655860000002</v>
      </c>
      <c r="AH17" s="316">
        <v>1.5567327930000001</v>
      </c>
      <c r="AI17" s="915">
        <v>21.033999999999999</v>
      </c>
      <c r="AJ17" s="532">
        <v>2.07045461469</v>
      </c>
      <c r="AK17" s="316"/>
      <c r="AL17" s="533">
        <v>6.4734684523100015</v>
      </c>
      <c r="AM17" s="780">
        <v>6.4734684523100015</v>
      </c>
      <c r="AN17" s="534">
        <v>0</v>
      </c>
      <c r="AO17" s="316">
        <v>0</v>
      </c>
      <c r="AP17" s="316">
        <v>0</v>
      </c>
      <c r="AQ17" s="532">
        <v>0</v>
      </c>
      <c r="AR17" s="736"/>
      <c r="AS17" s="535">
        <v>0</v>
      </c>
      <c r="AU17" s="223"/>
      <c r="AV17" s="249"/>
      <c r="AW17" s="515"/>
      <c r="AX17" s="516"/>
    </row>
    <row r="18" spans="1:50" ht="57.75" customHeight="1" thickTop="1" thickBot="1" x14ac:dyDescent="0.3">
      <c r="A18" s="539">
        <f t="shared" si="9"/>
        <v>12</v>
      </c>
      <c r="B18" s="900" t="str">
        <f>'Anx C '!B25</f>
        <v>C/2022/P0460/Chaharbagh Sch-Lhr-02</v>
      </c>
      <c r="C18" s="69" t="str">
        <f>'Anx C '!C25</f>
        <v>M/s Bhatti Associates</v>
      </c>
      <c r="D18" s="69" t="str">
        <f>'Anx C '!D25</f>
        <v>OWHT 3</v>
      </c>
      <c r="E18" s="69">
        <f>'Anx C '!E25</f>
        <v>39.694000000000003</v>
      </c>
      <c r="F18" s="69">
        <f>'Anx C '!F25</f>
        <v>37.625999999999998</v>
      </c>
      <c r="G18" s="672"/>
      <c r="H18" s="676">
        <f>'Anx C '!G25*94.79/100</f>
        <v>0</v>
      </c>
      <c r="I18" s="532">
        <f t="shared" si="11"/>
        <v>0</v>
      </c>
      <c r="J18" s="532">
        <f t="shared" si="12"/>
        <v>0</v>
      </c>
      <c r="K18" s="677">
        <v>0</v>
      </c>
      <c r="L18" s="736"/>
      <c r="M18" s="533">
        <f t="shared" si="4"/>
        <v>0</v>
      </c>
      <c r="N18" s="534">
        <f>'Anx C '!H25*94.79/100</f>
        <v>13.588146499999999</v>
      </c>
      <c r="O18" s="316">
        <f t="shared" si="2"/>
        <v>0.67940732500000001</v>
      </c>
      <c r="P18" s="916">
        <f>'Anx F Contr '!G99</f>
        <v>7.742</v>
      </c>
      <c r="Q18" s="532">
        <f t="shared" si="3"/>
        <v>0.90361174224999996</v>
      </c>
      <c r="R18" s="677">
        <f>'Anx F Contr '!H99</f>
        <v>0.753</v>
      </c>
      <c r="S18" s="533">
        <f>N18-O18-P18-Q18-R18</f>
        <v>3.5101274327499992</v>
      </c>
      <c r="T18" s="780">
        <v>3.5101274327499992</v>
      </c>
      <c r="U18" s="534">
        <f>'Anx C '!I25*94.79/100</f>
        <v>0</v>
      </c>
      <c r="V18" s="316">
        <f t="shared" si="13"/>
        <v>0</v>
      </c>
      <c r="W18" s="532">
        <f t="shared" si="6"/>
        <v>0</v>
      </c>
      <c r="X18" s="532">
        <f t="shared" si="7"/>
        <v>0</v>
      </c>
      <c r="Y18" s="736">
        <v>0</v>
      </c>
      <c r="Z18" s="535">
        <f>U18-V18-W18-X18-Y18</f>
        <v>0</v>
      </c>
      <c r="AA18" s="316">
        <v>0</v>
      </c>
      <c r="AB18" s="316">
        <v>0</v>
      </c>
      <c r="AC18" s="316">
        <v>0</v>
      </c>
      <c r="AD18" s="316">
        <v>0</v>
      </c>
      <c r="AE18" s="316"/>
      <c r="AF18" s="316">
        <v>0</v>
      </c>
      <c r="AG18" s="534">
        <v>13.588146499999999</v>
      </c>
      <c r="AH18" s="316">
        <v>0.67940732500000001</v>
      </c>
      <c r="AI18" s="916">
        <v>7.742</v>
      </c>
      <c r="AJ18" s="532">
        <v>0.90361174224999996</v>
      </c>
      <c r="AK18" s="677">
        <v>0.753</v>
      </c>
      <c r="AL18" s="533">
        <v>3.5101274327499992</v>
      </c>
      <c r="AM18" s="780">
        <v>3.5101274327499992</v>
      </c>
      <c r="AN18" s="534">
        <v>0</v>
      </c>
      <c r="AO18" s="316">
        <v>0</v>
      </c>
      <c r="AP18" s="677">
        <v>0</v>
      </c>
      <c r="AQ18" s="532">
        <v>0</v>
      </c>
      <c r="AR18" s="736">
        <v>0</v>
      </c>
      <c r="AS18" s="535">
        <v>0</v>
      </c>
      <c r="AU18" s="223"/>
      <c r="AV18" s="249"/>
      <c r="AW18" s="515"/>
      <c r="AX18" s="516"/>
    </row>
    <row r="19" spans="1:50" ht="57.75" customHeight="1" thickTop="1" thickBot="1" x14ac:dyDescent="0.3">
      <c r="A19" s="539">
        <f t="shared" si="9"/>
        <v>13</v>
      </c>
      <c r="B19" s="900" t="str">
        <f>'Anx C '!B26</f>
        <v>C/2022/P0460/Chaharbagh Sch-Lhr-Petty-23</v>
      </c>
      <c r="C19" s="69" t="str">
        <f>'Anx C '!C26</f>
        <v>M/s Bhatti Associates</v>
      </c>
      <c r="D19" s="69" t="str">
        <f>'Anx C '!D26</f>
        <v>OWHT 5</v>
      </c>
      <c r="E19" s="69">
        <f>'Anx C '!E26</f>
        <v>14.976000000000001</v>
      </c>
      <c r="F19" s="69">
        <f>'Anx C '!F26</f>
        <v>13.685</v>
      </c>
      <c r="G19" s="672"/>
      <c r="H19" s="676">
        <f>'Anx C '!G26*91.38/100</f>
        <v>0</v>
      </c>
      <c r="I19" s="532">
        <f t="shared" si="11"/>
        <v>0</v>
      </c>
      <c r="J19" s="532">
        <f t="shared" si="12"/>
        <v>0</v>
      </c>
      <c r="K19" s="677">
        <v>0</v>
      </c>
      <c r="L19" s="736"/>
      <c r="M19" s="533">
        <f t="shared" si="4"/>
        <v>0</v>
      </c>
      <c r="N19" s="676">
        <f>'Anx C '!H26*91.38/100</f>
        <v>12.309799799999999</v>
      </c>
      <c r="O19" s="316">
        <f t="shared" si="2"/>
        <v>0.61548998999999993</v>
      </c>
      <c r="P19" s="916">
        <f>'Anx F Contr '!G105</f>
        <v>8.1310000000000002</v>
      </c>
      <c r="Q19" s="532">
        <f t="shared" si="3"/>
        <v>0.81860168669999989</v>
      </c>
      <c r="R19" s="677"/>
      <c r="S19" s="533">
        <f>N19-O19-P19-Q19</f>
        <v>2.7447081232999979</v>
      </c>
      <c r="T19" s="781">
        <v>2.7447081232999979</v>
      </c>
      <c r="U19" s="676">
        <f>'Anx C '!I26*91.38/100</f>
        <v>0</v>
      </c>
      <c r="V19" s="316">
        <f t="shared" si="13"/>
        <v>0</v>
      </c>
      <c r="W19" s="532">
        <f t="shared" si="6"/>
        <v>0</v>
      </c>
      <c r="X19" s="532">
        <f t="shared" si="7"/>
        <v>0</v>
      </c>
      <c r="Y19" s="736"/>
      <c r="Z19" s="535">
        <f>U19-V19-W19-X19</f>
        <v>0</v>
      </c>
      <c r="AA19" s="316">
        <v>0</v>
      </c>
      <c r="AB19" s="316">
        <v>0</v>
      </c>
      <c r="AC19" s="316">
        <v>0</v>
      </c>
      <c r="AD19" s="316">
        <v>0</v>
      </c>
      <c r="AE19" s="316"/>
      <c r="AF19" s="316">
        <v>0</v>
      </c>
      <c r="AG19" s="676">
        <v>12.309799799999999</v>
      </c>
      <c r="AH19" s="316">
        <v>0.61548998999999993</v>
      </c>
      <c r="AI19" s="916">
        <v>8.1310000000000002</v>
      </c>
      <c r="AJ19" s="532">
        <v>0.81860168669999989</v>
      </c>
      <c r="AK19" s="677"/>
      <c r="AL19" s="533">
        <v>2.7447081232999979</v>
      </c>
      <c r="AM19" s="781">
        <v>2.7447081232999979</v>
      </c>
      <c r="AN19" s="676">
        <v>0</v>
      </c>
      <c r="AO19" s="316">
        <v>0</v>
      </c>
      <c r="AP19" s="677">
        <v>0</v>
      </c>
      <c r="AQ19" s="532">
        <v>0</v>
      </c>
      <c r="AR19" s="736"/>
      <c r="AS19" s="535">
        <v>0</v>
      </c>
      <c r="AU19" s="223"/>
      <c r="AV19" s="249"/>
      <c r="AW19" s="515"/>
      <c r="AX19" s="516"/>
    </row>
    <row r="20" spans="1:50" ht="78" thickTop="1" thickBot="1" x14ac:dyDescent="0.3">
      <c r="A20" s="539">
        <f t="shared" si="9"/>
        <v>14</v>
      </c>
      <c r="B20" s="900" t="str">
        <f>'Anx C '!B18</f>
        <v>C/2022/P0460/Chahar Bagh/Lhr/Petty-5 (Const of Bdry / Wall Pkg-1 L=5267 Ft</v>
      </c>
      <c r="C20" s="675" t="str">
        <f>'Anx C '!C18</f>
        <v>M/s Zaid Waqas Engg &amp; Trading</v>
      </c>
      <c r="D20" s="675" t="str">
        <f>'Anx C '!D18</f>
        <v>Bndry Wall</v>
      </c>
      <c r="E20" s="675">
        <f>'Anx C '!E18</f>
        <v>17.199000000000002</v>
      </c>
      <c r="F20" s="675">
        <f>'Anx C '!F18</f>
        <v>14.967000000000001</v>
      </c>
      <c r="G20" s="672"/>
      <c r="H20" s="676">
        <f>'Anx C '!G18*87.02/100</f>
        <v>0</v>
      </c>
      <c r="I20" s="532">
        <f t="shared" si="11"/>
        <v>0</v>
      </c>
      <c r="J20" s="532">
        <f t="shared" si="12"/>
        <v>0</v>
      </c>
      <c r="K20" s="677"/>
      <c r="L20" s="736"/>
      <c r="M20" s="533">
        <f t="shared" si="4"/>
        <v>0</v>
      </c>
      <c r="N20" s="676">
        <f>'Anx C '!H18*87.02/100</f>
        <v>0.26454079999999985</v>
      </c>
      <c r="O20" s="316">
        <f t="shared" si="2"/>
        <v>1.3227039999999992E-2</v>
      </c>
      <c r="P20" s="677"/>
      <c r="Q20" s="532">
        <f t="shared" si="3"/>
        <v>1.7591963199999991E-2</v>
      </c>
      <c r="R20" s="677"/>
      <c r="S20" s="533">
        <f t="shared" si="5"/>
        <v>0.23372179679999988</v>
      </c>
      <c r="T20" s="781">
        <v>0.23372179679999988</v>
      </c>
      <c r="U20" s="676">
        <f>'Anx C '!I18*87.02/100</f>
        <v>0</v>
      </c>
      <c r="V20" s="316">
        <f t="shared" si="13"/>
        <v>0</v>
      </c>
      <c r="W20" s="532">
        <f t="shared" si="6"/>
        <v>0</v>
      </c>
      <c r="X20" s="532">
        <f t="shared" si="7"/>
        <v>0</v>
      </c>
      <c r="Y20" s="736"/>
      <c r="Z20" s="535">
        <f t="shared" si="8"/>
        <v>0</v>
      </c>
      <c r="AA20" s="316">
        <v>0</v>
      </c>
      <c r="AB20" s="316">
        <v>0</v>
      </c>
      <c r="AC20" s="316">
        <v>0</v>
      </c>
      <c r="AD20" s="316"/>
      <c r="AE20" s="316"/>
      <c r="AF20" s="316">
        <v>0</v>
      </c>
      <c r="AG20" s="676">
        <v>0.26454079999999985</v>
      </c>
      <c r="AH20" s="316">
        <v>1.3227039999999992E-2</v>
      </c>
      <c r="AI20" s="677"/>
      <c r="AJ20" s="532">
        <v>1.7591963199999991E-2</v>
      </c>
      <c r="AK20" s="677"/>
      <c r="AL20" s="533">
        <v>0.23372179679999988</v>
      </c>
      <c r="AM20" s="781">
        <v>0.23372179679999988</v>
      </c>
      <c r="AN20" s="676">
        <v>0</v>
      </c>
      <c r="AO20" s="316">
        <v>0</v>
      </c>
      <c r="AP20" s="677">
        <v>0</v>
      </c>
      <c r="AQ20" s="532">
        <v>0</v>
      </c>
      <c r="AR20" s="736"/>
      <c r="AS20" s="535">
        <v>0</v>
      </c>
      <c r="AU20" s="223"/>
      <c r="AV20" s="249"/>
      <c r="AW20" s="515"/>
      <c r="AX20" s="516"/>
    </row>
    <row r="21" spans="1:50" ht="65.25" thickTop="1" thickBot="1" x14ac:dyDescent="0.3">
      <c r="A21" s="539">
        <f t="shared" si="9"/>
        <v>15</v>
      </c>
      <c r="B21" s="675" t="str">
        <f>'Anx C '!B19</f>
        <v>C/2022/P0460/Chahar Bagh/Lhr/Petty-24 (Const of Sewerage</v>
      </c>
      <c r="C21" s="675" t="str">
        <f>'Anx C '!C19</f>
        <v>M/s Al-Hafiz Management Works</v>
      </c>
      <c r="D21" s="675" t="str">
        <f>'Anx C '!D19</f>
        <v>Sewerage</v>
      </c>
      <c r="E21" s="675">
        <f>'Anx C '!E19</f>
        <v>16.312000000000001</v>
      </c>
      <c r="F21" s="675">
        <f>'Anx C '!F19</f>
        <v>14.622999999999999</v>
      </c>
      <c r="G21" s="672"/>
      <c r="H21" s="676">
        <f>'Anx C '!G19*89.646/100</f>
        <v>0</v>
      </c>
      <c r="I21" s="532">
        <f t="shared" si="11"/>
        <v>0</v>
      </c>
      <c r="J21" s="532">
        <f t="shared" si="12"/>
        <v>0</v>
      </c>
      <c r="K21" s="677"/>
      <c r="L21" s="736"/>
      <c r="M21" s="533">
        <f t="shared" si="4"/>
        <v>0</v>
      </c>
      <c r="N21" s="676">
        <f>'Anx C '!H19*89.646/100</f>
        <v>13.354564620000001</v>
      </c>
      <c r="O21" s="316">
        <f t="shared" si="2"/>
        <v>0.66772823100000012</v>
      </c>
      <c r="P21" s="916">
        <f>'Anx F Contr '!G111</f>
        <v>0.94657100000000005</v>
      </c>
      <c r="Q21" s="532">
        <f t="shared" si="3"/>
        <v>0.88807854723000001</v>
      </c>
      <c r="R21" s="677"/>
      <c r="S21" s="533">
        <f t="shared" si="5"/>
        <v>10.852186841770001</v>
      </c>
      <c r="T21" s="781">
        <v>6.8358412006600009</v>
      </c>
      <c r="U21" s="676">
        <f>'Anx C '!I19*89.646/100</f>
        <v>0</v>
      </c>
      <c r="V21" s="316">
        <f t="shared" si="13"/>
        <v>0</v>
      </c>
      <c r="W21" s="532">
        <f t="shared" si="6"/>
        <v>0</v>
      </c>
      <c r="X21" s="532">
        <f>(U21-V21)*7/100</f>
        <v>0</v>
      </c>
      <c r="Y21" s="736"/>
      <c r="Z21" s="535">
        <f t="shared" si="8"/>
        <v>0</v>
      </c>
      <c r="AA21" s="316">
        <v>1.89332352</v>
      </c>
      <c r="AB21" s="316">
        <v>9.4666175999999991E-2</v>
      </c>
      <c r="AC21" s="316">
        <v>0.12590601407999999</v>
      </c>
      <c r="AD21" s="316"/>
      <c r="AE21" s="316"/>
      <c r="AF21" s="316">
        <v>1.6727513299200001</v>
      </c>
      <c r="AG21" s="676">
        <v>13.354564620000001</v>
      </c>
      <c r="AH21" s="316">
        <v>0.66772823100000012</v>
      </c>
      <c r="AI21" s="916">
        <v>0.94657100000000005</v>
      </c>
      <c r="AJ21" s="532">
        <v>0.88807854723000001</v>
      </c>
      <c r="AK21" s="677"/>
      <c r="AL21" s="533">
        <v>10.852186841770001</v>
      </c>
      <c r="AM21" s="781">
        <v>6.8358412006600009</v>
      </c>
      <c r="AN21" s="676">
        <v>4.5459486599999996</v>
      </c>
      <c r="AO21" s="316">
        <v>0.22729743299999999</v>
      </c>
      <c r="AP21" s="677"/>
      <c r="AQ21" s="532">
        <v>0.30230558588999995</v>
      </c>
      <c r="AR21" s="736"/>
      <c r="AS21" s="535">
        <v>4.0163456411099991</v>
      </c>
      <c r="AU21" s="223"/>
      <c r="AV21" s="249"/>
      <c r="AW21" s="515"/>
      <c r="AX21" s="516"/>
    </row>
    <row r="22" spans="1:50" ht="65.25" thickTop="1" thickBot="1" x14ac:dyDescent="0.3">
      <c r="A22" s="539">
        <f t="shared" si="9"/>
        <v>16</v>
      </c>
      <c r="B22" s="675" t="str">
        <f>'Anx C '!B20</f>
        <v xml:space="preserve">C/2022/P0460/Chahar Bagh/Lhr/Petty-25 (Const of Bdry / Wall </v>
      </c>
      <c r="C22" s="675" t="str">
        <f>'Anx C '!C20</f>
        <v>M/s Zaid Waqas Engg &amp; Trading</v>
      </c>
      <c r="D22" s="675" t="str">
        <f>'Anx C '!D20</f>
        <v>Bndry Wall</v>
      </c>
      <c r="E22" s="675">
        <f>'Anx C '!E20</f>
        <v>14.891999999999999</v>
      </c>
      <c r="F22" s="675">
        <f>'Anx C '!F20</f>
        <v>13.574</v>
      </c>
      <c r="G22" s="672"/>
      <c r="H22" s="676">
        <f>'Anx C '!G20*91.15/100</f>
        <v>0</v>
      </c>
      <c r="I22" s="532">
        <f t="shared" si="11"/>
        <v>0</v>
      </c>
      <c r="J22" s="532">
        <f t="shared" si="12"/>
        <v>0</v>
      </c>
      <c r="K22" s="677"/>
      <c r="L22" s="736"/>
      <c r="M22" s="533">
        <f t="shared" si="4"/>
        <v>0</v>
      </c>
      <c r="N22" s="676">
        <f>'Anx C '!H20*91.15/100</f>
        <v>11.656262000000002</v>
      </c>
      <c r="O22" s="316">
        <f t="shared" si="2"/>
        <v>0.58281310000000008</v>
      </c>
      <c r="P22" s="911">
        <f>'Anx F Contr '!G86</f>
        <v>3.3107470000000001</v>
      </c>
      <c r="Q22" s="532">
        <f t="shared" si="3"/>
        <v>0.77514142300000022</v>
      </c>
      <c r="R22" s="677"/>
      <c r="S22" s="533">
        <f t="shared" si="5"/>
        <v>6.9875604770000024</v>
      </c>
      <c r="T22" s="781">
        <v>6.730988163000001</v>
      </c>
      <c r="U22" s="676">
        <f>'Anx C '!I20*91.15/100</f>
        <v>0</v>
      </c>
      <c r="V22" s="316">
        <f t="shared" si="13"/>
        <v>0</v>
      </c>
      <c r="W22" s="532">
        <f t="shared" si="6"/>
        <v>0</v>
      </c>
      <c r="X22" s="532">
        <f t="shared" si="7"/>
        <v>0</v>
      </c>
      <c r="Y22" s="736"/>
      <c r="Z22" s="535">
        <f t="shared" si="8"/>
        <v>0</v>
      </c>
      <c r="AA22" s="316">
        <v>0</v>
      </c>
      <c r="AB22" s="316">
        <v>0</v>
      </c>
      <c r="AC22" s="316">
        <v>0</v>
      </c>
      <c r="AD22" s="316"/>
      <c r="AE22" s="316"/>
      <c r="AF22" s="316">
        <v>0</v>
      </c>
      <c r="AG22" s="676">
        <v>11.656262000000002</v>
      </c>
      <c r="AH22" s="316">
        <v>0.58281310000000008</v>
      </c>
      <c r="AI22" s="911">
        <v>3.3107470000000001</v>
      </c>
      <c r="AJ22" s="532">
        <v>0.77514142300000022</v>
      </c>
      <c r="AK22" s="677"/>
      <c r="AL22" s="533">
        <v>6.9875604770000024</v>
      </c>
      <c r="AM22" s="781">
        <v>6.730988163000001</v>
      </c>
      <c r="AN22" s="676">
        <v>1.2906839999999999</v>
      </c>
      <c r="AO22" s="316">
        <v>6.45342E-2</v>
      </c>
      <c r="AP22" s="677">
        <v>0.26300000000000001</v>
      </c>
      <c r="AQ22" s="532">
        <v>8.5830485999999998E-2</v>
      </c>
      <c r="AR22" s="736"/>
      <c r="AS22" s="535">
        <v>0.87731931399999996</v>
      </c>
      <c r="AU22" s="223"/>
      <c r="AV22" s="249"/>
      <c r="AW22" s="515"/>
      <c r="AX22" s="516"/>
    </row>
    <row r="23" spans="1:50" ht="39.75" thickTop="1" thickBot="1" x14ac:dyDescent="0.3">
      <c r="A23" s="539">
        <f t="shared" si="9"/>
        <v>17</v>
      </c>
      <c r="B23" s="675" t="str">
        <f>'Anx C '!B21</f>
        <v>C/2022/P0460/Chahar Bagh Sch-Lhr-Petty-26</v>
      </c>
      <c r="C23" s="675" t="str">
        <f>'Anx C '!C21</f>
        <v>M/s The Muhandis</v>
      </c>
      <c r="D23" s="675" t="str">
        <f>'Anx C '!D21</f>
        <v>Sewerage</v>
      </c>
      <c r="E23" s="733">
        <f>'Anx C '!E21</f>
        <v>16.98</v>
      </c>
      <c r="F23" s="675">
        <f>'Anx C '!F21</f>
        <v>14.375</v>
      </c>
      <c r="G23" s="672"/>
      <c r="H23" s="676">
        <f>'Anx C '!G21*84.66/100</f>
        <v>0</v>
      </c>
      <c r="I23" s="532">
        <f t="shared" si="11"/>
        <v>0</v>
      </c>
      <c r="J23" s="532">
        <f t="shared" si="12"/>
        <v>0</v>
      </c>
      <c r="K23" s="677">
        <v>0</v>
      </c>
      <c r="L23" s="736"/>
      <c r="M23" s="533">
        <f t="shared" si="4"/>
        <v>0</v>
      </c>
      <c r="N23" s="316">
        <f>'Anx C '!H21*84.66/100</f>
        <v>12.950440200000001</v>
      </c>
      <c r="O23" s="316">
        <f t="shared" si="2"/>
        <v>0.64752200999999998</v>
      </c>
      <c r="P23" s="910">
        <f>'Anx F Contr '!G116</f>
        <v>1.219071</v>
      </c>
      <c r="Q23" s="532">
        <f t="shared" si="3"/>
        <v>0.86120427330000016</v>
      </c>
      <c r="R23" s="316"/>
      <c r="S23" s="533">
        <f>N23-O23-P23-Q23</f>
        <v>10.222642916700002</v>
      </c>
      <c r="T23" s="736">
        <v>5.4587039162000002</v>
      </c>
      <c r="U23" s="316">
        <f>'Anx C '!I21*84.66/100</f>
        <v>0</v>
      </c>
      <c r="V23" s="316">
        <f t="shared" si="13"/>
        <v>0</v>
      </c>
      <c r="W23" s="532">
        <f t="shared" si="6"/>
        <v>0</v>
      </c>
      <c r="X23" s="532">
        <f t="shared" si="7"/>
        <v>0</v>
      </c>
      <c r="Y23" s="736"/>
      <c r="Z23" s="535">
        <f>U23-V23-W23-X23</f>
        <v>0</v>
      </c>
      <c r="AA23" s="316">
        <v>1.4205948000000006</v>
      </c>
      <c r="AB23" s="316">
        <v>7.1029740000000036E-2</v>
      </c>
      <c r="AC23" s="316">
        <v>9.4469554200000055E-2</v>
      </c>
      <c r="AD23" s="316">
        <v>0</v>
      </c>
      <c r="AE23" s="316"/>
      <c r="AF23" s="316">
        <v>1.2550955058000006</v>
      </c>
      <c r="AG23" s="316">
        <v>12.950440200000001</v>
      </c>
      <c r="AH23" s="316">
        <v>0.64752200999999998</v>
      </c>
      <c r="AI23" s="910">
        <v>1.219071</v>
      </c>
      <c r="AJ23" s="532">
        <v>0.86120427330000016</v>
      </c>
      <c r="AK23" s="316"/>
      <c r="AL23" s="533">
        <v>10.222642916700002</v>
      </c>
      <c r="AM23" s="736">
        <v>5.4587039162000002</v>
      </c>
      <c r="AN23" s="316">
        <v>5.888103000000001</v>
      </c>
      <c r="AO23" s="316">
        <v>0.29440515000000006</v>
      </c>
      <c r="AP23" s="677">
        <v>0.438</v>
      </c>
      <c r="AQ23" s="532">
        <v>0.39155884950000008</v>
      </c>
      <c r="AR23" s="736"/>
      <c r="AS23" s="535">
        <v>4.7641390005000011</v>
      </c>
      <c r="AU23" s="223"/>
      <c r="AV23" s="249"/>
      <c r="AW23" s="515"/>
      <c r="AX23" s="516"/>
    </row>
    <row r="24" spans="1:50" ht="39.75" thickTop="1" thickBot="1" x14ac:dyDescent="0.3">
      <c r="A24" s="539">
        <f t="shared" si="9"/>
        <v>18</v>
      </c>
      <c r="B24" s="675" t="str">
        <f>'Anx C '!B22</f>
        <v>C/2022/P0460/Chahar Bagh Sch-Lhr-Petty-28</v>
      </c>
      <c r="C24" s="675" t="str">
        <f>'Anx C '!C22</f>
        <v>M/s Integration Builders and Enterprises</v>
      </c>
      <c r="D24" s="675" t="str">
        <f>'Anx C '!D22</f>
        <v>Sewerage</v>
      </c>
      <c r="E24" s="675">
        <f>'Anx C '!E22</f>
        <v>11.282</v>
      </c>
      <c r="F24" s="675">
        <f>'Anx C '!F22</f>
        <v>10.772</v>
      </c>
      <c r="G24" s="672"/>
      <c r="H24" s="676">
        <f>'Anx C '!G22*95.48/100</f>
        <v>0</v>
      </c>
      <c r="I24" s="532">
        <f t="shared" si="11"/>
        <v>0</v>
      </c>
      <c r="J24" s="532">
        <f t="shared" si="12"/>
        <v>0</v>
      </c>
      <c r="K24" s="316">
        <v>0</v>
      </c>
      <c r="L24" s="736"/>
      <c r="M24" s="533">
        <f t="shared" si="4"/>
        <v>0</v>
      </c>
      <c r="N24" s="316">
        <f>'Anx C '!H22*95.48/100</f>
        <v>5.8223703999999996</v>
      </c>
      <c r="O24" s="316">
        <f t="shared" si="2"/>
        <v>0.29111851999999999</v>
      </c>
      <c r="P24" s="915">
        <f>'Anx F Contr '!G121</f>
        <v>0.36576499999999995</v>
      </c>
      <c r="Q24" s="532">
        <f t="shared" si="3"/>
        <v>0.38718763159999997</v>
      </c>
      <c r="R24" s="316"/>
      <c r="S24" s="533">
        <f t="shared" si="5"/>
        <v>4.7782992483999998</v>
      </c>
      <c r="T24" s="736">
        <v>2.9646327783999995</v>
      </c>
      <c r="U24" s="316">
        <f>'Anx C '!I22*95.48/100</f>
        <v>0</v>
      </c>
      <c r="V24" s="316">
        <f t="shared" si="13"/>
        <v>0</v>
      </c>
      <c r="W24" s="532">
        <f t="shared" si="6"/>
        <v>0</v>
      </c>
      <c r="X24" s="532">
        <f t="shared" si="7"/>
        <v>0</v>
      </c>
      <c r="Y24" s="736"/>
      <c r="Z24" s="535">
        <f t="shared" si="8"/>
        <v>0</v>
      </c>
      <c r="AA24" s="316">
        <v>0</v>
      </c>
      <c r="AB24" s="316">
        <v>0</v>
      </c>
      <c r="AC24" s="316">
        <v>0</v>
      </c>
      <c r="AD24" s="316">
        <v>0</v>
      </c>
      <c r="AE24" s="316"/>
      <c r="AF24" s="316">
        <v>0</v>
      </c>
      <c r="AG24" s="316">
        <v>5.8223703999999996</v>
      </c>
      <c r="AH24" s="316">
        <v>0.29111851999999999</v>
      </c>
      <c r="AI24" s="915">
        <v>0.36576499999999995</v>
      </c>
      <c r="AJ24" s="532">
        <v>0.38718763159999997</v>
      </c>
      <c r="AK24" s="316"/>
      <c r="AL24" s="533">
        <v>4.7782992483999998</v>
      </c>
      <c r="AM24" s="736">
        <v>2.9646327783999995</v>
      </c>
      <c r="AN24" s="316">
        <v>2.0528200000000001</v>
      </c>
      <c r="AO24" s="316">
        <v>0.10264100000000001</v>
      </c>
      <c r="AP24" s="677"/>
      <c r="AQ24" s="532">
        <v>0.13651252999999999</v>
      </c>
      <c r="AR24" s="736"/>
      <c r="AS24" s="535">
        <v>1.81366647</v>
      </c>
      <c r="AU24" s="223"/>
      <c r="AV24" s="249"/>
      <c r="AW24" s="515"/>
      <c r="AX24" s="516"/>
    </row>
    <row r="25" spans="1:50" ht="39.75" thickTop="1" thickBot="1" x14ac:dyDescent="0.3">
      <c r="A25" s="539">
        <f t="shared" si="9"/>
        <v>19</v>
      </c>
      <c r="B25" s="675" t="str">
        <f>'Anx C '!B23</f>
        <v>C/2022/P0460/Chahar Bagh Sch-Lhr-Petty-29</v>
      </c>
      <c r="C25" s="675" t="str">
        <f>'Anx C '!C23</f>
        <v>M/s Ejaz &amp; Co</v>
      </c>
      <c r="D25" s="675" t="str">
        <f>'Anx C '!D23</f>
        <v>Sewerage</v>
      </c>
      <c r="E25" s="675">
        <f>'Anx C '!E23</f>
        <v>10.231999999999999</v>
      </c>
      <c r="F25" s="675">
        <f>'Anx C '!F23</f>
        <v>9.9120000000000008</v>
      </c>
      <c r="G25" s="672"/>
      <c r="H25" s="676">
        <f>'Anx C '!G23*96.87/100</f>
        <v>0</v>
      </c>
      <c r="I25" s="761">
        <f t="shared" ref="I25:I37" si="14">H25*5/100</f>
        <v>0</v>
      </c>
      <c r="J25" s="761">
        <f t="shared" si="12"/>
        <v>0</v>
      </c>
      <c r="K25" s="677">
        <v>0</v>
      </c>
      <c r="L25" s="475"/>
      <c r="M25" s="762">
        <f t="shared" ref="M25:M30" si="15">H25-I25-J25-K25</f>
        <v>0</v>
      </c>
      <c r="N25" s="677">
        <f>'Anx C '!H23*96.87/100</f>
        <v>1.3949279999999999</v>
      </c>
      <c r="O25" s="677">
        <f t="shared" si="2"/>
        <v>6.97464E-2</v>
      </c>
      <c r="P25" s="916">
        <f>'Anx F Contr '!G126</f>
        <v>0.155</v>
      </c>
      <c r="Q25" s="761">
        <f t="shared" si="3"/>
        <v>9.2762711999999983E-2</v>
      </c>
      <c r="R25" s="677"/>
      <c r="S25" s="762">
        <f t="shared" si="5"/>
        <v>1.0774188879999997</v>
      </c>
      <c r="T25" s="475">
        <v>0.71881922544999988</v>
      </c>
      <c r="U25" s="677">
        <f>'Anx C '!I23*96.87/100</f>
        <v>0</v>
      </c>
      <c r="V25" s="677">
        <f t="shared" ref="V25:V36" si="16">U25*5/100</f>
        <v>0</v>
      </c>
      <c r="W25" s="532">
        <f t="shared" si="6"/>
        <v>0</v>
      </c>
      <c r="X25" s="761">
        <f t="shared" si="7"/>
        <v>0</v>
      </c>
      <c r="Y25" s="475"/>
      <c r="Z25" s="763">
        <f t="shared" si="8"/>
        <v>0</v>
      </c>
      <c r="AA25" s="316">
        <v>0</v>
      </c>
      <c r="AB25" s="316">
        <v>0</v>
      </c>
      <c r="AC25" s="316">
        <v>0</v>
      </c>
      <c r="AD25" s="316">
        <v>0</v>
      </c>
      <c r="AE25" s="316"/>
      <c r="AF25" s="316">
        <v>0</v>
      </c>
      <c r="AG25" s="677">
        <v>1.3949279999999999</v>
      </c>
      <c r="AH25" s="677">
        <v>6.97464E-2</v>
      </c>
      <c r="AI25" s="916">
        <v>0.155</v>
      </c>
      <c r="AJ25" s="761">
        <v>9.2762711999999983E-2</v>
      </c>
      <c r="AK25" s="677"/>
      <c r="AL25" s="762">
        <v>1.0774188879999997</v>
      </c>
      <c r="AM25" s="475">
        <v>0.71881922544999988</v>
      </c>
      <c r="AN25" s="677">
        <v>0.4058853</v>
      </c>
      <c r="AO25" s="677">
        <v>2.0294264999999999E-2</v>
      </c>
      <c r="AP25" s="677"/>
      <c r="AQ25" s="761">
        <v>2.6991372450000002E-2</v>
      </c>
      <c r="AR25" s="475"/>
      <c r="AS25" s="763">
        <v>0.35859966255000003</v>
      </c>
      <c r="AU25" s="223"/>
      <c r="AV25" s="249"/>
      <c r="AW25" s="515"/>
      <c r="AX25" s="516"/>
    </row>
    <row r="26" spans="1:50" ht="39.75" thickTop="1" thickBot="1" x14ac:dyDescent="0.3">
      <c r="A26" s="539">
        <f t="shared" si="9"/>
        <v>20</v>
      </c>
      <c r="B26" s="900" t="str">
        <f>'Anx C '!B24</f>
        <v>C/2022/P0460/Chaharbagh Sch-Lhr-01</v>
      </c>
      <c r="C26" s="675" t="str">
        <f>'Anx C '!C24</f>
        <v>M/s Z.K Builders</v>
      </c>
      <c r="D26" s="675" t="str">
        <f>'Anx C '!D24</f>
        <v>OWHT 1,2 &amp; 4</v>
      </c>
      <c r="E26" s="675"/>
      <c r="F26" s="675"/>
      <c r="G26" s="567"/>
      <c r="H26" s="316">
        <f>'Anx C '!G24*96.87/100</f>
        <v>0</v>
      </c>
      <c r="I26" s="316">
        <f t="shared" si="14"/>
        <v>0</v>
      </c>
      <c r="J26" s="316">
        <f t="shared" si="12"/>
        <v>0</v>
      </c>
      <c r="K26" s="316">
        <v>0</v>
      </c>
      <c r="L26" s="242"/>
      <c r="M26" s="316">
        <f t="shared" si="15"/>
        <v>0</v>
      </c>
      <c r="N26" s="677">
        <v>0</v>
      </c>
      <c r="O26" s="677">
        <f t="shared" si="2"/>
        <v>0</v>
      </c>
      <c r="P26" s="677">
        <v>0</v>
      </c>
      <c r="Q26" s="761">
        <f t="shared" si="3"/>
        <v>0</v>
      </c>
      <c r="R26" s="242"/>
      <c r="S26" s="762">
        <f t="shared" si="5"/>
        <v>0</v>
      </c>
      <c r="T26" s="475">
        <v>0</v>
      </c>
      <c r="U26" s="677">
        <v>0</v>
      </c>
      <c r="V26" s="677">
        <f t="shared" si="16"/>
        <v>0</v>
      </c>
      <c r="W26" s="532">
        <f t="shared" si="6"/>
        <v>0</v>
      </c>
      <c r="X26" s="761">
        <f t="shared" si="7"/>
        <v>0</v>
      </c>
      <c r="Y26" s="319"/>
      <c r="Z26" s="763">
        <f t="shared" si="8"/>
        <v>0</v>
      </c>
      <c r="AA26" s="316">
        <v>0</v>
      </c>
      <c r="AB26" s="316">
        <v>0</v>
      </c>
      <c r="AC26" s="316">
        <v>0</v>
      </c>
      <c r="AD26" s="316">
        <v>0</v>
      </c>
      <c r="AE26" s="316"/>
      <c r="AF26" s="316">
        <v>0</v>
      </c>
      <c r="AG26" s="677">
        <v>0</v>
      </c>
      <c r="AH26" s="677">
        <v>0</v>
      </c>
      <c r="AI26" s="677">
        <v>0</v>
      </c>
      <c r="AJ26" s="761">
        <v>0</v>
      </c>
      <c r="AK26" s="242"/>
      <c r="AL26" s="762">
        <v>0</v>
      </c>
      <c r="AM26" s="475">
        <v>0</v>
      </c>
      <c r="AN26" s="677">
        <v>0</v>
      </c>
      <c r="AO26" s="677">
        <v>0</v>
      </c>
      <c r="AP26" s="677">
        <v>0</v>
      </c>
      <c r="AQ26" s="761">
        <v>0</v>
      </c>
      <c r="AR26" s="319"/>
      <c r="AS26" s="763">
        <v>0</v>
      </c>
    </row>
    <row r="27" spans="1:50" ht="39.75" thickTop="1" thickBot="1" x14ac:dyDescent="0.3">
      <c r="A27" s="539">
        <f t="shared" si="9"/>
        <v>21</v>
      </c>
      <c r="B27" s="900" t="str">
        <f>'Anx C '!B25</f>
        <v>C/2022/P0460/Chaharbagh Sch-Lhr-02</v>
      </c>
      <c r="C27" s="675" t="str">
        <f>'Anx C '!C25</f>
        <v>M/s Bhatti Associates</v>
      </c>
      <c r="D27" s="675" t="str">
        <f>'Anx C '!D25</f>
        <v>OWHT 3</v>
      </c>
      <c r="E27" s="675"/>
      <c r="F27" s="675"/>
      <c r="G27" s="760"/>
      <c r="H27" s="316">
        <f>'Anx C '!G25*96.87/100</f>
        <v>0</v>
      </c>
      <c r="I27" s="316">
        <f t="shared" si="14"/>
        <v>0</v>
      </c>
      <c r="J27" s="316">
        <f t="shared" si="12"/>
        <v>0</v>
      </c>
      <c r="K27" s="316">
        <v>0</v>
      </c>
      <c r="L27" s="242"/>
      <c r="M27" s="316">
        <f t="shared" si="15"/>
        <v>0</v>
      </c>
      <c r="N27" s="677">
        <v>0</v>
      </c>
      <c r="O27" s="677">
        <f t="shared" si="2"/>
        <v>0</v>
      </c>
      <c r="P27" s="677">
        <f>'Anx F Contr '!G323</f>
        <v>0</v>
      </c>
      <c r="Q27" s="761">
        <f t="shared" si="3"/>
        <v>0</v>
      </c>
      <c r="R27" s="242"/>
      <c r="S27" s="762">
        <f t="shared" si="5"/>
        <v>0</v>
      </c>
      <c r="T27" s="475">
        <v>0</v>
      </c>
      <c r="U27" s="677">
        <v>0</v>
      </c>
      <c r="V27" s="677">
        <f t="shared" si="16"/>
        <v>0</v>
      </c>
      <c r="W27" s="532">
        <f t="shared" si="6"/>
        <v>0</v>
      </c>
      <c r="X27" s="761">
        <f t="shared" si="7"/>
        <v>0</v>
      </c>
      <c r="Y27" s="319"/>
      <c r="Z27" s="763">
        <f t="shared" si="8"/>
        <v>0</v>
      </c>
      <c r="AA27" s="316">
        <v>0</v>
      </c>
      <c r="AB27" s="316">
        <v>0</v>
      </c>
      <c r="AC27" s="316">
        <v>0</v>
      </c>
      <c r="AD27" s="316">
        <v>0</v>
      </c>
      <c r="AE27" s="316"/>
      <c r="AF27" s="316">
        <v>0</v>
      </c>
      <c r="AG27" s="677">
        <v>0</v>
      </c>
      <c r="AH27" s="677">
        <v>0</v>
      </c>
      <c r="AI27" s="677">
        <v>0</v>
      </c>
      <c r="AJ27" s="761">
        <v>0</v>
      </c>
      <c r="AK27" s="242"/>
      <c r="AL27" s="762">
        <v>0</v>
      </c>
      <c r="AM27" s="475">
        <v>0</v>
      </c>
      <c r="AN27" s="677">
        <v>0</v>
      </c>
      <c r="AO27" s="677">
        <v>0</v>
      </c>
      <c r="AP27" s="677">
        <v>0</v>
      </c>
      <c r="AQ27" s="761">
        <v>0</v>
      </c>
      <c r="AR27" s="319"/>
      <c r="AS27" s="763">
        <v>0</v>
      </c>
    </row>
    <row r="28" spans="1:50" ht="39.75" thickTop="1" thickBot="1" x14ac:dyDescent="0.3">
      <c r="A28" s="539">
        <f t="shared" si="9"/>
        <v>22</v>
      </c>
      <c r="B28" s="900" t="str">
        <f>'Anx C '!B26</f>
        <v>C/2022/P0460/Chaharbagh Sch-Lhr-Petty-23</v>
      </c>
      <c r="C28" s="675" t="str">
        <f>'Anx C '!C26</f>
        <v>M/s Bhatti Associates</v>
      </c>
      <c r="D28" s="675" t="str">
        <f>'Anx C '!D26</f>
        <v>OWHT 5</v>
      </c>
      <c r="E28" s="675"/>
      <c r="F28" s="675"/>
      <c r="G28" s="760"/>
      <c r="H28" s="316">
        <f>'Anx C '!G26*96.87/100</f>
        <v>0</v>
      </c>
      <c r="I28" s="316">
        <f t="shared" si="14"/>
        <v>0</v>
      </c>
      <c r="J28" s="316">
        <f t="shared" si="12"/>
        <v>0</v>
      </c>
      <c r="K28" s="316">
        <v>0</v>
      </c>
      <c r="L28" s="242"/>
      <c r="M28" s="316">
        <f t="shared" si="15"/>
        <v>0</v>
      </c>
      <c r="N28" s="677">
        <v>0</v>
      </c>
      <c r="O28" s="677">
        <f t="shared" si="2"/>
        <v>0</v>
      </c>
      <c r="P28" s="677">
        <f>'Anx F Contr '!G324</f>
        <v>0</v>
      </c>
      <c r="Q28" s="761">
        <f t="shared" si="3"/>
        <v>0</v>
      </c>
      <c r="R28" s="242"/>
      <c r="S28" s="762">
        <f t="shared" si="5"/>
        <v>0</v>
      </c>
      <c r="T28" s="475">
        <v>0</v>
      </c>
      <c r="U28" s="677">
        <v>0</v>
      </c>
      <c r="V28" s="677">
        <f t="shared" si="16"/>
        <v>0</v>
      </c>
      <c r="W28" s="532">
        <f t="shared" si="6"/>
        <v>0</v>
      </c>
      <c r="X28" s="761">
        <f t="shared" si="7"/>
        <v>0</v>
      </c>
      <c r="Y28" s="319"/>
      <c r="Z28" s="763">
        <f t="shared" si="8"/>
        <v>0</v>
      </c>
      <c r="AA28" s="316">
        <v>0</v>
      </c>
      <c r="AB28" s="316">
        <v>0</v>
      </c>
      <c r="AC28" s="316">
        <v>0</v>
      </c>
      <c r="AD28" s="316">
        <v>0</v>
      </c>
      <c r="AE28" s="316"/>
      <c r="AF28" s="316">
        <v>0</v>
      </c>
      <c r="AG28" s="677">
        <v>0</v>
      </c>
      <c r="AH28" s="677">
        <v>0</v>
      </c>
      <c r="AI28" s="677">
        <v>0</v>
      </c>
      <c r="AJ28" s="761">
        <v>0</v>
      </c>
      <c r="AK28" s="242"/>
      <c r="AL28" s="762">
        <v>0</v>
      </c>
      <c r="AM28" s="475">
        <v>0</v>
      </c>
      <c r="AN28" s="677">
        <v>0</v>
      </c>
      <c r="AO28" s="677">
        <v>0</v>
      </c>
      <c r="AP28" s="677">
        <v>0</v>
      </c>
      <c r="AQ28" s="761">
        <v>0</v>
      </c>
      <c r="AR28" s="319"/>
      <c r="AS28" s="763">
        <v>0</v>
      </c>
    </row>
    <row r="29" spans="1:50" ht="39.75" thickTop="1" thickBot="1" x14ac:dyDescent="0.3">
      <c r="A29" s="539">
        <f t="shared" si="9"/>
        <v>23</v>
      </c>
      <c r="B29" s="675" t="str">
        <f>'Anx C '!B27</f>
        <v>C/2022/P0460/Chaharbagh Sch-Lhr-Petty-32</v>
      </c>
      <c r="C29" s="675" t="str">
        <f>'Anx C '!C27</f>
        <v>RBS</v>
      </c>
      <c r="D29" s="675" t="str">
        <f>'Anx C '!D27</f>
        <v>Asphalt</v>
      </c>
      <c r="E29" s="675">
        <f>'Anx C '!E27</f>
        <v>13.673999999999999</v>
      </c>
      <c r="F29" s="675">
        <f>'Anx C '!F27</f>
        <v>12.238</v>
      </c>
      <c r="G29" s="760"/>
      <c r="H29" s="677">
        <f>'Anx C '!G27*89.498/100</f>
        <v>0</v>
      </c>
      <c r="I29" s="677">
        <f t="shared" si="14"/>
        <v>0</v>
      </c>
      <c r="J29" s="677">
        <f t="shared" si="12"/>
        <v>0</v>
      </c>
      <c r="K29" s="677">
        <v>0</v>
      </c>
      <c r="L29" s="783"/>
      <c r="M29" s="677">
        <f t="shared" si="15"/>
        <v>0</v>
      </c>
      <c r="N29" s="677">
        <f>'Anx C '!H27*89.498/100</f>
        <v>12.237956520000001</v>
      </c>
      <c r="O29" s="677">
        <f t="shared" si="2"/>
        <v>0.61189782599999998</v>
      </c>
      <c r="P29" s="677">
        <f>'Anx F Contr '!G325</f>
        <v>0</v>
      </c>
      <c r="Q29" s="761">
        <f>(N29-O29)*7/100</f>
        <v>0.81382410858000009</v>
      </c>
      <c r="R29" s="783"/>
      <c r="S29" s="762">
        <f>N29-O29-P29-Q29</f>
        <v>10.812234585420001</v>
      </c>
      <c r="T29" s="475">
        <v>11.703114804778199</v>
      </c>
      <c r="U29" s="677">
        <f>'Anx C '!I27*89.498/100</f>
        <v>0</v>
      </c>
      <c r="V29" s="677">
        <f t="shared" si="16"/>
        <v>0</v>
      </c>
      <c r="W29" s="532">
        <f t="shared" si="6"/>
        <v>0</v>
      </c>
      <c r="X29" s="761">
        <f t="shared" si="7"/>
        <v>0</v>
      </c>
      <c r="Y29" s="784"/>
      <c r="Z29" s="763">
        <f>U29-V29-W29-X29</f>
        <v>0</v>
      </c>
      <c r="AA29" s="316">
        <v>0</v>
      </c>
      <c r="AB29" s="316">
        <v>0</v>
      </c>
      <c r="AC29" s="316">
        <v>0</v>
      </c>
      <c r="AD29" s="316">
        <v>0</v>
      </c>
      <c r="AE29" s="316"/>
      <c r="AF29" s="316">
        <v>0</v>
      </c>
      <c r="AG29" s="677">
        <v>12.237956520000001</v>
      </c>
      <c r="AH29" s="677">
        <v>0.61189782599999998</v>
      </c>
      <c r="AI29" s="677">
        <v>0</v>
      </c>
      <c r="AJ29" s="761">
        <v>0.81382410858000009</v>
      </c>
      <c r="AK29" s="783"/>
      <c r="AL29" s="762">
        <v>10.812234585420001</v>
      </c>
      <c r="AM29" s="475">
        <v>11.703114804778199</v>
      </c>
      <c r="AN29" s="677">
        <v>0</v>
      </c>
      <c r="AO29" s="677">
        <v>0</v>
      </c>
      <c r="AP29" s="677">
        <v>0</v>
      </c>
      <c r="AQ29" s="761">
        <v>0</v>
      </c>
      <c r="AR29" s="784"/>
      <c r="AS29" s="763">
        <v>0</v>
      </c>
    </row>
    <row r="30" spans="1:50" ht="39.75" thickTop="1" thickBot="1" x14ac:dyDescent="0.3">
      <c r="A30" s="539">
        <f t="shared" si="9"/>
        <v>24</v>
      </c>
      <c r="B30" s="675" t="str">
        <f>'Anx C '!B28</f>
        <v>C/2022/P0460/Chaharbagh Sch-Lhr-Petty-33</v>
      </c>
      <c r="C30" s="920" t="str">
        <f>'Anx C '!C28</f>
        <v>M/s Junaid Sindhu</v>
      </c>
      <c r="D30" s="675" t="str">
        <f>'Anx C '!D28</f>
        <v>Sub Base &amp; base Course</v>
      </c>
      <c r="E30" s="675">
        <f>'Anx C '!E28</f>
        <v>16.776</v>
      </c>
      <c r="F30" s="675">
        <f>'Anx C '!F28</f>
        <v>14.342000000000001</v>
      </c>
      <c r="G30" s="242"/>
      <c r="H30" s="677">
        <f>'Anx C '!G28*89.498/100</f>
        <v>0</v>
      </c>
      <c r="I30" s="677">
        <f t="shared" si="14"/>
        <v>0</v>
      </c>
      <c r="J30" s="677">
        <f t="shared" si="12"/>
        <v>0</v>
      </c>
      <c r="K30" s="677">
        <v>0</v>
      </c>
      <c r="L30" s="242"/>
      <c r="M30" s="677">
        <f t="shared" si="15"/>
        <v>0</v>
      </c>
      <c r="N30" s="677">
        <f>'Anx C '!H28*85.491/100</f>
        <v>6.1904221180199999</v>
      </c>
      <c r="O30" s="677">
        <f t="shared" si="2"/>
        <v>0.30952110590099996</v>
      </c>
      <c r="P30" s="916">
        <f>+'Anx F Contr '!G154</f>
        <v>5.5949549999999997</v>
      </c>
      <c r="Q30" s="761">
        <f t="shared" ref="Q30:Q58" si="17">(N30-O30)*8/100</f>
        <v>0.47047208096951998</v>
      </c>
      <c r="R30" s="242"/>
      <c r="S30" s="762">
        <f t="shared" ref="S30:S36" si="18">N30-O30-P30-Q30</f>
        <v>-0.18452606885051992</v>
      </c>
      <c r="T30" s="316"/>
      <c r="U30" s="677">
        <f>'Anx C '!I28*85.491/100</f>
        <v>0</v>
      </c>
      <c r="V30" s="677">
        <f t="shared" si="16"/>
        <v>0</v>
      </c>
      <c r="W30" s="532">
        <f t="shared" si="6"/>
        <v>0</v>
      </c>
      <c r="X30" s="761">
        <f t="shared" ref="X30:X58" si="19">(U30-V30)*8/100</f>
        <v>0</v>
      </c>
      <c r="Y30" s="319"/>
      <c r="Z30" s="763">
        <f t="shared" ref="Z30:Z36" si="20">U30-V30-W30-X30</f>
        <v>0</v>
      </c>
      <c r="AA30" s="316">
        <v>0</v>
      </c>
      <c r="AB30" s="316">
        <v>0</v>
      </c>
      <c r="AC30" s="316">
        <v>0</v>
      </c>
      <c r="AD30" s="316">
        <v>0</v>
      </c>
      <c r="AE30" s="316"/>
      <c r="AF30" s="316">
        <v>0</v>
      </c>
      <c r="AG30" s="677">
        <v>6.1904221180199999</v>
      </c>
      <c r="AH30" s="677">
        <v>0.30952110590099996</v>
      </c>
      <c r="AI30" s="916">
        <v>5.5949549999999997</v>
      </c>
      <c r="AJ30" s="761">
        <v>0.47047208096951998</v>
      </c>
      <c r="AK30" s="242"/>
      <c r="AL30" s="762">
        <v>-0.18452606885051992</v>
      </c>
      <c r="AM30" s="316"/>
      <c r="AN30" s="677">
        <v>6.1904221180199999</v>
      </c>
      <c r="AO30" s="677">
        <v>0.30952110590099996</v>
      </c>
      <c r="AP30" s="677">
        <v>5.5949549999999997</v>
      </c>
      <c r="AQ30" s="761">
        <v>0.47047208096951998</v>
      </c>
      <c r="AR30" s="319"/>
      <c r="AS30" s="763">
        <v>-0.18452606885051992</v>
      </c>
    </row>
    <row r="31" spans="1:50" ht="39.75" thickTop="1" thickBot="1" x14ac:dyDescent="0.3">
      <c r="A31" s="539">
        <f t="shared" si="9"/>
        <v>25</v>
      </c>
      <c r="B31" s="675" t="str">
        <f>'Anx C '!B29</f>
        <v>C/2022/P0460/Chaharbagh Sch-Lhr-Petty-35</v>
      </c>
      <c r="C31" s="920" t="str">
        <f>'Anx C '!C29</f>
        <v>M/s Junaid Sindhu</v>
      </c>
      <c r="D31" s="675" t="str">
        <f>'Anx C '!D29</f>
        <v>Sub Base &amp; base Course</v>
      </c>
      <c r="E31" s="675">
        <f>'Anx C '!E29</f>
        <v>17.399000000000001</v>
      </c>
      <c r="F31" s="675">
        <f>'Anx C '!F29</f>
        <v>14.875</v>
      </c>
      <c r="G31" s="242"/>
      <c r="H31" s="677">
        <f>'Anx C '!G29*89.498/100</f>
        <v>0</v>
      </c>
      <c r="I31" s="677">
        <f t="shared" si="14"/>
        <v>0</v>
      </c>
      <c r="J31" s="677">
        <f t="shared" si="12"/>
        <v>0</v>
      </c>
      <c r="K31" s="677">
        <v>0</v>
      </c>
      <c r="L31" s="242"/>
      <c r="M31" s="677">
        <f t="shared" ref="M31:M36" si="21">H31-I31-J31-K31</f>
        <v>0</v>
      </c>
      <c r="N31" s="677">
        <f>'Anx C '!H29*85.493/100</f>
        <v>5.0192666722399988</v>
      </c>
      <c r="O31" s="677">
        <f t="shared" si="2"/>
        <v>0.25096333361199996</v>
      </c>
      <c r="P31" s="677">
        <f>+'Anx F Contr '!G161</f>
        <v>6.8338820000000009</v>
      </c>
      <c r="Q31" s="761">
        <f t="shared" si="17"/>
        <v>0.38146426709023989</v>
      </c>
      <c r="R31" s="242"/>
      <c r="S31" s="762">
        <f t="shared" si="18"/>
        <v>-2.4470429284622419</v>
      </c>
      <c r="T31" s="316"/>
      <c r="U31" s="677">
        <f>'Anx C '!I29*85.493/100</f>
        <v>0</v>
      </c>
      <c r="V31" s="677">
        <f t="shared" si="16"/>
        <v>0</v>
      </c>
      <c r="W31" s="532">
        <f t="shared" si="6"/>
        <v>0</v>
      </c>
      <c r="X31" s="761">
        <f t="shared" si="19"/>
        <v>0</v>
      </c>
      <c r="Y31" s="319"/>
      <c r="Z31" s="763">
        <f t="shared" si="20"/>
        <v>0</v>
      </c>
      <c r="AA31" s="316">
        <v>0</v>
      </c>
      <c r="AB31" s="316">
        <v>0</v>
      </c>
      <c r="AC31" s="316">
        <v>0</v>
      </c>
      <c r="AD31" s="316">
        <v>0</v>
      </c>
      <c r="AE31" s="316"/>
      <c r="AF31" s="316">
        <v>0</v>
      </c>
      <c r="AG31" s="677">
        <v>5.0192666722399988</v>
      </c>
      <c r="AH31" s="677">
        <v>0.25096333361199996</v>
      </c>
      <c r="AI31" s="677">
        <v>6.8338820000000009</v>
      </c>
      <c r="AJ31" s="761">
        <v>0.38146426709023989</v>
      </c>
      <c r="AK31" s="242"/>
      <c r="AL31" s="762">
        <v>-2.4470429284622419</v>
      </c>
      <c r="AM31" s="316"/>
      <c r="AN31" s="677">
        <v>5.0192666722399988</v>
      </c>
      <c r="AO31" s="677">
        <v>0.25096333361199996</v>
      </c>
      <c r="AP31" s="677">
        <v>6.8338820000000009</v>
      </c>
      <c r="AQ31" s="761">
        <v>0.38146426709023989</v>
      </c>
      <c r="AR31" s="319"/>
      <c r="AS31" s="763">
        <v>-2.4470429284622419</v>
      </c>
    </row>
    <row r="32" spans="1:50" ht="39.75" thickTop="1" thickBot="1" x14ac:dyDescent="0.3">
      <c r="A32" s="539">
        <f t="shared" si="9"/>
        <v>26</v>
      </c>
      <c r="B32" s="675" t="str">
        <f>'Anx C '!B30</f>
        <v>C/2022/P0460/Chaharbagh Sch-Lhr-Petty-36</v>
      </c>
      <c r="C32" s="920" t="str">
        <f>'Anx C '!C30</f>
        <v>M/s Junaid Sindhu</v>
      </c>
      <c r="D32" s="675" t="str">
        <f>'Anx C '!D30</f>
        <v>Sub Base &amp; base Course</v>
      </c>
      <c r="E32" s="675">
        <f>'Anx C '!E30</f>
        <v>16.594999999999999</v>
      </c>
      <c r="F32" s="675">
        <f>'Anx C '!F30</f>
        <v>14.188000000000001</v>
      </c>
      <c r="G32" s="783"/>
      <c r="H32" s="677">
        <f>'Anx C '!G30*89.498/100</f>
        <v>0</v>
      </c>
      <c r="I32" s="677">
        <f t="shared" si="14"/>
        <v>0</v>
      </c>
      <c r="J32" s="677">
        <f t="shared" si="12"/>
        <v>0</v>
      </c>
      <c r="K32" s="677">
        <v>0</v>
      </c>
      <c r="L32" s="783"/>
      <c r="M32" s="677">
        <f t="shared" si="21"/>
        <v>0</v>
      </c>
      <c r="N32" s="677">
        <f>'Anx C '!H30*85.496/100</f>
        <v>7.8681558419199993</v>
      </c>
      <c r="O32" s="677">
        <f t="shared" si="2"/>
        <v>0.39340779209599996</v>
      </c>
      <c r="P32" s="677">
        <f>+'Anx F Contr '!G168</f>
        <v>10.719453</v>
      </c>
      <c r="Q32" s="761">
        <f t="shared" si="17"/>
        <v>0.59797984398591997</v>
      </c>
      <c r="R32" s="783"/>
      <c r="S32" s="762">
        <f t="shared" si="18"/>
        <v>-3.8426847941619204</v>
      </c>
      <c r="T32" s="677"/>
      <c r="U32" s="677">
        <f>'Anx C '!I30*85.496/100</f>
        <v>0</v>
      </c>
      <c r="V32" s="677">
        <f t="shared" si="16"/>
        <v>0</v>
      </c>
      <c r="W32" s="532">
        <f t="shared" si="6"/>
        <v>0</v>
      </c>
      <c r="X32" s="761">
        <f t="shared" si="19"/>
        <v>0</v>
      </c>
      <c r="Y32" s="784"/>
      <c r="Z32" s="763">
        <f t="shared" si="20"/>
        <v>0</v>
      </c>
      <c r="AA32" s="316">
        <v>0</v>
      </c>
      <c r="AB32" s="316">
        <v>0</v>
      </c>
      <c r="AC32" s="316">
        <v>0</v>
      </c>
      <c r="AD32" s="316">
        <v>0</v>
      </c>
      <c r="AE32" s="316"/>
      <c r="AF32" s="316">
        <v>0</v>
      </c>
      <c r="AG32" s="677">
        <v>7.8681558419199993</v>
      </c>
      <c r="AH32" s="677">
        <v>0.39340779209599996</v>
      </c>
      <c r="AI32" s="677">
        <v>10.719453</v>
      </c>
      <c r="AJ32" s="761">
        <v>0.59797984398591997</v>
      </c>
      <c r="AK32" s="783"/>
      <c r="AL32" s="762">
        <v>-3.8426847941619204</v>
      </c>
      <c r="AM32" s="677"/>
      <c r="AN32" s="677">
        <v>7.8681558419199993</v>
      </c>
      <c r="AO32" s="677">
        <v>0.39340779209599996</v>
      </c>
      <c r="AP32" s="677">
        <v>10.719453</v>
      </c>
      <c r="AQ32" s="761">
        <v>0.59797984398591997</v>
      </c>
      <c r="AR32" s="784"/>
      <c r="AS32" s="763">
        <v>-3.8426847941619204</v>
      </c>
    </row>
    <row r="33" spans="1:45" ht="39.75" thickTop="1" thickBot="1" x14ac:dyDescent="0.3">
      <c r="A33" s="539">
        <f t="shared" si="9"/>
        <v>27</v>
      </c>
      <c r="B33" s="675" t="str">
        <f>'Anx C '!B31</f>
        <v>C/2022/P0460/Chaharbagh Sch-Lhr-Petty-44</v>
      </c>
      <c r="C33" s="675" t="str">
        <f>'Anx C '!C31</f>
        <v>RBS</v>
      </c>
      <c r="D33" s="675" t="str">
        <f>'Anx C '!D31</f>
        <v>Asphalt</v>
      </c>
      <c r="E33" s="733">
        <f>'Anx C '!E31</f>
        <v>15.852755999999999</v>
      </c>
      <c r="F33" s="733">
        <f>'Anx C '!F31</f>
        <v>14.285423</v>
      </c>
      <c r="G33" s="783"/>
      <c r="H33" s="677">
        <f>'Anx C '!G31*90.113/100</f>
        <v>0</v>
      </c>
      <c r="I33" s="677">
        <f t="shared" si="14"/>
        <v>0</v>
      </c>
      <c r="J33" s="677">
        <f t="shared" si="12"/>
        <v>0</v>
      </c>
      <c r="K33" s="677">
        <v>0</v>
      </c>
      <c r="L33" s="783"/>
      <c r="M33" s="677">
        <f t="shared" si="21"/>
        <v>0</v>
      </c>
      <c r="N33" s="677">
        <f>'Anx C '!H31*90.113/100</f>
        <v>14.275701460000001</v>
      </c>
      <c r="O33" s="677">
        <f t="shared" si="2"/>
        <v>0.71378507299999994</v>
      </c>
      <c r="P33" s="677">
        <f>'Anx F Contr '!G329</f>
        <v>0</v>
      </c>
      <c r="Q33" s="761">
        <f t="shared" si="17"/>
        <v>1.08495331096</v>
      </c>
      <c r="R33" s="783"/>
      <c r="S33" s="762">
        <f t="shared" si="18"/>
        <v>12.476963076040001</v>
      </c>
      <c r="T33" s="677"/>
      <c r="U33" s="677">
        <f>'Anx C '!I31*90.113/100</f>
        <v>0</v>
      </c>
      <c r="V33" s="677">
        <f t="shared" si="16"/>
        <v>0</v>
      </c>
      <c r="W33" s="532">
        <f t="shared" si="6"/>
        <v>0</v>
      </c>
      <c r="X33" s="761">
        <f t="shared" si="19"/>
        <v>0</v>
      </c>
      <c r="Y33" s="784"/>
      <c r="Z33" s="763">
        <f t="shared" si="20"/>
        <v>0</v>
      </c>
      <c r="AA33" s="316">
        <v>0</v>
      </c>
      <c r="AB33" s="316">
        <v>0</v>
      </c>
      <c r="AC33" s="316">
        <v>0</v>
      </c>
      <c r="AD33" s="316">
        <v>0</v>
      </c>
      <c r="AE33" s="316"/>
      <c r="AF33" s="316">
        <v>0</v>
      </c>
      <c r="AG33" s="677">
        <v>14.275701460000001</v>
      </c>
      <c r="AH33" s="677">
        <v>0.71378507299999994</v>
      </c>
      <c r="AI33" s="677">
        <v>0</v>
      </c>
      <c r="AJ33" s="761">
        <v>1.08495331096</v>
      </c>
      <c r="AK33" s="783"/>
      <c r="AL33" s="762">
        <v>12.476963076040001</v>
      </c>
      <c r="AM33" s="677"/>
      <c r="AN33" s="677">
        <v>14.275701460000001</v>
      </c>
      <c r="AO33" s="677">
        <v>0.71378507299999994</v>
      </c>
      <c r="AP33" s="677">
        <v>0</v>
      </c>
      <c r="AQ33" s="761">
        <v>1.08495331096</v>
      </c>
      <c r="AR33" s="784"/>
      <c r="AS33" s="763">
        <v>12.476963076040001</v>
      </c>
    </row>
    <row r="34" spans="1:45" ht="39.75" thickTop="1" thickBot="1" x14ac:dyDescent="0.3">
      <c r="A34" s="539">
        <f t="shared" si="9"/>
        <v>28</v>
      </c>
      <c r="B34" s="675" t="str">
        <f>'Anx C '!B32</f>
        <v>C/2022/P0460/Chaharbagh Sch-Lhr-Petty-45</v>
      </c>
      <c r="C34" s="675" t="str">
        <f>'Anx C '!C32</f>
        <v>RBS</v>
      </c>
      <c r="D34" s="675" t="str">
        <f>'Anx C '!D32</f>
        <v>Asphalt</v>
      </c>
      <c r="E34" s="733">
        <f>'Anx C '!E32</f>
        <v>16.675066000000001</v>
      </c>
      <c r="F34" s="733">
        <f>'Anx C '!F32</f>
        <v>14.935874</v>
      </c>
      <c r="G34" s="783"/>
      <c r="H34" s="677">
        <f>'Anx C '!G32*89.57/100</f>
        <v>0</v>
      </c>
      <c r="I34" s="677">
        <f t="shared" si="14"/>
        <v>0</v>
      </c>
      <c r="J34" s="677">
        <f t="shared" si="12"/>
        <v>0</v>
      </c>
      <c r="K34" s="677">
        <v>0</v>
      </c>
      <c r="L34" s="783"/>
      <c r="M34" s="677">
        <f t="shared" si="21"/>
        <v>0</v>
      </c>
      <c r="N34" s="677">
        <f>'Anx C '!H32*89.57/100</f>
        <v>11.049355200000001</v>
      </c>
      <c r="O34" s="677">
        <f t="shared" si="2"/>
        <v>0.55246776000000009</v>
      </c>
      <c r="P34" s="677">
        <f>'Anx F Contr '!G330</f>
        <v>0</v>
      </c>
      <c r="Q34" s="761">
        <f t="shared" si="17"/>
        <v>0.83975099519999996</v>
      </c>
      <c r="R34" s="783"/>
      <c r="S34" s="762">
        <f t="shared" si="18"/>
        <v>9.6571364448000008</v>
      </c>
      <c r="T34" s="677"/>
      <c r="U34" s="677">
        <f>'Anx C '!I32*89.57/100</f>
        <v>0</v>
      </c>
      <c r="V34" s="677">
        <f t="shared" si="16"/>
        <v>0</v>
      </c>
      <c r="W34" s="532">
        <f t="shared" si="6"/>
        <v>0</v>
      </c>
      <c r="X34" s="761">
        <f t="shared" si="19"/>
        <v>0</v>
      </c>
      <c r="Y34" s="784"/>
      <c r="Z34" s="763">
        <f t="shared" si="20"/>
        <v>0</v>
      </c>
      <c r="AA34" s="316">
        <v>0</v>
      </c>
      <c r="AB34" s="316">
        <v>0</v>
      </c>
      <c r="AC34" s="316">
        <v>0</v>
      </c>
      <c r="AD34" s="316">
        <v>0</v>
      </c>
      <c r="AE34" s="316"/>
      <c r="AF34" s="316">
        <v>0</v>
      </c>
      <c r="AG34" s="677">
        <v>11.049355200000001</v>
      </c>
      <c r="AH34" s="677">
        <v>0.55246776000000009</v>
      </c>
      <c r="AI34" s="677">
        <v>0</v>
      </c>
      <c r="AJ34" s="761">
        <v>0.83975099519999996</v>
      </c>
      <c r="AK34" s="783"/>
      <c r="AL34" s="762">
        <v>9.6571364448000008</v>
      </c>
      <c r="AM34" s="677"/>
      <c r="AN34" s="677">
        <v>11.049355200000001</v>
      </c>
      <c r="AO34" s="677">
        <v>0.55246776000000009</v>
      </c>
      <c r="AP34" s="677">
        <v>0</v>
      </c>
      <c r="AQ34" s="761">
        <v>0.83975099519999996</v>
      </c>
      <c r="AR34" s="784"/>
      <c r="AS34" s="763">
        <v>9.6571364448000008</v>
      </c>
    </row>
    <row r="35" spans="1:45" ht="39.75" thickTop="1" thickBot="1" x14ac:dyDescent="0.3">
      <c r="A35" s="539">
        <f t="shared" si="9"/>
        <v>29</v>
      </c>
      <c r="B35" s="675" t="str">
        <f>'Anx C '!B33</f>
        <v>C/2022/P0460/Chaharbagh Sch-Lhr-Petty-43</v>
      </c>
      <c r="C35" s="675" t="str">
        <f>'Anx C '!C33</f>
        <v>Ms Ali Engineering</v>
      </c>
      <c r="D35" s="675" t="str">
        <f>'Anx C '!D33</f>
        <v>Brick Work</v>
      </c>
      <c r="E35" s="733">
        <f>'Anx C '!E33</f>
        <v>15.109776999999999</v>
      </c>
      <c r="F35" s="733">
        <f>'Anx C '!F33</f>
        <v>14.984911</v>
      </c>
      <c r="G35" s="783"/>
      <c r="H35" s="677">
        <f>'Anx C '!G33*99.174/100</f>
        <v>0.1995975924</v>
      </c>
      <c r="I35" s="677">
        <f t="shared" si="14"/>
        <v>9.9798796199999998E-3</v>
      </c>
      <c r="J35" s="677">
        <f t="shared" si="12"/>
        <v>1.3273239894599999E-2</v>
      </c>
      <c r="K35" s="677">
        <v>0</v>
      </c>
      <c r="L35" s="783"/>
      <c r="M35" s="677">
        <f t="shared" si="21"/>
        <v>0.17634447288540001</v>
      </c>
      <c r="N35" s="677">
        <f>'Anx C '!H33*99.174/100</f>
        <v>9.388068692400001</v>
      </c>
      <c r="O35" s="677">
        <f t="shared" si="2"/>
        <v>0.46940343462</v>
      </c>
      <c r="P35" s="677">
        <f>+'Anx F Contr '!G198</f>
        <v>0.19339999999999999</v>
      </c>
      <c r="Q35" s="761">
        <f t="shared" si="17"/>
        <v>0.71349322062240006</v>
      </c>
      <c r="R35" s="783"/>
      <c r="S35" s="762">
        <f t="shared" si="18"/>
        <v>8.0117720371576002</v>
      </c>
      <c r="T35" s="677"/>
      <c r="U35" s="677">
        <f>'Anx C '!I33*99.174/100</f>
        <v>0.1995975924</v>
      </c>
      <c r="V35" s="677">
        <f t="shared" si="16"/>
        <v>9.9798796199999998E-3</v>
      </c>
      <c r="W35" s="532">
        <f t="shared" si="6"/>
        <v>0</v>
      </c>
      <c r="X35" s="761">
        <f t="shared" si="19"/>
        <v>1.51694170224E-2</v>
      </c>
      <c r="Y35" s="784"/>
      <c r="Z35" s="763">
        <f t="shared" si="20"/>
        <v>0.17444829575760001</v>
      </c>
      <c r="AA35" s="316">
        <v>0</v>
      </c>
      <c r="AB35" s="316">
        <v>0</v>
      </c>
      <c r="AC35" s="316">
        <v>0</v>
      </c>
      <c r="AD35" s="316">
        <v>0</v>
      </c>
      <c r="AE35" s="316"/>
      <c r="AF35" s="316">
        <v>0</v>
      </c>
      <c r="AG35" s="677">
        <v>9.188471100000001</v>
      </c>
      <c r="AH35" s="677">
        <v>0.45942355500000004</v>
      </c>
      <c r="AI35" s="677">
        <v>0.14899999999999999</v>
      </c>
      <c r="AJ35" s="761">
        <v>0.69832380360000001</v>
      </c>
      <c r="AK35" s="783"/>
      <c r="AL35" s="762">
        <v>7.881723741400001</v>
      </c>
      <c r="AM35" s="677"/>
      <c r="AN35" s="677">
        <v>9.188471100000001</v>
      </c>
      <c r="AO35" s="677">
        <v>0.45942355500000004</v>
      </c>
      <c r="AP35" s="677">
        <v>0.14899999999999999</v>
      </c>
      <c r="AQ35" s="761">
        <v>0.69832380360000001</v>
      </c>
      <c r="AR35" s="784"/>
      <c r="AS35" s="763">
        <v>7.881723741400001</v>
      </c>
    </row>
    <row r="36" spans="1:45" ht="39.75" thickTop="1" thickBot="1" x14ac:dyDescent="0.3">
      <c r="A36" s="539">
        <f t="shared" si="9"/>
        <v>30</v>
      </c>
      <c r="B36" s="675" t="str">
        <f>'Anx C '!B34</f>
        <v>C/2022/P0460/Chaharbagh Sch-Lhr-Petty-42</v>
      </c>
      <c r="C36" s="675" t="str">
        <f>'Anx C '!C34</f>
        <v>Ms Adan Construction</v>
      </c>
      <c r="D36" s="675" t="str">
        <f>'Anx C '!D34</f>
        <v>Brick Work</v>
      </c>
      <c r="E36" s="733">
        <f>'Anx C '!E34</f>
        <v>15.109776999999999</v>
      </c>
      <c r="F36" s="733">
        <f>'Anx C '!F34</f>
        <v>14.984911</v>
      </c>
      <c r="G36" s="783"/>
      <c r="H36" s="677">
        <f>'Anx C '!G34*99.174/100</f>
        <v>0.38677860000000003</v>
      </c>
      <c r="I36" s="677">
        <f t="shared" si="14"/>
        <v>1.9338930000000001E-2</v>
      </c>
      <c r="J36" s="677">
        <f t="shared" si="12"/>
        <v>2.5720776900000006E-2</v>
      </c>
      <c r="K36" s="677">
        <v>0</v>
      </c>
      <c r="L36" s="783"/>
      <c r="M36" s="677">
        <f t="shared" si="21"/>
        <v>0.34171889310000003</v>
      </c>
      <c r="N36" s="677">
        <f>'Anx C '!H34*99.174/100</f>
        <v>10.465832220000003</v>
      </c>
      <c r="O36" s="677">
        <f t="shared" si="2"/>
        <v>0.5232916110000001</v>
      </c>
      <c r="P36" s="677">
        <f>+'Anx F Contr '!G192</f>
        <v>1.1146550000000002</v>
      </c>
      <c r="Q36" s="761">
        <f t="shared" si="17"/>
        <v>0.79540324872000023</v>
      </c>
      <c r="R36" s="783"/>
      <c r="S36" s="762">
        <f t="shared" si="18"/>
        <v>8.0324823602800031</v>
      </c>
      <c r="T36" s="677"/>
      <c r="U36" s="677">
        <f>'Anx C '!I34*99.174/100</f>
        <v>0.38677860000000003</v>
      </c>
      <c r="V36" s="677">
        <f t="shared" si="16"/>
        <v>1.9338930000000001E-2</v>
      </c>
      <c r="W36" s="532">
        <f t="shared" si="6"/>
        <v>0</v>
      </c>
      <c r="X36" s="761">
        <f t="shared" si="19"/>
        <v>2.9395173600000005E-2</v>
      </c>
      <c r="Y36" s="784"/>
      <c r="Z36" s="763">
        <f t="shared" si="20"/>
        <v>0.33804449640000006</v>
      </c>
      <c r="AA36" s="316">
        <v>0</v>
      </c>
      <c r="AB36" s="316">
        <v>0</v>
      </c>
      <c r="AC36" s="316">
        <v>0</v>
      </c>
      <c r="AD36" s="316">
        <v>0</v>
      </c>
      <c r="AE36" s="316"/>
      <c r="AF36" s="316">
        <v>0</v>
      </c>
      <c r="AG36" s="677">
        <v>10.079053620000002</v>
      </c>
      <c r="AH36" s="677">
        <v>0.50395268100000012</v>
      </c>
      <c r="AI36" s="677">
        <v>1.1146550000000002</v>
      </c>
      <c r="AJ36" s="761">
        <v>0.76600807512000013</v>
      </c>
      <c r="AK36" s="783"/>
      <c r="AL36" s="762">
        <v>7.6944378638800011</v>
      </c>
      <c r="AM36" s="677"/>
      <c r="AN36" s="677">
        <v>10.079053620000002</v>
      </c>
      <c r="AO36" s="677">
        <v>0.50395268100000012</v>
      </c>
      <c r="AP36" s="677">
        <v>1.1146550000000002</v>
      </c>
      <c r="AQ36" s="761">
        <v>0.76600807512000013</v>
      </c>
      <c r="AR36" s="784"/>
      <c r="AS36" s="763">
        <v>7.6944378638800011</v>
      </c>
    </row>
    <row r="37" spans="1:45" ht="39.75" thickTop="1" thickBot="1" x14ac:dyDescent="0.3">
      <c r="A37" s="539">
        <f t="shared" si="9"/>
        <v>31</v>
      </c>
      <c r="B37" s="675" t="str">
        <f>'Anx C '!B35</f>
        <v>C/2022/P0460/Chaharbagh Sch-Lhr-Petty-46</v>
      </c>
      <c r="C37" s="675" t="str">
        <f>'Anx C '!C35</f>
        <v>Ms Ali Engineering</v>
      </c>
      <c r="D37" s="675" t="str">
        <f>'Anx C '!D35</f>
        <v>Sand Filling</v>
      </c>
      <c r="E37" s="733">
        <f>'Anx C '!E35</f>
        <v>19.152000000000001</v>
      </c>
      <c r="F37" s="733">
        <f>'Anx C '!F35</f>
        <v>14.938000000000001</v>
      </c>
      <c r="G37" s="783"/>
      <c r="H37" s="677">
        <f>'Anx C '!G35*99.174/100</f>
        <v>0</v>
      </c>
      <c r="I37" s="677">
        <f t="shared" si="14"/>
        <v>0</v>
      </c>
      <c r="J37" s="677">
        <f>(H37-I37)*8/100</f>
        <v>0</v>
      </c>
      <c r="K37" s="677">
        <v>0</v>
      </c>
      <c r="L37" s="783"/>
      <c r="M37" s="677">
        <f t="shared" ref="M37:M47" si="22">H37-I37-J37-K37</f>
        <v>0</v>
      </c>
      <c r="N37" s="677">
        <f>'Anx C '!H35*99.174/100</f>
        <v>13.470804420000002</v>
      </c>
      <c r="O37" s="677">
        <f t="shared" ref="O37:O47" si="23">N37*5/100</f>
        <v>0.67354022100000011</v>
      </c>
      <c r="P37" s="677">
        <f>'Anx F Contr '!G333</f>
        <v>0</v>
      </c>
      <c r="Q37" s="761">
        <f t="shared" si="17"/>
        <v>1.0237811359200002</v>
      </c>
      <c r="R37" s="783"/>
      <c r="S37" s="762">
        <f t="shared" ref="S37:S47" si="24">N37-O37-P37-Q37</f>
        <v>11.773483063080002</v>
      </c>
      <c r="T37" s="677"/>
      <c r="U37" s="677">
        <f>'Anx C '!I35*99.174/100</f>
        <v>0</v>
      </c>
      <c r="V37" s="677">
        <f t="shared" ref="V37:V47" si="25">U37*5/100</f>
        <v>0</v>
      </c>
      <c r="W37" s="532">
        <f t="shared" si="6"/>
        <v>0</v>
      </c>
      <c r="X37" s="761">
        <f t="shared" si="19"/>
        <v>0</v>
      </c>
      <c r="Y37" s="784"/>
      <c r="Z37" s="763">
        <f t="shared" ref="Z37:Z47" si="26">U37-V37-W37-X37</f>
        <v>0</v>
      </c>
      <c r="AA37" s="316">
        <v>7.0244944200000008</v>
      </c>
      <c r="AB37" s="316">
        <v>0.35122472100000002</v>
      </c>
      <c r="AC37" s="316">
        <v>0.53386157592000005</v>
      </c>
      <c r="AD37" s="316">
        <v>0</v>
      </c>
      <c r="AE37" s="316"/>
      <c r="AF37" s="316">
        <v>6.1394081230800008</v>
      </c>
      <c r="AG37" s="677">
        <v>13.470804420000002</v>
      </c>
      <c r="AH37" s="677">
        <v>0.67354022100000011</v>
      </c>
      <c r="AI37" s="677">
        <v>0</v>
      </c>
      <c r="AJ37" s="761">
        <v>1.0237811359200002</v>
      </c>
      <c r="AK37" s="783"/>
      <c r="AL37" s="762">
        <v>11.773483063080002</v>
      </c>
      <c r="AM37" s="677"/>
      <c r="AN37" s="677">
        <v>13.470804420000002</v>
      </c>
      <c r="AO37" s="677">
        <v>0.67354022100000011</v>
      </c>
      <c r="AP37" s="677">
        <v>0</v>
      </c>
      <c r="AQ37" s="761">
        <v>1.0237811359200002</v>
      </c>
      <c r="AR37" s="784"/>
      <c r="AS37" s="763">
        <v>11.773483063080002</v>
      </c>
    </row>
    <row r="38" spans="1:45" ht="39.75" thickTop="1" thickBot="1" x14ac:dyDescent="0.3">
      <c r="A38" s="539">
        <f t="shared" si="9"/>
        <v>32</v>
      </c>
      <c r="B38" s="675" t="str">
        <f>'Anx C '!B36</f>
        <v>C/2022/P0460/Chaharbagh Sch-Lhr-Petty-48</v>
      </c>
      <c r="C38" s="675" t="str">
        <f>'Anx C '!C36</f>
        <v>Ms Ali Engineering</v>
      </c>
      <c r="D38" s="675" t="str">
        <f>'Anx C '!D36</f>
        <v>Man Hole Covers</v>
      </c>
      <c r="E38" s="885">
        <f>'Anx C '!E36</f>
        <v>11.536</v>
      </c>
      <c r="F38" s="885">
        <f>'Anx C '!F36</f>
        <v>14.978</v>
      </c>
      <c r="G38" s="783"/>
      <c r="H38" s="677">
        <f>'Anx C '!G36*129.837/100</f>
        <v>0</v>
      </c>
      <c r="I38" s="677">
        <f t="shared" ref="I38:I58" si="27">H38*5/100</f>
        <v>0</v>
      </c>
      <c r="J38" s="677">
        <f>(H38-I38)*7/100</f>
        <v>0</v>
      </c>
      <c r="K38" s="677">
        <v>0</v>
      </c>
      <c r="L38" s="783"/>
      <c r="M38" s="677">
        <f t="shared" si="22"/>
        <v>0</v>
      </c>
      <c r="N38" s="677">
        <f>'Anx C '!H36*129.837/100</f>
        <v>16.284156540000001</v>
      </c>
      <c r="O38" s="677">
        <f t="shared" si="23"/>
        <v>0.81420782700000005</v>
      </c>
      <c r="P38" s="677">
        <f>'Anx F Contr '!G334</f>
        <v>0</v>
      </c>
      <c r="Q38" s="761">
        <f t="shared" si="17"/>
        <v>1.2375958970400001</v>
      </c>
      <c r="R38" s="783"/>
      <c r="S38" s="762">
        <f t="shared" si="24"/>
        <v>14.232352815960001</v>
      </c>
      <c r="T38" s="677"/>
      <c r="U38" s="677">
        <f>'Anx C '!I36*129.837/100</f>
        <v>0</v>
      </c>
      <c r="V38" s="677">
        <f t="shared" si="25"/>
        <v>0</v>
      </c>
      <c r="W38" s="532">
        <f t="shared" si="6"/>
        <v>0</v>
      </c>
      <c r="X38" s="761">
        <f t="shared" si="19"/>
        <v>0</v>
      </c>
      <c r="Y38" s="784"/>
      <c r="Z38" s="763">
        <f t="shared" si="26"/>
        <v>0</v>
      </c>
      <c r="AA38" s="316">
        <v>0</v>
      </c>
      <c r="AB38" s="316">
        <v>0</v>
      </c>
      <c r="AC38" s="316">
        <v>0</v>
      </c>
      <c r="AD38" s="316">
        <v>0</v>
      </c>
      <c r="AE38" s="316"/>
      <c r="AF38" s="316">
        <v>0</v>
      </c>
      <c r="AG38" s="677">
        <v>16.284156540000001</v>
      </c>
      <c r="AH38" s="677">
        <v>0.81420782700000005</v>
      </c>
      <c r="AI38" s="677">
        <v>0</v>
      </c>
      <c r="AJ38" s="761">
        <v>1.2375958970400001</v>
      </c>
      <c r="AK38" s="783"/>
      <c r="AL38" s="762">
        <v>14.232352815960001</v>
      </c>
      <c r="AM38" s="677"/>
      <c r="AN38" s="677">
        <v>16.284156540000001</v>
      </c>
      <c r="AO38" s="677">
        <v>0.81420782700000005</v>
      </c>
      <c r="AP38" s="677">
        <v>0</v>
      </c>
      <c r="AQ38" s="761">
        <v>1.2375958970400001</v>
      </c>
      <c r="AR38" s="784"/>
      <c r="AS38" s="763">
        <v>14.232352815960001</v>
      </c>
    </row>
    <row r="39" spans="1:45" ht="39.75" thickTop="1" thickBot="1" x14ac:dyDescent="0.3">
      <c r="A39" s="539">
        <f t="shared" si="9"/>
        <v>33</v>
      </c>
      <c r="B39" s="675" t="str">
        <f>'Anx C '!B37</f>
        <v>C/2022/P0460/Chaharbagh Sch-Lhr-Petty-47</v>
      </c>
      <c r="C39" s="675" t="str">
        <f>'Anx C '!C37</f>
        <v>Ms Ali Engineering</v>
      </c>
      <c r="D39" s="675" t="str">
        <f>'Anx C '!D37</f>
        <v>Hand Holes</v>
      </c>
      <c r="E39" s="733">
        <f>'Anx C '!E37</f>
        <v>12.682</v>
      </c>
      <c r="F39" s="733">
        <f>'Anx C '!F37</f>
        <v>9.2736000000000001</v>
      </c>
      <c r="G39" s="783"/>
      <c r="H39" s="677">
        <f>'Anx C '!G37*73.124/100</f>
        <v>0</v>
      </c>
      <c r="I39" s="677">
        <f t="shared" si="27"/>
        <v>0</v>
      </c>
      <c r="J39" s="677">
        <f>(H39-I39)*8/100</f>
        <v>0</v>
      </c>
      <c r="K39" s="677">
        <v>0</v>
      </c>
      <c r="L39" s="783"/>
      <c r="M39" s="677">
        <f t="shared" si="22"/>
        <v>0</v>
      </c>
      <c r="N39" s="677">
        <f>'Anx C '!H37*73.124/100</f>
        <v>4.8993079999999996</v>
      </c>
      <c r="O39" s="677">
        <f t="shared" si="23"/>
        <v>0.24496539999999997</v>
      </c>
      <c r="P39" s="677">
        <f>'Anx F Contr '!G335</f>
        <v>0</v>
      </c>
      <c r="Q39" s="761">
        <f t="shared" si="17"/>
        <v>0.37234740799999999</v>
      </c>
      <c r="R39" s="783"/>
      <c r="S39" s="762">
        <f t="shared" si="24"/>
        <v>4.2819951920000001</v>
      </c>
      <c r="T39" s="677"/>
      <c r="U39" s="677">
        <f>'Anx C '!I37*73.124/100</f>
        <v>0</v>
      </c>
      <c r="V39" s="677">
        <f t="shared" si="25"/>
        <v>0</v>
      </c>
      <c r="W39" s="532">
        <f t="shared" si="6"/>
        <v>0</v>
      </c>
      <c r="X39" s="761">
        <f t="shared" si="19"/>
        <v>0</v>
      </c>
      <c r="Y39" s="784"/>
      <c r="Z39" s="763">
        <f t="shared" si="26"/>
        <v>0</v>
      </c>
      <c r="AA39" s="316">
        <v>2.1973762000000003</v>
      </c>
      <c r="AB39" s="316">
        <v>0.10986881000000003</v>
      </c>
      <c r="AC39" s="316">
        <v>0.16700059120000002</v>
      </c>
      <c r="AD39" s="316">
        <v>0</v>
      </c>
      <c r="AE39" s="316"/>
      <c r="AF39" s="316">
        <v>1.9205067988000002</v>
      </c>
      <c r="AG39" s="677">
        <v>4.8993079999999996</v>
      </c>
      <c r="AH39" s="677">
        <v>0.24496539999999997</v>
      </c>
      <c r="AI39" s="677">
        <v>0</v>
      </c>
      <c r="AJ39" s="761">
        <v>0.37234740799999999</v>
      </c>
      <c r="AK39" s="783"/>
      <c r="AL39" s="762">
        <v>4.2819951920000001</v>
      </c>
      <c r="AM39" s="677"/>
      <c r="AN39" s="677">
        <v>4.8993079999999996</v>
      </c>
      <c r="AO39" s="677">
        <v>0.24496539999999997</v>
      </c>
      <c r="AP39" s="677">
        <v>0</v>
      </c>
      <c r="AQ39" s="761">
        <v>0.37234740799999999</v>
      </c>
      <c r="AR39" s="784"/>
      <c r="AS39" s="763">
        <v>4.2819951920000001</v>
      </c>
    </row>
    <row r="40" spans="1:45" ht="39.75" thickTop="1" thickBot="1" x14ac:dyDescent="0.3">
      <c r="A40" s="539">
        <f t="shared" si="9"/>
        <v>34</v>
      </c>
      <c r="B40" s="675" t="str">
        <f>'Anx C '!B38</f>
        <v>C/2022/P0460/Chaharbagh Sch-Lhr-Petty-49</v>
      </c>
      <c r="C40" s="675" t="str">
        <f>'Anx C '!C38</f>
        <v>MRC</v>
      </c>
      <c r="D40" s="675" t="str">
        <f>'Anx C '!D38</f>
        <v>Earth Work</v>
      </c>
      <c r="E40" s="733">
        <f>'Anx C '!E38</f>
        <v>19.899000000000001</v>
      </c>
      <c r="F40" s="733">
        <f>'Anx C '!F38</f>
        <v>14.923999999999999</v>
      </c>
      <c r="G40" s="783"/>
      <c r="H40" s="677">
        <f>'Anx C '!G38*74.999/100</f>
        <v>0</v>
      </c>
      <c r="I40" s="677">
        <f t="shared" si="27"/>
        <v>0</v>
      </c>
      <c r="J40" s="677">
        <f>(H40-I40)*7/100</f>
        <v>0</v>
      </c>
      <c r="K40" s="677">
        <v>0</v>
      </c>
      <c r="L40" s="783"/>
      <c r="M40" s="677">
        <f t="shared" si="22"/>
        <v>0</v>
      </c>
      <c r="N40" s="677">
        <f>'Anx C '!H38*74.999/100</f>
        <v>14.554305939999999</v>
      </c>
      <c r="O40" s="677">
        <f t="shared" si="23"/>
        <v>0.72771529700000004</v>
      </c>
      <c r="P40" s="677">
        <f>'Anx F Contr '!G336</f>
        <v>0</v>
      </c>
      <c r="Q40" s="761">
        <f t="shared" si="17"/>
        <v>1.10612725144</v>
      </c>
      <c r="R40" s="783"/>
      <c r="S40" s="762">
        <f t="shared" si="24"/>
        <v>12.720463391559999</v>
      </c>
      <c r="T40" s="677"/>
      <c r="U40" s="677">
        <f>'Anx C '!I38*74.999/100</f>
        <v>0</v>
      </c>
      <c r="V40" s="677">
        <f t="shared" si="25"/>
        <v>0</v>
      </c>
      <c r="W40" s="532">
        <f t="shared" si="6"/>
        <v>0</v>
      </c>
      <c r="X40" s="761">
        <f t="shared" si="19"/>
        <v>0</v>
      </c>
      <c r="Y40" s="784"/>
      <c r="Z40" s="763">
        <f t="shared" si="26"/>
        <v>0</v>
      </c>
      <c r="AA40" s="316">
        <v>1.4999799999999999</v>
      </c>
      <c r="AB40" s="316">
        <v>7.4998999999999996E-2</v>
      </c>
      <c r="AC40" s="316">
        <v>9.9748669999999998E-2</v>
      </c>
      <c r="AD40" s="316">
        <v>0</v>
      </c>
      <c r="AE40" s="316"/>
      <c r="AF40" s="316">
        <v>1.3252323299999997</v>
      </c>
      <c r="AG40" s="677">
        <v>14.554305939999999</v>
      </c>
      <c r="AH40" s="677">
        <v>0.72771529700000004</v>
      </c>
      <c r="AI40" s="677">
        <v>0</v>
      </c>
      <c r="AJ40" s="761">
        <v>1.10612725144</v>
      </c>
      <c r="AK40" s="783"/>
      <c r="AL40" s="762">
        <v>12.720463391559999</v>
      </c>
      <c r="AM40" s="677"/>
      <c r="AN40" s="677">
        <v>14.554305939999999</v>
      </c>
      <c r="AO40" s="677">
        <v>0.72771529700000004</v>
      </c>
      <c r="AP40" s="677">
        <v>0</v>
      </c>
      <c r="AQ40" s="761">
        <v>1.10612725144</v>
      </c>
      <c r="AR40" s="784"/>
      <c r="AS40" s="763">
        <v>12.720463391559999</v>
      </c>
    </row>
    <row r="41" spans="1:45" ht="39.75" thickTop="1" thickBot="1" x14ac:dyDescent="0.3">
      <c r="A41" s="539"/>
      <c r="B41" s="900" t="str">
        <f>'Anx C '!B39</f>
        <v>C/2022/P0460/Chaharbagh Sch-Lhr-Petty-66</v>
      </c>
      <c r="C41" s="675" t="str">
        <f>'Anx C '!C39</f>
        <v>MRC</v>
      </c>
      <c r="D41" s="675" t="str">
        <f>'Anx C '!D39</f>
        <v>Earth Work</v>
      </c>
      <c r="E41" s="733">
        <f>'Anx C '!E39</f>
        <v>0</v>
      </c>
      <c r="F41" s="733">
        <f>'Anx C '!F39</f>
        <v>0</v>
      </c>
      <c r="G41" s="783"/>
      <c r="H41" s="677">
        <f>'Anx C '!G39*74.999/100</f>
        <v>0</v>
      </c>
      <c r="I41" s="677">
        <f t="shared" si="27"/>
        <v>0</v>
      </c>
      <c r="J41" s="677">
        <f>(H41-I41)*7/100</f>
        <v>0</v>
      </c>
      <c r="K41" s="677">
        <v>0</v>
      </c>
      <c r="L41" s="783"/>
      <c r="M41" s="677">
        <f t="shared" si="22"/>
        <v>0</v>
      </c>
      <c r="N41" s="677">
        <f>'Anx C '!H39*74.999/100</f>
        <v>3.1882074900000008</v>
      </c>
      <c r="O41" s="677">
        <f t="shared" si="23"/>
        <v>0.15941037450000003</v>
      </c>
      <c r="P41" s="677">
        <f>'Anx F Contr '!G337</f>
        <v>0</v>
      </c>
      <c r="Q41" s="761">
        <f t="shared" si="17"/>
        <v>0.24230376924000005</v>
      </c>
      <c r="R41" s="783"/>
      <c r="S41" s="762">
        <f t="shared" si="24"/>
        <v>2.7864933462600008</v>
      </c>
      <c r="T41" s="677"/>
      <c r="U41" s="677">
        <f>'Anx C '!I39*74.999/100</f>
        <v>0</v>
      </c>
      <c r="V41" s="677">
        <f t="shared" si="25"/>
        <v>0</v>
      </c>
      <c r="W41" s="532">
        <f t="shared" si="6"/>
        <v>0</v>
      </c>
      <c r="X41" s="761">
        <f t="shared" si="19"/>
        <v>0</v>
      </c>
      <c r="Y41" s="784"/>
      <c r="Z41" s="763">
        <f t="shared" si="26"/>
        <v>0</v>
      </c>
      <c r="AA41" s="316">
        <v>3.1882074900000008</v>
      </c>
      <c r="AB41" s="316">
        <v>0.15941037450000003</v>
      </c>
      <c r="AC41" s="316">
        <v>0.21201579808500004</v>
      </c>
      <c r="AD41" s="316">
        <v>0</v>
      </c>
      <c r="AE41" s="316"/>
      <c r="AF41" s="316">
        <v>2.8167813174150007</v>
      </c>
      <c r="AG41" s="677">
        <v>3.1882074900000008</v>
      </c>
      <c r="AH41" s="677">
        <v>0.15941037450000003</v>
      </c>
      <c r="AI41" s="677">
        <v>0</v>
      </c>
      <c r="AJ41" s="761">
        <v>0.24230376924000005</v>
      </c>
      <c r="AK41" s="783"/>
      <c r="AL41" s="762">
        <v>2.7864933462600008</v>
      </c>
      <c r="AM41" s="677"/>
      <c r="AN41" s="677">
        <v>3.1882074900000008</v>
      </c>
      <c r="AO41" s="677">
        <v>0.15941037450000003</v>
      </c>
      <c r="AP41" s="677">
        <v>0</v>
      </c>
      <c r="AQ41" s="761">
        <v>0.24230376924000005</v>
      </c>
      <c r="AR41" s="784"/>
      <c r="AS41" s="763">
        <v>2.7864933462600008</v>
      </c>
    </row>
    <row r="42" spans="1:45" ht="39.75" thickTop="1" thickBot="1" x14ac:dyDescent="0.3">
      <c r="A42" s="539">
        <f>A40+1</f>
        <v>35</v>
      </c>
      <c r="B42" s="675" t="str">
        <f>'Anx C '!B40</f>
        <v>C/2022/P0460/Chaharbagh Sch-Lhr-Petty-38</v>
      </c>
      <c r="C42" s="675" t="str">
        <f>'Anx C '!C40</f>
        <v>SS Enterprises</v>
      </c>
      <c r="D42" s="675" t="str">
        <f>'Anx C '!D40</f>
        <v>Ancilary</v>
      </c>
      <c r="E42" s="733">
        <f>'Anx C '!E40</f>
        <v>15.827999999999999</v>
      </c>
      <c r="F42" s="733">
        <f>'Anx C '!F40</f>
        <v>13.862</v>
      </c>
      <c r="G42" s="783"/>
      <c r="H42" s="677">
        <f>'Anx C '!G40*87.579/100</f>
        <v>0</v>
      </c>
      <c r="I42" s="677">
        <f t="shared" si="27"/>
        <v>0</v>
      </c>
      <c r="J42" s="677">
        <f>(H42-I42)*7/100</f>
        <v>0</v>
      </c>
      <c r="K42" s="677">
        <v>0</v>
      </c>
      <c r="L42" s="783"/>
      <c r="M42" s="677">
        <f t="shared" si="22"/>
        <v>0</v>
      </c>
      <c r="N42" s="677">
        <f>'Anx C '!H40*87.579/100</f>
        <v>10.923728670000001</v>
      </c>
      <c r="O42" s="677">
        <f t="shared" si="23"/>
        <v>0.54618643350000007</v>
      </c>
      <c r="P42" s="677">
        <f>'Anx F Contr '!G337</f>
        <v>0</v>
      </c>
      <c r="Q42" s="761">
        <f t="shared" si="17"/>
        <v>0.83020337891999996</v>
      </c>
      <c r="R42" s="783"/>
      <c r="S42" s="762">
        <f t="shared" si="24"/>
        <v>9.5473388575799998</v>
      </c>
      <c r="T42" s="677"/>
      <c r="U42" s="677">
        <f>'Anx C '!I40*87.579/100</f>
        <v>0</v>
      </c>
      <c r="V42" s="677">
        <f t="shared" si="25"/>
        <v>0</v>
      </c>
      <c r="W42" s="532">
        <f t="shared" si="6"/>
        <v>0</v>
      </c>
      <c r="X42" s="761">
        <f t="shared" si="19"/>
        <v>0</v>
      </c>
      <c r="Y42" s="784"/>
      <c r="Z42" s="763">
        <f t="shared" si="26"/>
        <v>0</v>
      </c>
      <c r="AA42" s="316">
        <v>0</v>
      </c>
      <c r="AB42" s="316">
        <v>0</v>
      </c>
      <c r="AC42" s="316">
        <v>0</v>
      </c>
      <c r="AD42" s="316">
        <v>0</v>
      </c>
      <c r="AE42" s="316"/>
      <c r="AF42" s="316">
        <v>0</v>
      </c>
      <c r="AG42" s="677">
        <v>10.923728670000001</v>
      </c>
      <c r="AH42" s="677">
        <v>0.54618643350000007</v>
      </c>
      <c r="AI42" s="677">
        <v>0</v>
      </c>
      <c r="AJ42" s="761">
        <v>0.83020337891999996</v>
      </c>
      <c r="AK42" s="783"/>
      <c r="AL42" s="762">
        <v>9.5473388575799998</v>
      </c>
      <c r="AM42" s="677"/>
      <c r="AN42" s="677">
        <v>10.923728670000001</v>
      </c>
      <c r="AO42" s="677">
        <v>0.54618643350000007</v>
      </c>
      <c r="AP42" s="677">
        <v>0</v>
      </c>
      <c r="AQ42" s="761">
        <v>0.83020337891999996</v>
      </c>
      <c r="AR42" s="784"/>
      <c r="AS42" s="763">
        <v>9.5473388575799998</v>
      </c>
    </row>
    <row r="43" spans="1:45" ht="39.75" thickTop="1" thickBot="1" x14ac:dyDescent="0.3">
      <c r="A43" s="539">
        <f t="shared" si="9"/>
        <v>36</v>
      </c>
      <c r="B43" s="675" t="str">
        <f>'Anx C '!B41</f>
        <v>C/2022/P0460/Chaharbagh Sch-Lhr-Petty-41</v>
      </c>
      <c r="C43" s="675" t="str">
        <f>'Anx C '!C41</f>
        <v>AL Nasir Eng Services</v>
      </c>
      <c r="D43" s="675" t="str">
        <f>'Anx C '!D41</f>
        <v>Tube Well Chamber</v>
      </c>
      <c r="E43" s="733">
        <f>'Anx C '!E41</f>
        <v>14.731</v>
      </c>
      <c r="F43" s="733">
        <f>'Anx C '!F41</f>
        <v>14.489000000000001</v>
      </c>
      <c r="G43" s="783"/>
      <c r="H43" s="677">
        <f>'Anx C '!G41*98.375/100</f>
        <v>0</v>
      </c>
      <c r="I43" s="677">
        <f t="shared" si="27"/>
        <v>0</v>
      </c>
      <c r="J43" s="677">
        <f>(H43-I43)*8/100</f>
        <v>0</v>
      </c>
      <c r="K43" s="677">
        <v>0</v>
      </c>
      <c r="L43" s="783"/>
      <c r="M43" s="677">
        <f t="shared" si="22"/>
        <v>0</v>
      </c>
      <c r="N43" s="677">
        <f>'Anx C '!H41*98.375/100</f>
        <v>7.3279537500000007</v>
      </c>
      <c r="O43" s="677">
        <f t="shared" si="23"/>
        <v>0.36639768750000001</v>
      </c>
      <c r="P43" s="677">
        <f>+'Anx F Contr '!G246</f>
        <v>2.0488340000000003</v>
      </c>
      <c r="Q43" s="761">
        <f t="shared" si="17"/>
        <v>0.55692448500000002</v>
      </c>
      <c r="R43" s="783"/>
      <c r="S43" s="762">
        <f t="shared" si="24"/>
        <v>4.3557975775000006</v>
      </c>
      <c r="T43" s="677"/>
      <c r="U43" s="677">
        <f>'Anx C '!I41*98.375/100</f>
        <v>0</v>
      </c>
      <c r="V43" s="677">
        <f t="shared" si="25"/>
        <v>0</v>
      </c>
      <c r="W43" s="532">
        <f t="shared" si="6"/>
        <v>0</v>
      </c>
      <c r="X43" s="761">
        <f t="shared" si="19"/>
        <v>0</v>
      </c>
      <c r="Y43" s="784"/>
      <c r="Z43" s="763">
        <f t="shared" si="26"/>
        <v>0</v>
      </c>
      <c r="AA43" s="316">
        <v>5.9152887499999993</v>
      </c>
      <c r="AB43" s="316">
        <v>0.29576443749999998</v>
      </c>
      <c r="AC43" s="316">
        <v>0.44956194499999996</v>
      </c>
      <c r="AD43" s="316">
        <v>0</v>
      </c>
      <c r="AE43" s="316"/>
      <c r="AF43" s="316">
        <v>5.1699623674999993</v>
      </c>
      <c r="AG43" s="677">
        <v>7.3279537500000007</v>
      </c>
      <c r="AH43" s="677">
        <v>0.36639768750000001</v>
      </c>
      <c r="AI43" s="677">
        <v>0.24083399999999999</v>
      </c>
      <c r="AJ43" s="761">
        <v>0.55692448500000002</v>
      </c>
      <c r="AK43" s="783"/>
      <c r="AL43" s="762">
        <v>6.1637975775000005</v>
      </c>
      <c r="AM43" s="677"/>
      <c r="AN43" s="677">
        <v>7.3279537500000007</v>
      </c>
      <c r="AO43" s="677">
        <v>0.36639768750000001</v>
      </c>
      <c r="AP43" s="677">
        <v>0.24083399999999999</v>
      </c>
      <c r="AQ43" s="761">
        <v>0.55692448500000002</v>
      </c>
      <c r="AR43" s="784"/>
      <c r="AS43" s="763">
        <v>6.1637975775000005</v>
      </c>
    </row>
    <row r="44" spans="1:45" ht="39.75" thickTop="1" thickBot="1" x14ac:dyDescent="0.3">
      <c r="A44" s="539">
        <f t="shared" si="9"/>
        <v>37</v>
      </c>
      <c r="B44" s="675" t="str">
        <f>'Anx C '!B42</f>
        <v>C/2022/P0460/Chaharbagh Sch-Lhr-Petty-50</v>
      </c>
      <c r="C44" s="675" t="str">
        <f>'Anx C '!C42</f>
        <v>Farco Builders</v>
      </c>
      <c r="D44" s="675" t="str">
        <f>'Anx C '!D42</f>
        <v>Asphalt</v>
      </c>
      <c r="E44" s="733">
        <f>'Anx C '!E42</f>
        <v>16.431000000000001</v>
      </c>
      <c r="F44" s="733">
        <f>'Anx C '!F42</f>
        <v>14.85</v>
      </c>
      <c r="G44" s="783"/>
      <c r="H44" s="677">
        <f>'Anx C '!G42*90.378/100</f>
        <v>0</v>
      </c>
      <c r="I44" s="677">
        <f t="shared" si="27"/>
        <v>0</v>
      </c>
      <c r="J44" s="677">
        <f>(H44-I44)*8/100</f>
        <v>0</v>
      </c>
      <c r="K44" s="677">
        <v>0</v>
      </c>
      <c r="L44" s="783"/>
      <c r="M44" s="677">
        <f t="shared" si="22"/>
        <v>0</v>
      </c>
      <c r="N44" s="677">
        <f>'Anx C '!H42*90.378/100</f>
        <v>7.6007898000000003</v>
      </c>
      <c r="O44" s="677">
        <f t="shared" si="23"/>
        <v>0.38003948999999998</v>
      </c>
      <c r="P44" s="677">
        <f>'Anx F Contr '!G339</f>
        <v>0</v>
      </c>
      <c r="Q44" s="761">
        <f t="shared" si="17"/>
        <v>0.5776600248</v>
      </c>
      <c r="R44" s="783"/>
      <c r="S44" s="762">
        <f t="shared" si="24"/>
        <v>6.6430902852000004</v>
      </c>
      <c r="T44" s="677"/>
      <c r="U44" s="677">
        <f>'Anx C '!I42*90.378/100</f>
        <v>0</v>
      </c>
      <c r="V44" s="677">
        <f t="shared" si="25"/>
        <v>0</v>
      </c>
      <c r="W44" s="532">
        <f t="shared" si="6"/>
        <v>0</v>
      </c>
      <c r="X44" s="761">
        <f t="shared" si="19"/>
        <v>0</v>
      </c>
      <c r="Y44" s="784"/>
      <c r="Z44" s="763">
        <f t="shared" si="26"/>
        <v>0</v>
      </c>
      <c r="AA44" s="316">
        <v>-0.8097868799999991</v>
      </c>
      <c r="AB44" s="316">
        <v>-4.0489343999999955E-2</v>
      </c>
      <c r="AC44" s="316">
        <v>-6.1543802879999936E-2</v>
      </c>
      <c r="AD44" s="316">
        <v>0</v>
      </c>
      <c r="AE44" s="316"/>
      <c r="AF44" s="316">
        <v>-0.70775373311999923</v>
      </c>
      <c r="AG44" s="677">
        <v>7.6007898000000003</v>
      </c>
      <c r="AH44" s="677">
        <v>0.38003948999999998</v>
      </c>
      <c r="AI44" s="677">
        <v>0</v>
      </c>
      <c r="AJ44" s="761">
        <v>0.5776600248</v>
      </c>
      <c r="AK44" s="783"/>
      <c r="AL44" s="762">
        <v>6.6430902852000004</v>
      </c>
      <c r="AM44" s="677"/>
      <c r="AN44" s="677">
        <v>7.6007898000000003</v>
      </c>
      <c r="AO44" s="677">
        <v>0.38003948999999998</v>
      </c>
      <c r="AP44" s="677">
        <v>0</v>
      </c>
      <c r="AQ44" s="761">
        <v>0.5776600248</v>
      </c>
      <c r="AR44" s="784"/>
      <c r="AS44" s="763">
        <v>6.6430902852000004</v>
      </c>
    </row>
    <row r="45" spans="1:45" ht="39.75" thickTop="1" thickBot="1" x14ac:dyDescent="0.3">
      <c r="A45" s="539">
        <f t="shared" si="9"/>
        <v>38</v>
      </c>
      <c r="B45" s="675" t="str">
        <f>'Anx C '!B43</f>
        <v>C/2022/P0460/Chaharbagh Sch-Lhr-Petty-53</v>
      </c>
      <c r="C45" s="675" t="str">
        <f>'Anx C '!C43</f>
        <v>Ms GR Engineer</v>
      </c>
      <c r="D45" s="675" t="str">
        <f>'Anx C '!D43</f>
        <v>Boundry Wall</v>
      </c>
      <c r="E45" s="733">
        <f>'Anx C '!E43</f>
        <v>14.005000000000001</v>
      </c>
      <c r="F45" s="733">
        <f>'Anx C '!F43</f>
        <v>11.505000000000001</v>
      </c>
      <c r="G45" s="783"/>
      <c r="H45" s="677">
        <f>'Anx C '!G43*82.149/100</f>
        <v>0</v>
      </c>
      <c r="I45" s="677">
        <f t="shared" si="27"/>
        <v>0</v>
      </c>
      <c r="J45" s="677">
        <f>(H45-I45)*8/100</f>
        <v>0</v>
      </c>
      <c r="K45" s="677">
        <v>0</v>
      </c>
      <c r="L45" s="783"/>
      <c r="M45" s="677">
        <f t="shared" si="22"/>
        <v>0</v>
      </c>
      <c r="N45" s="677">
        <f>'Anx C '!H43*82.149/100</f>
        <v>3.5389789199999999</v>
      </c>
      <c r="O45" s="677">
        <f t="shared" si="23"/>
        <v>0.17694894599999997</v>
      </c>
      <c r="P45" s="677">
        <f>'Anx F Contr '!G340</f>
        <v>0</v>
      </c>
      <c r="Q45" s="761">
        <f t="shared" si="17"/>
        <v>0.26896239791999998</v>
      </c>
      <c r="R45" s="783"/>
      <c r="S45" s="762">
        <f t="shared" si="24"/>
        <v>3.0930675760800002</v>
      </c>
      <c r="T45" s="677"/>
      <c r="U45" s="677">
        <f>'Anx C '!I43*82.149/100</f>
        <v>0</v>
      </c>
      <c r="V45" s="677">
        <f t="shared" si="25"/>
        <v>0</v>
      </c>
      <c r="W45" s="532">
        <f t="shared" si="6"/>
        <v>0</v>
      </c>
      <c r="X45" s="761">
        <f t="shared" si="19"/>
        <v>0</v>
      </c>
      <c r="Y45" s="784"/>
      <c r="Z45" s="763">
        <f t="shared" si="26"/>
        <v>0</v>
      </c>
      <c r="AA45" s="316">
        <v>0</v>
      </c>
      <c r="AB45" s="316">
        <v>0</v>
      </c>
      <c r="AC45" s="316">
        <v>0</v>
      </c>
      <c r="AD45" s="316">
        <v>0</v>
      </c>
      <c r="AE45" s="316"/>
      <c r="AF45" s="316">
        <v>0</v>
      </c>
      <c r="AG45" s="677">
        <v>3.5389789199999999</v>
      </c>
      <c r="AH45" s="677">
        <v>0.17694894599999997</v>
      </c>
      <c r="AI45" s="677">
        <v>0</v>
      </c>
      <c r="AJ45" s="761">
        <v>0.26896239791999998</v>
      </c>
      <c r="AK45" s="783"/>
      <c r="AL45" s="762">
        <v>3.0930675760800002</v>
      </c>
      <c r="AM45" s="677"/>
      <c r="AN45" s="677">
        <v>3.5389789199999999</v>
      </c>
      <c r="AO45" s="677">
        <v>0.17694894599999997</v>
      </c>
      <c r="AP45" s="677">
        <v>0</v>
      </c>
      <c r="AQ45" s="761">
        <v>0.26896239791999998</v>
      </c>
      <c r="AR45" s="784"/>
      <c r="AS45" s="763">
        <v>3.0930675760800002</v>
      </c>
    </row>
    <row r="46" spans="1:45" ht="39.75" thickTop="1" thickBot="1" x14ac:dyDescent="0.3">
      <c r="A46" s="539">
        <f t="shared" si="9"/>
        <v>39</v>
      </c>
      <c r="B46" s="675" t="str">
        <f>'Anx C '!B44</f>
        <v>C/2022/P0460/Chaharbagh Sch-Lhr-Petty-54</v>
      </c>
      <c r="C46" s="675" t="str">
        <f>'Anx C '!C44</f>
        <v>Ms Ali Engineering</v>
      </c>
      <c r="D46" s="675" t="str">
        <f>'Anx C '!D44</f>
        <v>Sewer House Con</v>
      </c>
      <c r="E46" s="733">
        <f>'Anx C '!E44</f>
        <v>6.6580000000000004</v>
      </c>
      <c r="F46" s="733">
        <f>'Anx C '!F44</f>
        <v>7.5</v>
      </c>
      <c r="G46" s="783"/>
      <c r="H46" s="677">
        <f>'Anx C '!G44*112.646/100</f>
        <v>0</v>
      </c>
      <c r="I46" s="677">
        <f t="shared" si="27"/>
        <v>0</v>
      </c>
      <c r="J46" s="677">
        <f t="shared" ref="J46:J52" si="28">(H46-I46)*8/100</f>
        <v>0</v>
      </c>
      <c r="K46" s="677">
        <v>0</v>
      </c>
      <c r="L46" s="783"/>
      <c r="M46" s="677">
        <f t="shared" si="22"/>
        <v>0</v>
      </c>
      <c r="N46" s="677">
        <f>'Anx C '!H44*112.646/100</f>
        <v>4.2805479999999996</v>
      </c>
      <c r="O46" s="677">
        <f t="shared" si="23"/>
        <v>0.21402739999999998</v>
      </c>
      <c r="P46" s="677">
        <f>'Anx F Contr '!G341</f>
        <v>0</v>
      </c>
      <c r="Q46" s="761">
        <f t="shared" si="17"/>
        <v>0.32532164799999996</v>
      </c>
      <c r="R46" s="783"/>
      <c r="S46" s="762">
        <f t="shared" si="24"/>
        <v>3.7411989519999995</v>
      </c>
      <c r="T46" s="677"/>
      <c r="U46" s="677">
        <f>'Anx C '!I44*112.646/100</f>
        <v>0</v>
      </c>
      <c r="V46" s="677">
        <f t="shared" si="25"/>
        <v>0</v>
      </c>
      <c r="W46" s="532">
        <f t="shared" si="6"/>
        <v>0</v>
      </c>
      <c r="X46" s="761">
        <f t="shared" si="19"/>
        <v>0</v>
      </c>
      <c r="Y46" s="784"/>
      <c r="Z46" s="763">
        <f t="shared" si="26"/>
        <v>0</v>
      </c>
      <c r="AA46" s="316">
        <v>0</v>
      </c>
      <c r="AB46" s="316">
        <v>0</v>
      </c>
      <c r="AC46" s="316">
        <v>0</v>
      </c>
      <c r="AD46" s="316">
        <v>0</v>
      </c>
      <c r="AE46" s="316"/>
      <c r="AF46" s="316">
        <v>0</v>
      </c>
      <c r="AG46" s="677">
        <v>4.2805479999999996</v>
      </c>
      <c r="AH46" s="677">
        <v>0.21402739999999998</v>
      </c>
      <c r="AI46" s="677">
        <v>0</v>
      </c>
      <c r="AJ46" s="761">
        <v>0.32532164799999996</v>
      </c>
      <c r="AK46" s="783"/>
      <c r="AL46" s="762">
        <v>3.7411989519999995</v>
      </c>
      <c r="AM46" s="677"/>
      <c r="AN46" s="677">
        <v>4.2805479999999996</v>
      </c>
      <c r="AO46" s="677">
        <v>0.21402739999999998</v>
      </c>
      <c r="AP46" s="677">
        <v>0</v>
      </c>
      <c r="AQ46" s="761">
        <v>0.32532164799999996</v>
      </c>
      <c r="AR46" s="784"/>
      <c r="AS46" s="763">
        <v>3.7411989519999995</v>
      </c>
    </row>
    <row r="47" spans="1:45" ht="39.75" thickTop="1" thickBot="1" x14ac:dyDescent="0.3">
      <c r="A47" s="785">
        <v>40</v>
      </c>
      <c r="B47" s="675" t="str">
        <f>'Anx C '!B45</f>
        <v>C/2022/P0460/Chaharbagh Sch-Lhr-Petty-39</v>
      </c>
      <c r="C47" s="675" t="str">
        <f>'Anx C '!C45</f>
        <v>SS Enterprises</v>
      </c>
      <c r="D47" s="675" t="str">
        <f>'Anx C '!D45</f>
        <v>Ancilary</v>
      </c>
      <c r="E47" s="733">
        <f>'Anx C '!E45</f>
        <v>11.048999999999999</v>
      </c>
      <c r="F47" s="733">
        <f>'Anx C '!F45</f>
        <v>10.068</v>
      </c>
      <c r="G47" s="783"/>
      <c r="H47" s="677">
        <f>'Anx C '!G45*91.121/100</f>
        <v>0</v>
      </c>
      <c r="I47" s="677">
        <f t="shared" si="27"/>
        <v>0</v>
      </c>
      <c r="J47" s="677">
        <f t="shared" si="28"/>
        <v>0</v>
      </c>
      <c r="K47" s="677">
        <v>0</v>
      </c>
      <c r="L47" s="783"/>
      <c r="M47" s="677">
        <f t="shared" si="22"/>
        <v>0</v>
      </c>
      <c r="N47" s="677">
        <f>'Anx C '!H45*91.121/100</f>
        <v>7.2696333799999993</v>
      </c>
      <c r="O47" s="677">
        <f t="shared" si="23"/>
        <v>0.36348166899999995</v>
      </c>
      <c r="P47" s="677">
        <f>'Anx F Contr '!G342</f>
        <v>0</v>
      </c>
      <c r="Q47" s="761">
        <f t="shared" si="17"/>
        <v>0.55249213687999998</v>
      </c>
      <c r="R47" s="783"/>
      <c r="S47" s="762">
        <f t="shared" si="24"/>
        <v>6.3536595741199999</v>
      </c>
      <c r="T47" s="677"/>
      <c r="U47" s="677">
        <f>'Anx C '!I45*91.121/100</f>
        <v>0</v>
      </c>
      <c r="V47" s="677">
        <f t="shared" si="25"/>
        <v>0</v>
      </c>
      <c r="W47" s="532">
        <f t="shared" si="6"/>
        <v>0</v>
      </c>
      <c r="X47" s="761">
        <f t="shared" si="19"/>
        <v>0</v>
      </c>
      <c r="Y47" s="784"/>
      <c r="Z47" s="763">
        <f t="shared" si="26"/>
        <v>0</v>
      </c>
      <c r="AA47" s="316">
        <v>0</v>
      </c>
      <c r="AB47" s="316">
        <v>0</v>
      </c>
      <c r="AC47" s="316">
        <v>0</v>
      </c>
      <c r="AD47" s="316">
        <v>0</v>
      </c>
      <c r="AE47" s="316"/>
      <c r="AF47" s="316">
        <v>0</v>
      </c>
      <c r="AG47" s="677">
        <v>7.2696333799999993</v>
      </c>
      <c r="AH47" s="677">
        <v>0.36348166899999995</v>
      </c>
      <c r="AI47" s="677">
        <v>0</v>
      </c>
      <c r="AJ47" s="761">
        <v>0.55249213687999998</v>
      </c>
      <c r="AK47" s="783"/>
      <c r="AL47" s="762">
        <v>6.3536595741199999</v>
      </c>
      <c r="AM47" s="677"/>
      <c r="AN47" s="677">
        <v>7.2696333799999993</v>
      </c>
      <c r="AO47" s="677">
        <v>0.36348166899999995</v>
      </c>
      <c r="AP47" s="677">
        <v>0</v>
      </c>
      <c r="AQ47" s="761">
        <v>0.55249213687999998</v>
      </c>
      <c r="AR47" s="784"/>
      <c r="AS47" s="763">
        <v>6.3536595741199999</v>
      </c>
    </row>
    <row r="48" spans="1:45" ht="39.75" thickTop="1" thickBot="1" x14ac:dyDescent="0.3">
      <c r="A48" s="785">
        <v>41</v>
      </c>
      <c r="B48" s="675" t="str">
        <f>'Anx C '!B46</f>
        <v>C/2022/P0460/Chaharbagh Sch-Lhr-Petty-61</v>
      </c>
      <c r="C48" s="675" t="str">
        <f>'Anx C '!C46</f>
        <v>MS Rashid Minhas</v>
      </c>
      <c r="D48" s="675" t="str">
        <f>'Anx C '!D46</f>
        <v>Civil Work</v>
      </c>
      <c r="E48" s="733">
        <f>'Anx C '!E46</f>
        <v>15</v>
      </c>
      <c r="F48" s="733">
        <f>'Anx C '!F46</f>
        <v>13.125</v>
      </c>
      <c r="G48" s="783"/>
      <c r="H48" s="677">
        <f>'Anx C '!G46*87.5/100</f>
        <v>0</v>
      </c>
      <c r="I48" s="677">
        <f t="shared" si="27"/>
        <v>0</v>
      </c>
      <c r="J48" s="677">
        <f t="shared" si="28"/>
        <v>0</v>
      </c>
      <c r="K48" s="677">
        <v>0</v>
      </c>
      <c r="L48" s="783"/>
      <c r="M48" s="677">
        <f t="shared" ref="M48:M57" si="29">H48-I48-J48-K48</f>
        <v>0</v>
      </c>
      <c r="N48" s="677">
        <f>'Anx C '!H46*87.5/100</f>
        <v>11.8125</v>
      </c>
      <c r="O48" s="677">
        <f t="shared" ref="O48:O58" si="30">N48*5/100</f>
        <v>0.59062499999999996</v>
      </c>
      <c r="P48" s="677">
        <f>'Anx F Contr '!G343</f>
        <v>0</v>
      </c>
      <c r="Q48" s="761">
        <f t="shared" si="17"/>
        <v>0.89775000000000005</v>
      </c>
      <c r="R48" s="783"/>
      <c r="S48" s="762">
        <f t="shared" ref="S48:S58" si="31">N48-O48-P48-Q48</f>
        <v>10.324125</v>
      </c>
      <c r="T48" s="677"/>
      <c r="U48" s="677">
        <f>'Anx C '!I46*87.5/100</f>
        <v>0</v>
      </c>
      <c r="V48" s="677">
        <f t="shared" ref="V48:V58" si="32">U48*5/100</f>
        <v>0</v>
      </c>
      <c r="W48" s="532">
        <f t="shared" si="6"/>
        <v>0</v>
      </c>
      <c r="X48" s="761">
        <f t="shared" si="19"/>
        <v>0</v>
      </c>
      <c r="Y48" s="784"/>
      <c r="Z48" s="763">
        <f t="shared" ref="Z48:Z58" si="33">U48-V48-W48-X48</f>
        <v>0</v>
      </c>
      <c r="AA48" s="316">
        <v>0</v>
      </c>
      <c r="AB48" s="316">
        <v>0</v>
      </c>
      <c r="AC48" s="316">
        <v>0</v>
      </c>
      <c r="AD48" s="316">
        <v>0</v>
      </c>
      <c r="AE48" s="316"/>
      <c r="AF48" s="316">
        <v>0</v>
      </c>
      <c r="AG48" s="677">
        <v>11.8125</v>
      </c>
      <c r="AH48" s="677">
        <v>0.59062499999999996</v>
      </c>
      <c r="AI48" s="677">
        <v>0</v>
      </c>
      <c r="AJ48" s="761">
        <v>0.89775000000000005</v>
      </c>
      <c r="AK48" s="783"/>
      <c r="AL48" s="762">
        <v>10.324125</v>
      </c>
      <c r="AM48" s="677"/>
      <c r="AN48" s="677">
        <v>11.8125</v>
      </c>
      <c r="AO48" s="677">
        <v>0.59062499999999996</v>
      </c>
      <c r="AP48" s="677">
        <v>0</v>
      </c>
      <c r="AQ48" s="761">
        <v>0.89775000000000005</v>
      </c>
      <c r="AR48" s="784"/>
      <c r="AS48" s="763">
        <v>10.324125</v>
      </c>
    </row>
    <row r="49" spans="1:45" ht="39.75" thickTop="1" thickBot="1" x14ac:dyDescent="0.3">
      <c r="A49" s="785">
        <v>42</v>
      </c>
      <c r="B49" s="675" t="str">
        <f>'Anx C '!B47</f>
        <v>C/2022/P0460/Chaharbagh Sch-Lhr-Petty-62</v>
      </c>
      <c r="C49" s="675" t="str">
        <f>'Anx C '!C47</f>
        <v>MS Rashid Minhas</v>
      </c>
      <c r="D49" s="675" t="str">
        <f>'Anx C '!D47</f>
        <v>Civil Work</v>
      </c>
      <c r="E49" s="733">
        <f>'Anx C '!E47</f>
        <v>16.97</v>
      </c>
      <c r="F49" s="733">
        <f>'Anx C '!F47</f>
        <v>14.993</v>
      </c>
      <c r="G49" s="783"/>
      <c r="H49" s="677">
        <f>'Anx C '!G47*87.5/100</f>
        <v>0</v>
      </c>
      <c r="I49" s="677">
        <f t="shared" si="27"/>
        <v>0</v>
      </c>
      <c r="J49" s="677">
        <f t="shared" si="28"/>
        <v>0</v>
      </c>
      <c r="K49" s="677">
        <v>0</v>
      </c>
      <c r="L49" s="783"/>
      <c r="M49" s="677">
        <f t="shared" si="29"/>
        <v>0</v>
      </c>
      <c r="N49" s="677">
        <f>'Anx C '!H47*87.5/100</f>
        <v>13.27375</v>
      </c>
      <c r="O49" s="677">
        <f t="shared" si="30"/>
        <v>0.6636875000000001</v>
      </c>
      <c r="P49" s="677">
        <f>'Anx F Contr '!G344</f>
        <v>0</v>
      </c>
      <c r="Q49" s="761">
        <f t="shared" si="17"/>
        <v>1.008805</v>
      </c>
      <c r="R49" s="783"/>
      <c r="S49" s="316">
        <f t="shared" si="31"/>
        <v>11.601257499999999</v>
      </c>
      <c r="T49" s="914"/>
      <c r="U49" s="677">
        <f>'Anx C '!I47*87.5/100</f>
        <v>0</v>
      </c>
      <c r="V49" s="677">
        <f t="shared" si="32"/>
        <v>0</v>
      </c>
      <c r="W49" s="532">
        <f t="shared" si="6"/>
        <v>0</v>
      </c>
      <c r="X49" s="761">
        <f t="shared" si="19"/>
        <v>0</v>
      </c>
      <c r="Y49" s="784"/>
      <c r="Z49" s="763">
        <f t="shared" si="33"/>
        <v>0</v>
      </c>
      <c r="AA49" s="316">
        <v>1.4612499999999999</v>
      </c>
      <c r="AB49" s="316">
        <v>7.3062499999999989E-2</v>
      </c>
      <c r="AC49" s="316">
        <v>0.11105499999999999</v>
      </c>
      <c r="AD49" s="316">
        <v>0</v>
      </c>
      <c r="AE49" s="316"/>
      <c r="AF49" s="316">
        <v>1.2771325</v>
      </c>
      <c r="AG49" s="677">
        <v>13.27375</v>
      </c>
      <c r="AH49" s="677">
        <v>0.6636875000000001</v>
      </c>
      <c r="AI49" s="677">
        <v>0</v>
      </c>
      <c r="AJ49" s="761">
        <v>1.008805</v>
      </c>
      <c r="AK49" s="783"/>
      <c r="AL49" s="316">
        <v>11.601257499999999</v>
      </c>
      <c r="AM49" s="914"/>
      <c r="AN49" s="677">
        <v>13.27375</v>
      </c>
      <c r="AO49" s="677">
        <v>0.6636875000000001</v>
      </c>
      <c r="AP49" s="677">
        <v>0</v>
      </c>
      <c r="AQ49" s="761">
        <v>1.008805</v>
      </c>
      <c r="AR49" s="784"/>
      <c r="AS49" s="763">
        <v>11.601257499999999</v>
      </c>
    </row>
    <row r="50" spans="1:45" ht="39.75" thickTop="1" thickBot="1" x14ac:dyDescent="0.3">
      <c r="A50" s="785">
        <v>43</v>
      </c>
      <c r="B50" s="675" t="str">
        <f>+'Anx C '!B48</f>
        <v>C/2022/P0460/Chaharbagh Sch-Lhr-Petty-63</v>
      </c>
      <c r="C50" s="675" t="str">
        <f>+'Anx C '!C48</f>
        <v>MS Rashid Minhas</v>
      </c>
      <c r="D50" s="675"/>
      <c r="E50" s="733">
        <f>'Anx C '!E48</f>
        <v>16.593</v>
      </c>
      <c r="F50" s="733">
        <f>'Anx C '!F48</f>
        <v>14.27</v>
      </c>
      <c r="G50" s="783"/>
      <c r="H50" s="677">
        <f>'Anx C '!G48*86/100</f>
        <v>0</v>
      </c>
      <c r="I50" s="677">
        <f t="shared" si="27"/>
        <v>0</v>
      </c>
      <c r="J50" s="677">
        <f t="shared" si="28"/>
        <v>0</v>
      </c>
      <c r="K50" s="677"/>
      <c r="L50" s="783"/>
      <c r="M50" s="677">
        <f t="shared" si="29"/>
        <v>0</v>
      </c>
      <c r="N50" s="677">
        <f>'Anx C '!H48*86/100</f>
        <v>14.362</v>
      </c>
      <c r="O50" s="677">
        <f t="shared" si="30"/>
        <v>0.71810000000000007</v>
      </c>
      <c r="P50" s="677"/>
      <c r="Q50" s="761">
        <f t="shared" si="17"/>
        <v>1.091512</v>
      </c>
      <c r="R50" s="783"/>
      <c r="S50" s="316">
        <f t="shared" si="31"/>
        <v>12.552388000000001</v>
      </c>
      <c r="T50" s="914"/>
      <c r="U50" s="677">
        <f>'Anx C '!I48*86/100</f>
        <v>0</v>
      </c>
      <c r="V50" s="677">
        <f t="shared" si="32"/>
        <v>0</v>
      </c>
      <c r="W50" s="532">
        <f t="shared" si="6"/>
        <v>0</v>
      </c>
      <c r="X50" s="761">
        <f t="shared" si="19"/>
        <v>0</v>
      </c>
      <c r="Y50" s="784"/>
      <c r="Z50" s="763">
        <f t="shared" si="33"/>
        <v>0</v>
      </c>
      <c r="AA50" s="316">
        <v>5.2520199999999999</v>
      </c>
      <c r="AB50" s="316">
        <v>0.26260100000000003</v>
      </c>
      <c r="AC50" s="316">
        <v>0.39915351999999998</v>
      </c>
      <c r="AD50" s="316"/>
      <c r="AE50" s="316"/>
      <c r="AF50" s="316">
        <v>4.5902654800000002</v>
      </c>
      <c r="AG50" s="677">
        <v>14.362</v>
      </c>
      <c r="AH50" s="677">
        <v>0.71810000000000007</v>
      </c>
      <c r="AI50" s="677"/>
      <c r="AJ50" s="761">
        <v>1.091512</v>
      </c>
      <c r="AK50" s="783"/>
      <c r="AL50" s="316">
        <v>12.552388000000001</v>
      </c>
      <c r="AM50" s="914"/>
      <c r="AN50" s="677">
        <v>14.362</v>
      </c>
      <c r="AO50" s="677">
        <v>0.71810000000000007</v>
      </c>
      <c r="AP50" s="677">
        <v>0</v>
      </c>
      <c r="AQ50" s="761">
        <v>1.091512</v>
      </c>
      <c r="AR50" s="784"/>
      <c r="AS50" s="763">
        <v>12.552388000000001</v>
      </c>
    </row>
    <row r="51" spans="1:45" ht="39.75" thickTop="1" thickBot="1" x14ac:dyDescent="0.3">
      <c r="A51" s="785">
        <v>44</v>
      </c>
      <c r="B51" s="675" t="str">
        <f>+'Anx C '!B49</f>
        <v>C/2022/P0460/Chaharbagh Sch-Lhr-Petty-34</v>
      </c>
      <c r="C51" s="675" t="str">
        <f>+'Anx C '!C49</f>
        <v>Integration</v>
      </c>
      <c r="D51" s="675"/>
      <c r="E51" s="733">
        <f>'Anx C '!E49</f>
        <v>4.9104049999999999</v>
      </c>
      <c r="F51" s="733">
        <f>'Anx C '!F49</f>
        <v>4.1040210000000004</v>
      </c>
      <c r="G51" s="783"/>
      <c r="H51" s="677">
        <f>'Anx C '!G49*83.578/100</f>
        <v>0</v>
      </c>
      <c r="I51" s="677">
        <f t="shared" si="27"/>
        <v>0</v>
      </c>
      <c r="J51" s="677">
        <f t="shared" si="28"/>
        <v>0</v>
      </c>
      <c r="K51" s="677">
        <v>0</v>
      </c>
      <c r="L51" s="783"/>
      <c r="M51" s="677">
        <f t="shared" si="29"/>
        <v>0</v>
      </c>
      <c r="N51" s="677">
        <f>'Anx C '!H49*83.578/100</f>
        <v>3.0522685599999999</v>
      </c>
      <c r="O51" s="677">
        <f t="shared" si="30"/>
        <v>0.152613428</v>
      </c>
      <c r="P51" s="677">
        <f>+'Anx F Contr '!G147</f>
        <v>0.193083</v>
      </c>
      <c r="Q51" s="761">
        <f t="shared" si="17"/>
        <v>0.23197241055999998</v>
      </c>
      <c r="R51" s="783"/>
      <c r="S51" s="316">
        <f t="shared" si="31"/>
        <v>2.4745997214399997</v>
      </c>
      <c r="T51" s="914"/>
      <c r="U51" s="677">
        <f>'Anx C '!I49*83.578/100</f>
        <v>0</v>
      </c>
      <c r="V51" s="677">
        <f t="shared" si="32"/>
        <v>0</v>
      </c>
      <c r="W51" s="532">
        <f t="shared" si="6"/>
        <v>0</v>
      </c>
      <c r="X51" s="761">
        <f t="shared" si="19"/>
        <v>0</v>
      </c>
      <c r="Y51" s="784"/>
      <c r="Z51" s="763">
        <f t="shared" si="33"/>
        <v>0</v>
      </c>
      <c r="AA51" s="316">
        <v>0</v>
      </c>
      <c r="AB51" s="316">
        <v>0</v>
      </c>
      <c r="AC51" s="316">
        <v>0</v>
      </c>
      <c r="AD51" s="316">
        <v>0</v>
      </c>
      <c r="AE51" s="316"/>
      <c r="AF51" s="316">
        <v>0</v>
      </c>
      <c r="AG51" s="677">
        <v>3.0522685599999999</v>
      </c>
      <c r="AH51" s="677">
        <v>0.152613428</v>
      </c>
      <c r="AI51" s="677">
        <v>0.193083</v>
      </c>
      <c r="AJ51" s="761">
        <v>0.23197241055999998</v>
      </c>
      <c r="AK51" s="783"/>
      <c r="AL51" s="316">
        <v>2.4745997214399997</v>
      </c>
      <c r="AM51" s="914"/>
      <c r="AN51" s="677">
        <v>3.0522685599999999</v>
      </c>
      <c r="AO51" s="677">
        <v>0.152613428</v>
      </c>
      <c r="AP51" s="677">
        <v>0.193083</v>
      </c>
      <c r="AQ51" s="761">
        <v>0.23197241055999998</v>
      </c>
      <c r="AR51" s="784"/>
      <c r="AS51" s="763">
        <v>2.4745997214399997</v>
      </c>
    </row>
    <row r="52" spans="1:45" ht="39.75" thickTop="1" thickBot="1" x14ac:dyDescent="0.3">
      <c r="A52" s="785">
        <v>45</v>
      </c>
      <c r="B52" s="675" t="str">
        <f>+'Anx C '!B50</f>
        <v>C/2022/P0460/Chaharbagh Sch-Lhr-Petty-51</v>
      </c>
      <c r="C52" s="675" t="str">
        <f>+'Anx C '!C50</f>
        <v>M/S FARCO</v>
      </c>
      <c r="D52" s="675"/>
      <c r="E52" s="733">
        <f>'Anx C '!E50</f>
        <v>16.084678</v>
      </c>
      <c r="F52" s="733">
        <f>'Anx C '!F50</f>
        <v>14.250521000000001</v>
      </c>
      <c r="G52" s="783"/>
      <c r="H52" s="677">
        <f>'Anx C '!G50*88.597/100</f>
        <v>0</v>
      </c>
      <c r="I52" s="677">
        <f t="shared" si="27"/>
        <v>0</v>
      </c>
      <c r="J52" s="677">
        <f t="shared" si="28"/>
        <v>0</v>
      </c>
      <c r="K52" s="677"/>
      <c r="L52" s="783"/>
      <c r="M52" s="677">
        <f t="shared" si="29"/>
        <v>0</v>
      </c>
      <c r="N52" s="677">
        <f>'Anx C '!H50*88.597/100</f>
        <v>0</v>
      </c>
      <c r="O52" s="677">
        <f t="shared" si="30"/>
        <v>0</v>
      </c>
      <c r="P52" s="677"/>
      <c r="Q52" s="761">
        <f t="shared" si="17"/>
        <v>0</v>
      </c>
      <c r="R52" s="783"/>
      <c r="S52" s="316">
        <f t="shared" si="31"/>
        <v>0</v>
      </c>
      <c r="T52" s="914"/>
      <c r="U52" s="677">
        <f>'Anx C '!I50*88.597/100</f>
        <v>0</v>
      </c>
      <c r="V52" s="677">
        <f t="shared" si="32"/>
        <v>0</v>
      </c>
      <c r="W52" s="532">
        <f t="shared" si="6"/>
        <v>0</v>
      </c>
      <c r="X52" s="761">
        <f t="shared" si="19"/>
        <v>0</v>
      </c>
      <c r="Y52" s="784"/>
      <c r="Z52" s="763">
        <f t="shared" si="33"/>
        <v>0</v>
      </c>
      <c r="AA52" s="316">
        <v>-6.2017899999999999</v>
      </c>
      <c r="AB52" s="316">
        <v>-0.31008949999999996</v>
      </c>
      <c r="AC52" s="316">
        <v>-0.47133603999999996</v>
      </c>
      <c r="AD52" s="316"/>
      <c r="AE52" s="316"/>
      <c r="AF52" s="316">
        <v>-5.4203644600000001</v>
      </c>
      <c r="AG52" s="677">
        <v>0</v>
      </c>
      <c r="AH52" s="677">
        <v>0</v>
      </c>
      <c r="AI52" s="677"/>
      <c r="AJ52" s="761">
        <v>0</v>
      </c>
      <c r="AK52" s="783"/>
      <c r="AL52" s="316">
        <v>0</v>
      </c>
      <c r="AM52" s="914"/>
      <c r="AN52" s="677">
        <v>0</v>
      </c>
      <c r="AO52" s="677">
        <v>0</v>
      </c>
      <c r="AP52" s="677">
        <v>0</v>
      </c>
      <c r="AQ52" s="761">
        <v>0</v>
      </c>
      <c r="AR52" s="784"/>
      <c r="AS52" s="763">
        <v>0</v>
      </c>
    </row>
    <row r="53" spans="1:45" ht="39.75" thickTop="1" thickBot="1" x14ac:dyDescent="0.3">
      <c r="A53" s="785">
        <v>46</v>
      </c>
      <c r="B53" s="675" t="str">
        <f>+'Anx C '!B51</f>
        <v>C/2022/P0460/Chaharbagh Sch-Lhr-Petty-52</v>
      </c>
      <c r="C53" s="675" t="str">
        <f>+'Anx C '!C51</f>
        <v>M/S FARCO</v>
      </c>
      <c r="D53" s="675"/>
      <c r="E53" s="733">
        <f>'Anx C '!E51</f>
        <v>16.819962</v>
      </c>
      <c r="F53" s="733">
        <f>'Anx C '!F51</f>
        <v>14.901960000000001</v>
      </c>
      <c r="G53" s="783"/>
      <c r="H53" s="677">
        <f>'Anx C '!G51*88.597/100</f>
        <v>0</v>
      </c>
      <c r="I53" s="677">
        <f t="shared" si="27"/>
        <v>0</v>
      </c>
      <c r="J53" s="677">
        <f>(H53-I53)*8/100</f>
        <v>0</v>
      </c>
      <c r="K53" s="677"/>
      <c r="L53" s="783"/>
      <c r="M53" s="677">
        <f t="shared" si="29"/>
        <v>0</v>
      </c>
      <c r="N53" s="677">
        <f>'Anx C '!H51*88.597/100</f>
        <v>5.4974438499999998</v>
      </c>
      <c r="O53" s="677">
        <f t="shared" si="30"/>
        <v>0.2748721925</v>
      </c>
      <c r="P53" s="677"/>
      <c r="Q53" s="761">
        <f t="shared" si="17"/>
        <v>0.41780573259999998</v>
      </c>
      <c r="R53" s="783"/>
      <c r="S53" s="316">
        <f t="shared" si="31"/>
        <v>4.8047659248999999</v>
      </c>
      <c r="T53" s="914"/>
      <c r="U53" s="677">
        <f>'Anx C '!I51*88.597/100</f>
        <v>0</v>
      </c>
      <c r="V53" s="677">
        <f t="shared" si="32"/>
        <v>0</v>
      </c>
      <c r="W53" s="532">
        <f t="shared" si="6"/>
        <v>0</v>
      </c>
      <c r="X53" s="761">
        <f t="shared" si="19"/>
        <v>0</v>
      </c>
      <c r="Y53" s="784"/>
      <c r="Z53" s="763">
        <f t="shared" si="33"/>
        <v>0</v>
      </c>
      <c r="AA53" s="316">
        <v>-0.70434614999999989</v>
      </c>
      <c r="AB53" s="316">
        <v>-3.5217307499999996E-2</v>
      </c>
      <c r="AC53" s="316">
        <v>-5.3530307399999998E-2</v>
      </c>
      <c r="AD53" s="316"/>
      <c r="AE53" s="316"/>
      <c r="AF53" s="316">
        <v>-0.61559853509999996</v>
      </c>
      <c r="AG53" s="677">
        <v>5.4974438499999998</v>
      </c>
      <c r="AH53" s="677">
        <v>0.2748721925</v>
      </c>
      <c r="AI53" s="677"/>
      <c r="AJ53" s="761">
        <v>0.41780573259999998</v>
      </c>
      <c r="AK53" s="783"/>
      <c r="AL53" s="316">
        <v>4.8047659248999999</v>
      </c>
      <c r="AM53" s="914"/>
      <c r="AN53" s="677">
        <v>5.4974438499999998</v>
      </c>
      <c r="AO53" s="677">
        <v>0.2748721925</v>
      </c>
      <c r="AP53" s="677">
        <v>0</v>
      </c>
      <c r="AQ53" s="761">
        <v>0.41780573259999998</v>
      </c>
      <c r="AR53" s="784"/>
      <c r="AS53" s="763">
        <v>4.8047659248999999</v>
      </c>
    </row>
    <row r="54" spans="1:45" ht="39.75" thickTop="1" thickBot="1" x14ac:dyDescent="0.3">
      <c r="A54" s="785">
        <v>47</v>
      </c>
      <c r="B54" s="675" t="str">
        <f>+'Anx C '!B52</f>
        <v>C/2022/P0460/Chaharbagh Sch-Lhr-Petty-60</v>
      </c>
      <c r="C54" s="675" t="str">
        <f>+'Anx C '!C52</f>
        <v>M/S Nasir</v>
      </c>
      <c r="D54" s="675"/>
      <c r="E54" s="733">
        <f>'Anx C '!E52</f>
        <v>18.0684</v>
      </c>
      <c r="F54" s="733">
        <f>'Anx C '!F52</f>
        <v>14.9688</v>
      </c>
      <c r="G54" s="783"/>
      <c r="H54" s="677">
        <f>'Anx C '!G52*82.845/100</f>
        <v>0</v>
      </c>
      <c r="I54" s="677">
        <f t="shared" si="27"/>
        <v>0</v>
      </c>
      <c r="J54" s="677">
        <f>(H54-I54)*8/100</f>
        <v>0</v>
      </c>
      <c r="K54" s="677"/>
      <c r="L54" s="783"/>
      <c r="M54" s="677">
        <f t="shared" si="29"/>
        <v>0</v>
      </c>
      <c r="N54" s="677">
        <f>'Anx C '!H52*82.845/100</f>
        <v>13.842571049999998</v>
      </c>
      <c r="O54" s="677">
        <f t="shared" si="30"/>
        <v>0.69212855249999994</v>
      </c>
      <c r="P54" s="677"/>
      <c r="Q54" s="761">
        <f t="shared" si="17"/>
        <v>1.0520353997999998</v>
      </c>
      <c r="R54" s="783"/>
      <c r="S54" s="316">
        <f t="shared" si="31"/>
        <v>12.098407097699999</v>
      </c>
      <c r="T54" s="914"/>
      <c r="U54" s="677">
        <f>'Anx C '!I52*82.845/100</f>
        <v>0</v>
      </c>
      <c r="V54" s="677">
        <f t="shared" si="32"/>
        <v>0</v>
      </c>
      <c r="W54" s="532">
        <f t="shared" si="6"/>
        <v>0</v>
      </c>
      <c r="X54" s="761">
        <f t="shared" si="19"/>
        <v>0</v>
      </c>
      <c r="Y54" s="784"/>
      <c r="Z54" s="763">
        <f t="shared" si="33"/>
        <v>0</v>
      </c>
      <c r="AA54" s="316">
        <v>4.4479480499999999</v>
      </c>
      <c r="AB54" s="316">
        <v>0.22239740250000001</v>
      </c>
      <c r="AC54" s="316">
        <v>0.33804405179999997</v>
      </c>
      <c r="AD54" s="316"/>
      <c r="AE54" s="316"/>
      <c r="AF54" s="316">
        <v>3.8875065956999997</v>
      </c>
      <c r="AG54" s="677">
        <v>13.842571049999998</v>
      </c>
      <c r="AH54" s="677">
        <v>0.69212855249999994</v>
      </c>
      <c r="AI54" s="677"/>
      <c r="AJ54" s="761">
        <v>1.0520353997999998</v>
      </c>
      <c r="AK54" s="783"/>
      <c r="AL54" s="316">
        <v>12.098407097699999</v>
      </c>
      <c r="AM54" s="914"/>
      <c r="AN54" s="677">
        <v>13.842571049999998</v>
      </c>
      <c r="AO54" s="677">
        <v>0.69212855249999994</v>
      </c>
      <c r="AP54" s="677">
        <v>0</v>
      </c>
      <c r="AQ54" s="761">
        <v>1.0520353997999998</v>
      </c>
      <c r="AR54" s="784"/>
      <c r="AS54" s="763">
        <v>12.098407097699999</v>
      </c>
    </row>
    <row r="55" spans="1:45" ht="39.75" thickTop="1" thickBot="1" x14ac:dyDescent="0.3">
      <c r="A55" s="785">
        <v>48</v>
      </c>
      <c r="B55" s="675" t="str">
        <f>+'Anx C '!B53</f>
        <v>C/2022/P0460/Chaharbagh Sch-Lhr-Petty-59</v>
      </c>
      <c r="C55" s="675" t="str">
        <f>+'Anx C '!C53</f>
        <v>Integration</v>
      </c>
      <c r="D55" s="675"/>
      <c r="E55" s="733">
        <f>'Anx C '!E53</f>
        <v>6.6518199999999998</v>
      </c>
      <c r="F55" s="733">
        <f>'Anx C '!F53</f>
        <v>6.3396239999999997</v>
      </c>
      <c r="G55" s="783"/>
      <c r="H55" s="677">
        <f>'Anx C '!G53*95.307/100</f>
        <v>0</v>
      </c>
      <c r="I55" s="677">
        <f t="shared" si="27"/>
        <v>0</v>
      </c>
      <c r="J55" s="677">
        <f>(H55-I55)*8/100</f>
        <v>0</v>
      </c>
      <c r="K55" s="677"/>
      <c r="L55" s="783"/>
      <c r="M55" s="677">
        <f t="shared" si="29"/>
        <v>0</v>
      </c>
      <c r="N55" s="677">
        <f>'Anx C '!H53*95.307/100</f>
        <v>5.8175392800000001</v>
      </c>
      <c r="O55" s="677">
        <f t="shared" si="30"/>
        <v>0.29087696399999996</v>
      </c>
      <c r="P55" s="677"/>
      <c r="Q55" s="761">
        <f t="shared" si="17"/>
        <v>0.44213298528</v>
      </c>
      <c r="R55" s="783"/>
      <c r="S55" s="316">
        <f t="shared" si="31"/>
        <v>5.0845293307200006</v>
      </c>
      <c r="T55" s="914"/>
      <c r="U55" s="677">
        <f>'Anx C '!I53*95.307/100</f>
        <v>0</v>
      </c>
      <c r="V55" s="677">
        <f t="shared" si="32"/>
        <v>0</v>
      </c>
      <c r="W55" s="532">
        <f t="shared" si="6"/>
        <v>0</v>
      </c>
      <c r="X55" s="761">
        <f>(U55-V55)*8/100</f>
        <v>0</v>
      </c>
      <c r="Y55" s="784"/>
      <c r="Z55" s="763">
        <f t="shared" si="33"/>
        <v>0</v>
      </c>
      <c r="AA55" s="316">
        <v>2.9583292800000005</v>
      </c>
      <c r="AB55" s="316">
        <v>0.14791646400000003</v>
      </c>
      <c r="AC55" s="316">
        <v>0.22483302528000004</v>
      </c>
      <c r="AD55" s="316"/>
      <c r="AE55" s="316"/>
      <c r="AF55" s="316">
        <v>2.5855797907200002</v>
      </c>
      <c r="AG55" s="677">
        <v>5.8175392800000001</v>
      </c>
      <c r="AH55" s="677">
        <v>0.29087696399999996</v>
      </c>
      <c r="AI55" s="677"/>
      <c r="AJ55" s="761">
        <v>0.44213298528</v>
      </c>
      <c r="AK55" s="783"/>
      <c r="AL55" s="316">
        <v>5.0845293307200006</v>
      </c>
      <c r="AM55" s="914"/>
      <c r="AN55" s="677">
        <v>5.8175392800000001</v>
      </c>
      <c r="AO55" s="677">
        <v>0.29087696399999996</v>
      </c>
      <c r="AP55" s="677">
        <v>0</v>
      </c>
      <c r="AQ55" s="761">
        <v>0.44213298528</v>
      </c>
      <c r="AR55" s="784"/>
      <c r="AS55" s="763">
        <v>5.0845293307200006</v>
      </c>
    </row>
    <row r="56" spans="1:45" ht="39.75" thickTop="1" thickBot="1" x14ac:dyDescent="0.3">
      <c r="A56" s="785">
        <v>49</v>
      </c>
      <c r="B56" s="675" t="str">
        <f>+'Anx C '!B54</f>
        <v>C/2022/P0460/Chaharbagh Sch-Lhr-Petty-58</v>
      </c>
      <c r="C56" s="675" t="str">
        <f>+'Anx C '!C54</f>
        <v>M/S ACC Associates</v>
      </c>
      <c r="D56" s="675"/>
      <c r="E56" s="733">
        <f>'Anx C '!E54</f>
        <v>4.4998440000000004</v>
      </c>
      <c r="F56" s="733">
        <f>'Anx C '!F54</f>
        <v>4.4768990000000004</v>
      </c>
      <c r="G56" s="783"/>
      <c r="H56" s="677">
        <f>'Anx C '!G54*99.49/100</f>
        <v>0</v>
      </c>
      <c r="I56" s="677">
        <f t="shared" si="27"/>
        <v>0</v>
      </c>
      <c r="J56" s="677">
        <f>(H56-I56)*8/100</f>
        <v>0</v>
      </c>
      <c r="K56" s="677"/>
      <c r="L56" s="783"/>
      <c r="M56" s="677">
        <f t="shared" si="29"/>
        <v>0</v>
      </c>
      <c r="N56" s="677">
        <f>'Anx C '!H54*99.49/100</f>
        <v>2.7857199999999995</v>
      </c>
      <c r="O56" s="677">
        <f t="shared" si="30"/>
        <v>0.13928599999999997</v>
      </c>
      <c r="P56" s="677"/>
      <c r="Q56" s="761">
        <f t="shared" si="17"/>
        <v>0.21171471999999997</v>
      </c>
      <c r="R56" s="242"/>
      <c r="S56" s="316">
        <f t="shared" si="31"/>
        <v>2.4347192799999999</v>
      </c>
      <c r="T56" s="316"/>
      <c r="U56" s="677">
        <f>'Anx C '!I54*99.49/100</f>
        <v>0</v>
      </c>
      <c r="V56" s="677">
        <f t="shared" si="32"/>
        <v>0</v>
      </c>
      <c r="W56" s="532">
        <f t="shared" si="6"/>
        <v>0</v>
      </c>
      <c r="X56" s="761">
        <f t="shared" si="19"/>
        <v>0</v>
      </c>
      <c r="Y56" s="784"/>
      <c r="Z56" s="763">
        <f t="shared" si="33"/>
        <v>0</v>
      </c>
      <c r="AA56" s="316">
        <v>0</v>
      </c>
      <c r="AB56" s="316">
        <v>0</v>
      </c>
      <c r="AC56" s="316">
        <v>0</v>
      </c>
      <c r="AD56" s="316"/>
      <c r="AE56" s="316"/>
      <c r="AF56" s="316">
        <v>0</v>
      </c>
      <c r="AG56" s="677">
        <v>2.7857199999999995</v>
      </c>
      <c r="AH56" s="677">
        <v>0.13928599999999997</v>
      </c>
      <c r="AI56" s="677"/>
      <c r="AJ56" s="761">
        <v>0.21171471999999997</v>
      </c>
      <c r="AK56" s="242"/>
      <c r="AL56" s="316">
        <v>2.4347192799999999</v>
      </c>
      <c r="AM56" s="316"/>
      <c r="AN56" s="677">
        <v>2.7857199999999995</v>
      </c>
      <c r="AO56" s="677">
        <v>0.13928599999999997</v>
      </c>
      <c r="AP56" s="677">
        <v>0</v>
      </c>
      <c r="AQ56" s="761">
        <v>0.21171471999999997</v>
      </c>
      <c r="AR56" s="784"/>
      <c r="AS56" s="763">
        <v>2.4347192799999999</v>
      </c>
    </row>
    <row r="57" spans="1:45" ht="39.75" thickTop="1" thickBot="1" x14ac:dyDescent="0.3">
      <c r="A57" s="785">
        <v>50</v>
      </c>
      <c r="B57" s="675" t="str">
        <f>+'Anx C '!B55</f>
        <v>C/2022/P0460/Chaharbagh Sch-Lhr-Petty-40</v>
      </c>
      <c r="C57" s="675" t="str">
        <f>+'Anx C '!C55</f>
        <v>M/S Sindhu</v>
      </c>
      <c r="D57" s="675"/>
      <c r="E57" s="733">
        <f>'Anx C '!E55</f>
        <v>17.165237999999999</v>
      </c>
      <c r="F57" s="733">
        <f>'Anx C '!F55</f>
        <v>14.976773</v>
      </c>
      <c r="G57" s="783"/>
      <c r="H57" s="677">
        <f>'Anx C '!G55*87.251/100</f>
        <v>0</v>
      </c>
      <c r="I57" s="677">
        <f t="shared" si="27"/>
        <v>0</v>
      </c>
      <c r="J57" s="677">
        <f>(H57-I57)*7/100</f>
        <v>0</v>
      </c>
      <c r="K57" s="677">
        <v>0</v>
      </c>
      <c r="L57" s="783"/>
      <c r="M57" s="677">
        <f t="shared" si="29"/>
        <v>0</v>
      </c>
      <c r="N57" s="677">
        <f>'Anx C '!H55*87.251/100</f>
        <v>2.1812749999999999</v>
      </c>
      <c r="O57" s="677">
        <f t="shared" si="30"/>
        <v>0.10906374999999999</v>
      </c>
      <c r="P57" s="677">
        <f>+'Anx F Contr '!G174</f>
        <v>0.74533000000000005</v>
      </c>
      <c r="Q57" s="761">
        <f>(N57-O57)*7/100</f>
        <v>0.1450547875</v>
      </c>
      <c r="R57" s="242"/>
      <c r="S57" s="316">
        <f t="shared" si="31"/>
        <v>1.1818264625000001</v>
      </c>
      <c r="T57" s="316"/>
      <c r="U57" s="677">
        <f>'Anx C '!I55*87.251/100</f>
        <v>0</v>
      </c>
      <c r="V57" s="677">
        <f t="shared" si="32"/>
        <v>0</v>
      </c>
      <c r="W57" s="532">
        <f t="shared" si="6"/>
        <v>0</v>
      </c>
      <c r="X57" s="761">
        <f>(U57-V57)*7/100</f>
        <v>0</v>
      </c>
      <c r="Y57" s="784"/>
      <c r="Z57" s="763">
        <f t="shared" si="33"/>
        <v>0</v>
      </c>
      <c r="AA57" s="316">
        <v>0</v>
      </c>
      <c r="AB57" s="316">
        <v>0</v>
      </c>
      <c r="AC57" s="316">
        <v>0</v>
      </c>
      <c r="AD57" s="316">
        <v>0</v>
      </c>
      <c r="AE57" s="316"/>
      <c r="AF57" s="316">
        <v>0</v>
      </c>
      <c r="AG57" s="677">
        <v>2.1812749999999999</v>
      </c>
      <c r="AH57" s="677">
        <v>0.10906374999999999</v>
      </c>
      <c r="AI57" s="677">
        <v>0.74533000000000005</v>
      </c>
      <c r="AJ57" s="761">
        <v>0.1450547875</v>
      </c>
      <c r="AK57" s="242"/>
      <c r="AL57" s="316">
        <v>1.1818264625000001</v>
      </c>
      <c r="AM57" s="316"/>
      <c r="AN57" s="677">
        <v>2.1812749999999999</v>
      </c>
      <c r="AO57" s="677">
        <v>0.10906374999999999</v>
      </c>
      <c r="AP57" s="677">
        <v>0.74533000000000005</v>
      </c>
      <c r="AQ57" s="761">
        <v>0.1450547875</v>
      </c>
      <c r="AR57" s="784"/>
      <c r="AS57" s="763">
        <v>1.1818264625000001</v>
      </c>
    </row>
    <row r="58" spans="1:45" ht="39.75" thickTop="1" thickBot="1" x14ac:dyDescent="0.3">
      <c r="A58" s="785">
        <v>51</v>
      </c>
      <c r="B58" s="675" t="str">
        <f>+'Anx C '!B56</f>
        <v>C/2022/P0460/Chaharbagh Sch-Lhr-Petty-64</v>
      </c>
      <c r="C58" s="675" t="str">
        <f>+'Anx C '!C56</f>
        <v>MS Rashid Minhas</v>
      </c>
      <c r="D58" s="675"/>
      <c r="E58" s="733">
        <f>'Anx C '!E56</f>
        <v>12.361484000000001</v>
      </c>
      <c r="F58" s="733">
        <f>'Anx C '!F56</f>
        <v>11.30598</v>
      </c>
      <c r="G58" s="783"/>
      <c r="H58" s="677">
        <f>'Anx C '!G56*91.461/100</f>
        <v>0</v>
      </c>
      <c r="I58" s="677">
        <f t="shared" si="27"/>
        <v>0</v>
      </c>
      <c r="J58" s="677">
        <f>(H58-I58)*8/100</f>
        <v>0</v>
      </c>
      <c r="K58" s="677"/>
      <c r="L58" s="783"/>
      <c r="M58" s="677">
        <f>H58-I58-J58-K58</f>
        <v>0</v>
      </c>
      <c r="N58" s="677">
        <f>'Anx C '!H56*91.461/100</f>
        <v>11.4600633</v>
      </c>
      <c r="O58" s="677">
        <f t="shared" si="30"/>
        <v>0.57300316500000004</v>
      </c>
      <c r="P58" s="677"/>
      <c r="Q58" s="761">
        <f t="shared" si="17"/>
        <v>0.87096481079999999</v>
      </c>
      <c r="R58" s="242"/>
      <c r="S58" s="316">
        <f t="shared" si="31"/>
        <v>10.0160953242</v>
      </c>
      <c r="T58" s="316"/>
      <c r="U58" s="677">
        <f>'Anx C '!I56*91.461/100</f>
        <v>0</v>
      </c>
      <c r="V58" s="677">
        <f t="shared" si="32"/>
        <v>0</v>
      </c>
      <c r="W58" s="532">
        <f t="shared" si="6"/>
        <v>0</v>
      </c>
      <c r="X58" s="761">
        <f t="shared" si="19"/>
        <v>0</v>
      </c>
      <c r="Y58" s="784"/>
      <c r="Z58" s="763">
        <f t="shared" si="33"/>
        <v>0</v>
      </c>
      <c r="AA58" s="316">
        <v>3.8130090899999987</v>
      </c>
      <c r="AB58" s="316">
        <v>0.19065045449999993</v>
      </c>
      <c r="AC58" s="316">
        <v>0.28978869083999986</v>
      </c>
      <c r="AD58" s="316"/>
      <c r="AE58" s="316"/>
      <c r="AF58" s="316">
        <v>3.3325699446599986</v>
      </c>
      <c r="AG58" s="677">
        <v>11.4600633</v>
      </c>
      <c r="AH58" s="677">
        <v>0.57300316500000004</v>
      </c>
      <c r="AI58" s="677"/>
      <c r="AJ58" s="761">
        <v>0.87096481079999999</v>
      </c>
      <c r="AK58" s="242"/>
      <c r="AL58" s="316">
        <v>10.0160953242</v>
      </c>
      <c r="AM58" s="316"/>
      <c r="AN58" s="677">
        <v>11.4600633</v>
      </c>
      <c r="AO58" s="677">
        <v>0.57300316500000004</v>
      </c>
      <c r="AP58" s="677">
        <v>0</v>
      </c>
      <c r="AQ58" s="761">
        <v>0.87096481079999999</v>
      </c>
      <c r="AR58" s="784"/>
      <c r="AS58" s="763">
        <v>10.0160953242</v>
      </c>
    </row>
    <row r="59" spans="1:45" ht="39.75" thickTop="1" thickBot="1" x14ac:dyDescent="0.3">
      <c r="A59" s="785"/>
      <c r="B59" s="675" t="str">
        <f>+'Anx C '!B57</f>
        <v>C/2022/P0460/Chaharbagh Sch-Lhr-Petty-65</v>
      </c>
      <c r="C59" s="675" t="str">
        <f>+'Anx C '!C57</f>
        <v>Ms Ali Engineering</v>
      </c>
      <c r="D59" s="675"/>
      <c r="E59" s="733">
        <f>'Anx C '!E57</f>
        <v>8.6700000000000017</v>
      </c>
      <c r="F59" s="733">
        <f>'Anx C '!F57</f>
        <v>1.8182179999999999</v>
      </c>
      <c r="G59" s="783"/>
      <c r="H59" s="677">
        <f>'Anx C '!G57*'Anx C '!T57/100</f>
        <v>0</v>
      </c>
      <c r="I59" s="677">
        <f>H59*5/100</f>
        <v>0</v>
      </c>
      <c r="J59" s="677">
        <f>(H59-I59)*8/100</f>
        <v>0</v>
      </c>
      <c r="K59" s="677"/>
      <c r="L59" s="783"/>
      <c r="M59" s="677">
        <f>H59-I59-J59-K59</f>
        <v>0</v>
      </c>
      <c r="N59" s="677">
        <f>'Anx C '!H57*'Anx C '!T57/100</f>
        <v>0.1915760048</v>
      </c>
      <c r="O59" s="677">
        <f>N59*5/100</f>
        <v>9.5788002400000009E-3</v>
      </c>
      <c r="P59" s="677"/>
      <c r="Q59" s="761">
        <f>(N59-O59)*8/100</f>
        <v>1.4559776364800001E-2</v>
      </c>
      <c r="R59" s="242"/>
      <c r="S59" s="316">
        <f>N59-O59-P59-Q59</f>
        <v>0.16743742819520002</v>
      </c>
      <c r="T59" s="316"/>
      <c r="U59" s="677">
        <f>'Anx C '!I57*'Anx C '!T57/100</f>
        <v>0</v>
      </c>
      <c r="V59" s="677">
        <f>U59*5/100</f>
        <v>0</v>
      </c>
      <c r="W59" s="532">
        <f t="shared" si="6"/>
        <v>0</v>
      </c>
      <c r="X59" s="761">
        <f>(U59-V59)*8/100</f>
        <v>0</v>
      </c>
      <c r="Y59" s="784"/>
      <c r="Z59" s="763">
        <f>U59-V59-W59-X59</f>
        <v>0</v>
      </c>
      <c r="AA59" s="316">
        <v>0.1915760048</v>
      </c>
      <c r="AB59" s="316">
        <v>9.5788002400000009E-3</v>
      </c>
      <c r="AC59" s="316">
        <v>1.4559776364800001E-2</v>
      </c>
      <c r="AD59" s="316"/>
      <c r="AE59" s="316"/>
      <c r="AF59" s="316">
        <v>0.16743742819520002</v>
      </c>
      <c r="AG59" s="677">
        <v>0.1915760048</v>
      </c>
      <c r="AH59" s="677">
        <v>9.5788002400000009E-3</v>
      </c>
      <c r="AI59" s="677"/>
      <c r="AJ59" s="1052">
        <v>1.4559776364800001E-2</v>
      </c>
      <c r="AK59" s="242"/>
      <c r="AL59" s="316">
        <v>0.16743742819520002</v>
      </c>
      <c r="AM59" s="316"/>
      <c r="AN59" s="677">
        <v>0.1915760048</v>
      </c>
      <c r="AO59" s="677">
        <v>9.5788002400000009E-3</v>
      </c>
      <c r="AP59" s="677">
        <v>0</v>
      </c>
      <c r="AQ59" s="1052">
        <v>1.4559776364800001E-2</v>
      </c>
      <c r="AR59" s="784"/>
      <c r="AS59" s="1053">
        <v>0.16743742819520002</v>
      </c>
    </row>
    <row r="60" spans="1:45" ht="39.75" thickTop="1" thickBot="1" x14ac:dyDescent="0.3">
      <c r="A60" s="785"/>
      <c r="B60" s="675" t="str">
        <f>+'Anx C '!B58</f>
        <v>C/2022/P0460/Chaharbagh Sch-Lhr-Petty-56</v>
      </c>
      <c r="C60" s="675" t="str">
        <f>+'Anx C '!C58</f>
        <v>M/s Horti Group</v>
      </c>
      <c r="D60" s="675"/>
      <c r="E60" s="733">
        <f>'Anx C '!E58</f>
        <v>15.999000000000001</v>
      </c>
      <c r="F60" s="733">
        <f>'Anx C '!F58</f>
        <v>12.798999999999999</v>
      </c>
      <c r="G60" s="783"/>
      <c r="H60" s="677">
        <f>'Anx C '!G58*'Anx C '!T58/100</f>
        <v>0</v>
      </c>
      <c r="I60" s="677">
        <f>H60*5/100</f>
        <v>0</v>
      </c>
      <c r="J60" s="677">
        <f>(H60-I60)*8/100</f>
        <v>0</v>
      </c>
      <c r="K60" s="677"/>
      <c r="L60" s="783"/>
      <c r="M60" s="677">
        <f>H60-I60-J60-K60</f>
        <v>0</v>
      </c>
      <c r="N60" s="677">
        <f>'Anx C '!H58*'Anx C '!T58/100</f>
        <v>10.619834052128258</v>
      </c>
      <c r="O60" s="677">
        <f>N60*5/100</f>
        <v>0.53099170260641282</v>
      </c>
      <c r="P60" s="677"/>
      <c r="Q60" s="761">
        <f>(N60-O60)*8/100</f>
        <v>0.80710738796174764</v>
      </c>
      <c r="R60" s="242"/>
      <c r="S60" s="316">
        <f>N60-O60-P60-Q60</f>
        <v>9.2817349615600975</v>
      </c>
      <c r="T60" s="316"/>
      <c r="U60" s="677">
        <f>'Anx C '!I58*'Anx C '!T58/100</f>
        <v>0</v>
      </c>
      <c r="V60" s="677">
        <f>U60*5/100</f>
        <v>0</v>
      </c>
      <c r="W60" s="532">
        <f t="shared" si="6"/>
        <v>0</v>
      </c>
      <c r="X60" s="761">
        <f>(U60-V60)*8/100</f>
        <v>0</v>
      </c>
      <c r="Y60" s="784"/>
      <c r="Z60" s="763">
        <f>U60-V60-W60-X60</f>
        <v>0</v>
      </c>
      <c r="AA60" s="316"/>
      <c r="AB60" s="316"/>
      <c r="AC60" s="316"/>
      <c r="AD60" s="316"/>
      <c r="AE60" s="316"/>
      <c r="AF60" s="316"/>
      <c r="AG60" s="677"/>
      <c r="AH60" s="677"/>
      <c r="AI60" s="677"/>
      <c r="AJ60" s="1052"/>
      <c r="AK60" s="242"/>
      <c r="AL60" s="316"/>
      <c r="AM60" s="316"/>
      <c r="AN60" s="677"/>
      <c r="AO60" s="677"/>
      <c r="AP60" s="677"/>
      <c r="AQ60" s="1052"/>
      <c r="AR60" s="784"/>
      <c r="AS60" s="1053"/>
    </row>
    <row r="61" spans="1:45" ht="39" thickTop="1" x14ac:dyDescent="0.25">
      <c r="A61" s="785"/>
      <c r="B61" s="675" t="str">
        <f>+'Anx C '!B59</f>
        <v>C/2022/P0460/Chaharbagh Sch-Lhr-Petty-30</v>
      </c>
      <c r="C61" s="675" t="str">
        <f>+'Anx C '!C59</f>
        <v>M/s Malik Faisal</v>
      </c>
      <c r="D61" s="675"/>
      <c r="E61" s="733">
        <f>'Anx C '!E59</f>
        <v>1.63</v>
      </c>
      <c r="F61" s="733">
        <f>'Anx C '!F59</f>
        <v>1.482</v>
      </c>
      <c r="G61" s="783"/>
      <c r="H61" s="677">
        <f>'Anx C '!G59*'Anx C '!T59/100</f>
        <v>1.482</v>
      </c>
      <c r="I61" s="677">
        <f>H61*5/100</f>
        <v>7.4099999999999999E-2</v>
      </c>
      <c r="J61" s="677">
        <f>(H61-I61)*8/100</f>
        <v>0.112632</v>
      </c>
      <c r="K61" s="677"/>
      <c r="L61" s="783"/>
      <c r="M61" s="677">
        <f>H61-I61-J61-K61</f>
        <v>1.2952679999999999</v>
      </c>
      <c r="N61" s="677">
        <f>'Anx C '!H59*'Anx C '!T59/100</f>
        <v>1.482</v>
      </c>
      <c r="O61" s="677">
        <f>N61*5/100</f>
        <v>7.4099999999999999E-2</v>
      </c>
      <c r="P61" s="677"/>
      <c r="Q61" s="761">
        <f>(N61-O61)*8/100</f>
        <v>0.112632</v>
      </c>
      <c r="R61" s="242"/>
      <c r="S61" s="316">
        <f>N61-O61-P61-Q61</f>
        <v>1.2952679999999999</v>
      </c>
      <c r="T61" s="316"/>
      <c r="U61" s="677">
        <f>'Anx C '!I59*'Anx C '!T59/100</f>
        <v>1.482</v>
      </c>
      <c r="V61" s="677">
        <f>U61*5/100</f>
        <v>7.4099999999999999E-2</v>
      </c>
      <c r="W61" s="532">
        <f t="shared" si="6"/>
        <v>0</v>
      </c>
      <c r="X61" s="761">
        <f>(U61-V61)*8/100</f>
        <v>0.112632</v>
      </c>
      <c r="Y61" s="784"/>
      <c r="Z61" s="763">
        <f>U61-V61-W61-X61</f>
        <v>1.2952679999999999</v>
      </c>
      <c r="AA61" s="316"/>
      <c r="AB61" s="316"/>
      <c r="AC61" s="316"/>
      <c r="AD61" s="316"/>
      <c r="AE61" s="316"/>
      <c r="AF61" s="316"/>
      <c r="AG61" s="677"/>
      <c r="AH61" s="677"/>
      <c r="AI61" s="677"/>
      <c r="AJ61" s="1052"/>
      <c r="AK61" s="242"/>
      <c r="AL61" s="316"/>
      <c r="AM61" s="316"/>
      <c r="AN61" s="677"/>
      <c r="AO61" s="677"/>
      <c r="AP61" s="677"/>
      <c r="AQ61" s="1052"/>
      <c r="AR61" s="784"/>
      <c r="AS61" s="1053"/>
    </row>
    <row r="62" spans="1:45" ht="15" x14ac:dyDescent="0.25">
      <c r="A62" s="785"/>
      <c r="B62" s="675"/>
      <c r="C62" s="675"/>
      <c r="D62" s="675"/>
      <c r="E62" s="733"/>
      <c r="F62" s="733"/>
      <c r="G62" s="783"/>
      <c r="H62" s="677"/>
      <c r="I62" s="677"/>
      <c r="J62" s="677"/>
      <c r="K62" s="677"/>
      <c r="L62" s="783"/>
      <c r="M62" s="677"/>
      <c r="N62" s="677"/>
      <c r="O62" s="677"/>
      <c r="P62" s="677"/>
      <c r="Q62" s="1052"/>
      <c r="R62" s="242"/>
      <c r="S62" s="316"/>
      <c r="T62" s="316"/>
      <c r="U62" s="677"/>
      <c r="V62" s="677"/>
      <c r="W62" s="677"/>
      <c r="X62" s="1052"/>
      <c r="Y62" s="784"/>
      <c r="Z62" s="1053"/>
      <c r="AA62" s="316"/>
      <c r="AB62" s="316"/>
      <c r="AC62" s="316"/>
      <c r="AD62" s="316"/>
      <c r="AE62" s="316"/>
      <c r="AF62" s="316"/>
      <c r="AG62" s="677"/>
      <c r="AH62" s="677"/>
      <c r="AI62" s="677"/>
      <c r="AJ62" s="1052"/>
      <c r="AK62" s="242"/>
      <c r="AL62" s="316"/>
      <c r="AM62" s="316"/>
      <c r="AN62" s="677"/>
      <c r="AO62" s="677"/>
      <c r="AP62" s="677"/>
      <c r="AQ62" s="1052"/>
      <c r="AR62" s="784"/>
      <c r="AS62" s="1053"/>
    </row>
    <row r="63" spans="1:45" ht="15" x14ac:dyDescent="0.25">
      <c r="A63" s="785"/>
      <c r="B63" s="675"/>
      <c r="C63" s="675"/>
      <c r="D63" s="675"/>
      <c r="E63" s="733"/>
      <c r="F63" s="733"/>
      <c r="G63" s="783"/>
      <c r="H63" s="677"/>
      <c r="I63" s="677"/>
      <c r="J63" s="677"/>
      <c r="K63" s="677"/>
      <c r="L63" s="783"/>
      <c r="M63" s="677"/>
      <c r="N63" s="677"/>
      <c r="O63" s="677"/>
      <c r="P63" s="677"/>
      <c r="Q63" s="1052"/>
      <c r="R63" s="242"/>
      <c r="S63" s="316"/>
      <c r="T63" s="316"/>
      <c r="U63" s="677"/>
      <c r="V63" s="677"/>
      <c r="W63" s="677"/>
      <c r="X63" s="1052"/>
      <c r="Y63" s="784"/>
      <c r="Z63" s="1053"/>
      <c r="AA63" s="316"/>
      <c r="AB63" s="316"/>
      <c r="AC63" s="316"/>
      <c r="AD63" s="316"/>
      <c r="AE63" s="316"/>
      <c r="AF63" s="316"/>
      <c r="AG63" s="677"/>
      <c r="AH63" s="677"/>
      <c r="AI63" s="677"/>
      <c r="AJ63" s="1052"/>
      <c r="AK63" s="242"/>
      <c r="AL63" s="316"/>
      <c r="AM63" s="316"/>
      <c r="AN63" s="677"/>
      <c r="AO63" s="677"/>
      <c r="AP63" s="677"/>
      <c r="AQ63" s="1052"/>
      <c r="AR63" s="784"/>
      <c r="AS63" s="1053"/>
    </row>
    <row r="64" spans="1:45" ht="15" x14ac:dyDescent="0.25">
      <c r="A64" s="785"/>
      <c r="B64" s="675"/>
      <c r="C64" s="675"/>
      <c r="D64" s="675"/>
      <c r="E64" s="733"/>
      <c r="F64" s="733"/>
      <c r="G64" s="783"/>
      <c r="H64" s="677"/>
      <c r="I64" s="677"/>
      <c r="J64" s="677"/>
      <c r="K64" s="677"/>
      <c r="L64" s="783"/>
      <c r="M64" s="677"/>
      <c r="N64" s="677"/>
      <c r="O64" s="677"/>
      <c r="P64" s="677"/>
      <c r="Q64" s="1052"/>
      <c r="R64" s="242"/>
      <c r="S64" s="316"/>
      <c r="T64" s="316"/>
      <c r="U64" s="677"/>
      <c r="V64" s="677"/>
      <c r="W64" s="677"/>
      <c r="X64" s="1052"/>
      <c r="Y64" s="784"/>
      <c r="Z64" s="1053"/>
      <c r="AA64" s="316"/>
      <c r="AB64" s="316"/>
      <c r="AC64" s="316"/>
      <c r="AD64" s="316"/>
      <c r="AE64" s="316"/>
      <c r="AF64" s="316"/>
      <c r="AG64" s="677"/>
      <c r="AH64" s="677"/>
      <c r="AI64" s="677"/>
      <c r="AJ64" s="1052"/>
      <c r="AK64" s="242"/>
      <c r="AL64" s="316"/>
      <c r="AM64" s="316"/>
      <c r="AN64" s="677"/>
      <c r="AO64" s="677"/>
      <c r="AP64" s="677"/>
      <c r="AQ64" s="1052"/>
      <c r="AR64" s="784"/>
      <c r="AS64" s="1053"/>
    </row>
    <row r="65" spans="1:45" ht="15" x14ac:dyDescent="0.25">
      <c r="A65" s="785"/>
      <c r="B65" s="675"/>
      <c r="C65" s="675"/>
      <c r="D65" s="675"/>
      <c r="E65" s="733"/>
      <c r="F65" s="733"/>
      <c r="G65" s="783"/>
      <c r="H65" s="677"/>
      <c r="I65" s="677"/>
      <c r="J65" s="677"/>
      <c r="K65" s="677"/>
      <c r="L65" s="783"/>
      <c r="M65" s="677"/>
      <c r="N65" s="677"/>
      <c r="O65" s="677"/>
      <c r="P65" s="677"/>
      <c r="Q65" s="1052"/>
      <c r="R65" s="242"/>
      <c r="S65" s="316"/>
      <c r="T65" s="316"/>
      <c r="U65" s="677"/>
      <c r="V65" s="677"/>
      <c r="W65" s="677"/>
      <c r="X65" s="1052"/>
      <c r="Y65" s="784"/>
      <c r="Z65" s="1053"/>
      <c r="AA65" s="316"/>
      <c r="AB65" s="316"/>
      <c r="AC65" s="316"/>
      <c r="AD65" s="316"/>
      <c r="AE65" s="316"/>
      <c r="AF65" s="316"/>
      <c r="AG65" s="677"/>
      <c r="AH65" s="677"/>
      <c r="AI65" s="677"/>
      <c r="AJ65" s="1052"/>
      <c r="AK65" s="242"/>
      <c r="AL65" s="316"/>
      <c r="AM65" s="316"/>
      <c r="AN65" s="677"/>
      <c r="AO65" s="677"/>
      <c r="AP65" s="677"/>
      <c r="AQ65" s="1052"/>
      <c r="AR65" s="784"/>
      <c r="AS65" s="1053"/>
    </row>
    <row r="66" spans="1:45" ht="15" x14ac:dyDescent="0.25">
      <c r="A66" s="785"/>
      <c r="B66" s="675"/>
      <c r="C66" s="675"/>
      <c r="D66" s="675"/>
      <c r="E66" s="733"/>
      <c r="F66" s="733"/>
      <c r="G66" s="783"/>
      <c r="H66" s="677"/>
      <c r="I66" s="677"/>
      <c r="J66" s="677"/>
      <c r="K66" s="677"/>
      <c r="L66" s="783"/>
      <c r="M66" s="677"/>
      <c r="N66" s="677"/>
      <c r="O66" s="677"/>
      <c r="P66" s="677"/>
      <c r="Q66" s="1052"/>
      <c r="R66" s="242"/>
      <c r="S66" s="316"/>
      <c r="T66" s="316"/>
      <c r="U66" s="677"/>
      <c r="V66" s="677"/>
      <c r="W66" s="677"/>
      <c r="X66" s="1052"/>
      <c r="Y66" s="784"/>
      <c r="Z66" s="1053"/>
      <c r="AA66" s="316"/>
      <c r="AB66" s="316"/>
      <c r="AC66" s="316"/>
      <c r="AD66" s="316"/>
      <c r="AE66" s="316"/>
      <c r="AF66" s="316"/>
      <c r="AG66" s="677"/>
      <c r="AH66" s="677"/>
      <c r="AI66" s="677"/>
      <c r="AJ66" s="1052"/>
      <c r="AK66" s="242"/>
      <c r="AL66" s="316"/>
      <c r="AM66" s="316"/>
      <c r="AN66" s="677"/>
      <c r="AO66" s="677"/>
      <c r="AP66" s="677"/>
      <c r="AQ66" s="1052"/>
      <c r="AR66" s="784"/>
      <c r="AS66" s="1053"/>
    </row>
    <row r="67" spans="1:45" ht="15" x14ac:dyDescent="0.25">
      <c r="A67" s="785"/>
      <c r="B67" s="675"/>
      <c r="C67" s="675"/>
      <c r="D67" s="675"/>
      <c r="E67" s="733"/>
      <c r="F67" s="733"/>
      <c r="G67" s="783"/>
      <c r="H67" s="677"/>
      <c r="I67" s="677"/>
      <c r="J67" s="677"/>
      <c r="K67" s="677"/>
      <c r="L67" s="783"/>
      <c r="M67" s="677"/>
      <c r="N67" s="677"/>
      <c r="O67" s="677"/>
      <c r="P67" s="677"/>
      <c r="Q67" s="1052"/>
      <c r="R67" s="242"/>
      <c r="S67" s="316"/>
      <c r="T67" s="316"/>
      <c r="U67" s="677"/>
      <c r="V67" s="677"/>
      <c r="W67" s="677"/>
      <c r="X67" s="1052"/>
      <c r="Y67" s="784"/>
      <c r="Z67" s="1053"/>
      <c r="AA67" s="316"/>
      <c r="AB67" s="316"/>
      <c r="AC67" s="316"/>
      <c r="AD67" s="316"/>
      <c r="AE67" s="316"/>
      <c r="AF67" s="316"/>
      <c r="AG67" s="677"/>
      <c r="AH67" s="677"/>
      <c r="AI67" s="677"/>
      <c r="AJ67" s="1052"/>
      <c r="AK67" s="242"/>
      <c r="AL67" s="316"/>
      <c r="AM67" s="316"/>
      <c r="AN67" s="677"/>
      <c r="AO67" s="677"/>
      <c r="AP67" s="677"/>
      <c r="AQ67" s="1052"/>
      <c r="AR67" s="784"/>
      <c r="AS67" s="1053"/>
    </row>
    <row r="68" spans="1:45" ht="15" x14ac:dyDescent="0.25">
      <c r="A68" s="785"/>
      <c r="B68" s="675"/>
      <c r="C68" s="675"/>
      <c r="D68" s="675"/>
      <c r="E68" s="733"/>
      <c r="F68" s="733"/>
      <c r="G68" s="783"/>
      <c r="H68" s="677"/>
      <c r="I68" s="677"/>
      <c r="J68" s="677"/>
      <c r="K68" s="677"/>
      <c r="L68" s="783"/>
      <c r="M68" s="677"/>
      <c r="N68" s="677"/>
      <c r="O68" s="677"/>
      <c r="P68" s="677"/>
      <c r="Q68" s="1052"/>
      <c r="R68" s="242"/>
      <c r="S68" s="316"/>
      <c r="T68" s="316"/>
      <c r="U68" s="677"/>
      <c r="V68" s="677"/>
      <c r="W68" s="677"/>
      <c r="X68" s="1052"/>
      <c r="Y68" s="784"/>
      <c r="Z68" s="1053"/>
      <c r="AA68" s="316"/>
      <c r="AB68" s="316"/>
      <c r="AC68" s="316"/>
      <c r="AD68" s="316"/>
      <c r="AE68" s="316"/>
      <c r="AF68" s="316"/>
      <c r="AG68" s="677"/>
      <c r="AH68" s="677"/>
      <c r="AI68" s="677"/>
      <c r="AJ68" s="1052"/>
      <c r="AK68" s="242"/>
      <c r="AL68" s="316"/>
      <c r="AM68" s="316"/>
      <c r="AN68" s="677"/>
      <c r="AO68" s="677"/>
      <c r="AP68" s="677"/>
      <c r="AQ68" s="1052"/>
      <c r="AR68" s="784"/>
      <c r="AS68" s="1053"/>
    </row>
    <row r="69" spans="1:45" ht="15" x14ac:dyDescent="0.25">
      <c r="A69" s="785"/>
      <c r="B69" s="675"/>
      <c r="C69" s="675"/>
      <c r="D69" s="675"/>
      <c r="E69" s="733"/>
      <c r="F69" s="733"/>
      <c r="G69" s="783"/>
      <c r="H69" s="677"/>
      <c r="I69" s="677"/>
      <c r="J69" s="677"/>
      <c r="K69" s="677"/>
      <c r="L69" s="783"/>
      <c r="M69" s="677"/>
      <c r="N69" s="677"/>
      <c r="O69" s="677"/>
      <c r="P69" s="677"/>
      <c r="Q69" s="1052"/>
      <c r="R69" s="242"/>
      <c r="S69" s="316"/>
      <c r="T69" s="316"/>
      <c r="U69" s="677"/>
      <c r="V69" s="677"/>
      <c r="W69" s="677"/>
      <c r="X69" s="1052"/>
      <c r="Y69" s="784"/>
      <c r="Z69" s="1053"/>
      <c r="AA69" s="316"/>
      <c r="AB69" s="316"/>
      <c r="AC69" s="316"/>
      <c r="AD69" s="316"/>
      <c r="AE69" s="316"/>
      <c r="AF69" s="316"/>
      <c r="AG69" s="677"/>
      <c r="AH69" s="677"/>
      <c r="AI69" s="677"/>
      <c r="AJ69" s="1052"/>
      <c r="AK69" s="242"/>
      <c r="AL69" s="316"/>
      <c r="AM69" s="316"/>
      <c r="AN69" s="677"/>
      <c r="AO69" s="677"/>
      <c r="AP69" s="677"/>
      <c r="AQ69" s="1052"/>
      <c r="AR69" s="784"/>
      <c r="AS69" s="1053"/>
    </row>
    <row r="70" spans="1:45" ht="15" x14ac:dyDescent="0.25">
      <c r="A70" s="785"/>
      <c r="B70" s="675"/>
      <c r="C70" s="675"/>
      <c r="D70" s="675"/>
      <c r="E70" s="733"/>
      <c r="F70" s="733"/>
      <c r="G70" s="783"/>
      <c r="H70" s="677"/>
      <c r="I70" s="677"/>
      <c r="J70" s="677"/>
      <c r="K70" s="677"/>
      <c r="L70" s="783"/>
      <c r="M70" s="677"/>
      <c r="N70" s="677"/>
      <c r="O70" s="677"/>
      <c r="P70" s="677"/>
      <c r="Q70" s="1052"/>
      <c r="R70" s="242"/>
      <c r="S70" s="316"/>
      <c r="T70" s="316"/>
      <c r="U70" s="677"/>
      <c r="V70" s="677"/>
      <c r="W70" s="677"/>
      <c r="X70" s="1052"/>
      <c r="Y70" s="784"/>
      <c r="Z70" s="1053"/>
      <c r="AA70" s="316"/>
      <c r="AB70" s="316"/>
      <c r="AC70" s="316"/>
      <c r="AD70" s="316"/>
      <c r="AE70" s="316"/>
      <c r="AF70" s="316"/>
      <c r="AG70" s="677"/>
      <c r="AH70" s="677"/>
      <c r="AI70" s="677"/>
      <c r="AJ70" s="1052"/>
      <c r="AK70" s="242"/>
      <c r="AL70" s="316"/>
      <c r="AM70" s="316"/>
      <c r="AN70" s="677"/>
      <c r="AO70" s="677"/>
      <c r="AP70" s="677"/>
      <c r="AQ70" s="1052"/>
      <c r="AR70" s="784"/>
      <c r="AS70" s="1053"/>
    </row>
    <row r="71" spans="1:45" ht="15" x14ac:dyDescent="0.25">
      <c r="A71" s="785"/>
      <c r="B71" s="675"/>
      <c r="C71" s="675"/>
      <c r="D71" s="675"/>
      <c r="E71" s="733"/>
      <c r="F71" s="733"/>
      <c r="G71" s="783"/>
      <c r="H71" s="677"/>
      <c r="I71" s="677"/>
      <c r="J71" s="677"/>
      <c r="K71" s="677"/>
      <c r="L71" s="783"/>
      <c r="M71" s="677"/>
      <c r="N71" s="677"/>
      <c r="O71" s="677"/>
      <c r="P71" s="677"/>
      <c r="Q71" s="1052"/>
      <c r="R71" s="242"/>
      <c r="S71" s="316"/>
      <c r="T71" s="316"/>
      <c r="U71" s="677"/>
      <c r="V71" s="677"/>
      <c r="W71" s="677"/>
      <c r="X71" s="1052"/>
      <c r="Y71" s="784"/>
      <c r="Z71" s="1053"/>
      <c r="AA71" s="316"/>
      <c r="AB71" s="316"/>
      <c r="AC71" s="316"/>
      <c r="AD71" s="316"/>
      <c r="AE71" s="316"/>
      <c r="AF71" s="316"/>
      <c r="AG71" s="677"/>
      <c r="AH71" s="677"/>
      <c r="AI71" s="677"/>
      <c r="AJ71" s="1052"/>
      <c r="AK71" s="242"/>
      <c r="AL71" s="316"/>
      <c r="AM71" s="316"/>
      <c r="AN71" s="677"/>
      <c r="AO71" s="677"/>
      <c r="AP71" s="677"/>
      <c r="AQ71" s="1052"/>
      <c r="AR71" s="784"/>
      <c r="AS71" s="1053"/>
    </row>
    <row r="72" spans="1:45" ht="15" x14ac:dyDescent="0.25">
      <c r="A72" s="785"/>
      <c r="B72" s="675"/>
      <c r="C72" s="675"/>
      <c r="D72" s="675"/>
      <c r="E72" s="733"/>
      <c r="F72" s="733"/>
      <c r="G72" s="783"/>
      <c r="H72" s="677"/>
      <c r="I72" s="677"/>
      <c r="J72" s="677"/>
      <c r="K72" s="677"/>
      <c r="L72" s="783"/>
      <c r="M72" s="677"/>
      <c r="N72" s="677"/>
      <c r="O72" s="677"/>
      <c r="P72" s="677"/>
      <c r="Q72" s="1052"/>
      <c r="R72" s="242"/>
      <c r="S72" s="316"/>
      <c r="T72" s="316"/>
      <c r="U72" s="677"/>
      <c r="V72" s="677"/>
      <c r="W72" s="677"/>
      <c r="X72" s="1052"/>
      <c r="Y72" s="784"/>
      <c r="Z72" s="1053"/>
      <c r="AA72" s="316"/>
      <c r="AB72" s="316"/>
      <c r="AC72" s="316"/>
      <c r="AD72" s="316"/>
      <c r="AE72" s="316"/>
      <c r="AF72" s="316"/>
      <c r="AG72" s="677"/>
      <c r="AH72" s="677"/>
      <c r="AI72" s="677"/>
      <c r="AJ72" s="1052"/>
      <c r="AK72" s="242"/>
      <c r="AL72" s="316"/>
      <c r="AM72" s="316"/>
      <c r="AN72" s="677"/>
      <c r="AO72" s="677"/>
      <c r="AP72" s="677"/>
      <c r="AQ72" s="1052"/>
      <c r="AR72" s="784"/>
      <c r="AS72" s="1053"/>
    </row>
    <row r="73" spans="1:45" ht="15" x14ac:dyDescent="0.25">
      <c r="A73" s="785"/>
      <c r="B73" s="675"/>
      <c r="C73" s="675"/>
      <c r="D73" s="675"/>
      <c r="E73" s="733"/>
      <c r="F73" s="733"/>
      <c r="G73" s="783"/>
      <c r="H73" s="677"/>
      <c r="I73" s="677"/>
      <c r="J73" s="677"/>
      <c r="K73" s="677"/>
      <c r="L73" s="783"/>
      <c r="M73" s="677"/>
      <c r="N73" s="677"/>
      <c r="O73" s="677"/>
      <c r="P73" s="677"/>
      <c r="Q73" s="1052"/>
      <c r="R73" s="242"/>
      <c r="S73" s="316"/>
      <c r="T73" s="316"/>
      <c r="U73" s="677"/>
      <c r="V73" s="677"/>
      <c r="W73" s="677"/>
      <c r="X73" s="1052"/>
      <c r="Y73" s="784"/>
      <c r="Z73" s="1053"/>
      <c r="AA73" s="316"/>
      <c r="AB73" s="316"/>
      <c r="AC73" s="316"/>
      <c r="AD73" s="316"/>
      <c r="AE73" s="316"/>
      <c r="AF73" s="316"/>
      <c r="AG73" s="677"/>
      <c r="AH73" s="677"/>
      <c r="AI73" s="677"/>
      <c r="AJ73" s="1052"/>
      <c r="AK73" s="242"/>
      <c r="AL73" s="316"/>
      <c r="AM73" s="316"/>
      <c r="AN73" s="677"/>
      <c r="AO73" s="677"/>
      <c r="AP73" s="677"/>
      <c r="AQ73" s="1052"/>
      <c r="AR73" s="784"/>
      <c r="AS73" s="1053"/>
    </row>
    <row r="74" spans="1:45" ht="15" x14ac:dyDescent="0.25">
      <c r="A74" s="785"/>
      <c r="B74" s="675"/>
      <c r="C74" s="675"/>
      <c r="D74" s="675"/>
      <c r="E74" s="733"/>
      <c r="F74" s="733"/>
      <c r="G74" s="783"/>
      <c r="H74" s="677"/>
      <c r="I74" s="677"/>
      <c r="J74" s="677"/>
      <c r="K74" s="677"/>
      <c r="L74" s="783"/>
      <c r="M74" s="677"/>
      <c r="N74" s="677"/>
      <c r="O74" s="677"/>
      <c r="P74" s="677"/>
      <c r="Q74" s="1052"/>
      <c r="R74" s="242"/>
      <c r="S74" s="316"/>
      <c r="T74" s="316"/>
      <c r="U74" s="677"/>
      <c r="V74" s="677"/>
      <c r="W74" s="677"/>
      <c r="X74" s="1052"/>
      <c r="Y74" s="784"/>
      <c r="Z74" s="1053"/>
      <c r="AA74" s="316"/>
      <c r="AB74" s="316"/>
      <c r="AC74" s="316"/>
      <c r="AD74" s="316"/>
      <c r="AE74" s="316"/>
      <c r="AF74" s="316"/>
      <c r="AG74" s="677"/>
      <c r="AH74" s="677"/>
      <c r="AI74" s="677"/>
      <c r="AJ74" s="1052"/>
      <c r="AK74" s="242"/>
      <c r="AL74" s="316"/>
      <c r="AM74" s="316"/>
      <c r="AN74" s="677"/>
      <c r="AO74" s="677"/>
      <c r="AP74" s="677"/>
      <c r="AQ74" s="1052"/>
      <c r="AR74" s="784"/>
      <c r="AS74" s="1053"/>
    </row>
    <row r="75" spans="1:45" ht="15" x14ac:dyDescent="0.25">
      <c r="A75" s="785"/>
      <c r="B75" s="675"/>
      <c r="C75" s="675"/>
      <c r="D75" s="675"/>
      <c r="E75" s="733"/>
      <c r="F75" s="733"/>
      <c r="G75" s="783"/>
      <c r="H75" s="677"/>
      <c r="I75" s="677"/>
      <c r="J75" s="677"/>
      <c r="K75" s="677"/>
      <c r="L75" s="783"/>
      <c r="M75" s="677"/>
      <c r="N75" s="677"/>
      <c r="O75" s="677"/>
      <c r="P75" s="677"/>
      <c r="Q75" s="1052"/>
      <c r="R75" s="242"/>
      <c r="S75" s="316"/>
      <c r="T75" s="316"/>
      <c r="U75" s="677"/>
      <c r="V75" s="677"/>
      <c r="W75" s="677"/>
      <c r="X75" s="1052"/>
      <c r="Y75" s="784"/>
      <c r="Z75" s="1053"/>
      <c r="AA75" s="316"/>
      <c r="AB75" s="316"/>
      <c r="AC75" s="316"/>
      <c r="AD75" s="316"/>
      <c r="AE75" s="316"/>
      <c r="AF75" s="316"/>
      <c r="AG75" s="677"/>
      <c r="AH75" s="677"/>
      <c r="AI75" s="677"/>
      <c r="AJ75" s="1052"/>
      <c r="AK75" s="242"/>
      <c r="AL75" s="316"/>
      <c r="AM75" s="316"/>
      <c r="AN75" s="677"/>
      <c r="AO75" s="677"/>
      <c r="AP75" s="677"/>
      <c r="AQ75" s="1052"/>
      <c r="AR75" s="784"/>
      <c r="AS75" s="1053"/>
    </row>
    <row r="76" spans="1:45" ht="15" x14ac:dyDescent="0.25">
      <c r="A76" s="785"/>
      <c r="B76" s="675"/>
      <c r="C76" s="675"/>
      <c r="D76" s="675"/>
      <c r="E76" s="733"/>
      <c r="F76" s="733"/>
      <c r="G76" s="783"/>
      <c r="H76" s="677"/>
      <c r="I76" s="677"/>
      <c r="J76" s="677"/>
      <c r="K76" s="677"/>
      <c r="L76" s="783"/>
      <c r="M76" s="677"/>
      <c r="N76" s="677"/>
      <c r="O76" s="677"/>
      <c r="P76" s="677"/>
      <c r="Q76" s="1052"/>
      <c r="R76" s="242"/>
      <c r="S76" s="316"/>
      <c r="T76" s="316"/>
      <c r="U76" s="677"/>
      <c r="V76" s="677"/>
      <c r="W76" s="677"/>
      <c r="X76" s="1052"/>
      <c r="Y76" s="784"/>
      <c r="Z76" s="1053"/>
      <c r="AA76" s="316"/>
      <c r="AB76" s="316"/>
      <c r="AC76" s="316"/>
      <c r="AD76" s="316"/>
      <c r="AE76" s="316"/>
      <c r="AF76" s="316"/>
      <c r="AG76" s="677"/>
      <c r="AH76" s="677"/>
      <c r="AI76" s="677"/>
      <c r="AJ76" s="1052"/>
      <c r="AK76" s="242"/>
      <c r="AL76" s="316"/>
      <c r="AM76" s="316"/>
      <c r="AN76" s="677"/>
      <c r="AO76" s="677"/>
      <c r="AP76" s="677"/>
      <c r="AQ76" s="1052"/>
      <c r="AR76" s="784"/>
      <c r="AS76" s="1053"/>
    </row>
    <row r="77" spans="1:45" ht="15" x14ac:dyDescent="0.25">
      <c r="A77" s="785"/>
      <c r="B77" s="675"/>
      <c r="C77" s="675"/>
      <c r="D77" s="675"/>
      <c r="E77" s="733"/>
      <c r="F77" s="733"/>
      <c r="G77" s="783"/>
      <c r="H77" s="677"/>
      <c r="I77" s="677"/>
      <c r="J77" s="677"/>
      <c r="K77" s="677"/>
      <c r="L77" s="783"/>
      <c r="M77" s="677"/>
      <c r="N77" s="677"/>
      <c r="O77" s="677"/>
      <c r="P77" s="677"/>
      <c r="Q77" s="1052"/>
      <c r="R77" s="242"/>
      <c r="S77" s="316"/>
      <c r="T77" s="316"/>
      <c r="U77" s="677"/>
      <c r="V77" s="677"/>
      <c r="W77" s="677"/>
      <c r="X77" s="1052"/>
      <c r="Y77" s="784"/>
      <c r="Z77" s="1053"/>
      <c r="AA77" s="316"/>
      <c r="AB77" s="316"/>
      <c r="AC77" s="316"/>
      <c r="AD77" s="316"/>
      <c r="AE77" s="316"/>
      <c r="AF77" s="316"/>
      <c r="AG77" s="677"/>
      <c r="AH77" s="677"/>
      <c r="AI77" s="677"/>
      <c r="AJ77" s="1052"/>
      <c r="AK77" s="242"/>
      <c r="AL77" s="316"/>
      <c r="AM77" s="316"/>
      <c r="AN77" s="677"/>
      <c r="AO77" s="677"/>
      <c r="AP77" s="677"/>
      <c r="AQ77" s="1052"/>
      <c r="AR77" s="784"/>
      <c r="AS77" s="1053"/>
    </row>
    <row r="78" spans="1:45" ht="15" x14ac:dyDescent="0.25">
      <c r="A78" s="785"/>
      <c r="B78" s="675"/>
      <c r="C78" s="675"/>
      <c r="D78" s="675"/>
      <c r="E78" s="733"/>
      <c r="F78" s="733"/>
      <c r="G78" s="783"/>
      <c r="H78" s="677"/>
      <c r="I78" s="677"/>
      <c r="J78" s="677"/>
      <c r="K78" s="677"/>
      <c r="L78" s="783"/>
      <c r="M78" s="677"/>
      <c r="N78" s="677"/>
      <c r="O78" s="677"/>
      <c r="P78" s="677"/>
      <c r="Q78" s="1052"/>
      <c r="R78" s="242"/>
      <c r="S78" s="316"/>
      <c r="T78" s="316"/>
      <c r="U78" s="677"/>
      <c r="V78" s="677"/>
      <c r="W78" s="677"/>
      <c r="X78" s="1052"/>
      <c r="Y78" s="784"/>
      <c r="Z78" s="1053"/>
      <c r="AA78" s="316"/>
      <c r="AB78" s="316"/>
      <c r="AC78" s="316"/>
      <c r="AD78" s="316"/>
      <c r="AE78" s="316"/>
      <c r="AF78" s="316"/>
      <c r="AG78" s="677"/>
      <c r="AH78" s="677"/>
      <c r="AI78" s="677"/>
      <c r="AJ78" s="1052"/>
      <c r="AK78" s="242"/>
      <c r="AL78" s="316"/>
      <c r="AM78" s="316"/>
      <c r="AN78" s="677"/>
      <c r="AO78" s="677"/>
      <c r="AP78" s="677"/>
      <c r="AQ78" s="1052"/>
      <c r="AR78" s="784"/>
      <c r="AS78" s="1053"/>
    </row>
    <row r="79" spans="1:45" ht="38.25" customHeight="1" x14ac:dyDescent="0.25">
      <c r="A79" s="1215" t="s">
        <v>51</v>
      </c>
      <c r="B79" s="1215"/>
      <c r="C79" s="1215"/>
      <c r="D79" s="1215"/>
      <c r="E79" s="786">
        <f>SUM(E7:E78)</f>
        <v>874.89720700000021</v>
      </c>
      <c r="F79" s="786">
        <f t="shared" ref="F79:Z79" si="34">SUM(F7:F78)</f>
        <v>755.48851499999978</v>
      </c>
      <c r="G79" s="786">
        <f t="shared" si="34"/>
        <v>0.71186244118349196</v>
      </c>
      <c r="H79" s="786">
        <f t="shared" si="34"/>
        <v>2.0683761924000001</v>
      </c>
      <c r="I79" s="786">
        <f t="shared" si="34"/>
        <v>0.10341880962</v>
      </c>
      <c r="J79" s="786">
        <f t="shared" si="34"/>
        <v>0.1516260167946</v>
      </c>
      <c r="K79" s="786">
        <f t="shared" si="34"/>
        <v>0</v>
      </c>
      <c r="L79" s="786">
        <f t="shared" si="34"/>
        <v>0</v>
      </c>
      <c r="M79" s="786">
        <f t="shared" si="34"/>
        <v>1.8133313659854</v>
      </c>
      <c r="N79" s="786">
        <f t="shared" si="34"/>
        <v>447.09515611150852</v>
      </c>
      <c r="O79" s="786">
        <f t="shared" si="34"/>
        <v>22.354757805575414</v>
      </c>
      <c r="P79" s="786">
        <f t="shared" si="34"/>
        <v>70.347745999999987</v>
      </c>
      <c r="Q79" s="786">
        <f t="shared" si="34"/>
        <v>32.123856471924626</v>
      </c>
      <c r="R79" s="786">
        <f t="shared" si="34"/>
        <v>0.753</v>
      </c>
      <c r="S79" s="786">
        <f t="shared" si="34"/>
        <v>321.51579583400826</v>
      </c>
      <c r="T79" s="786">
        <f t="shared" si="34"/>
        <v>116.64735817584821</v>
      </c>
      <c r="U79" s="786">
        <f t="shared" si="34"/>
        <v>2.0683761924000001</v>
      </c>
      <c r="V79" s="786">
        <f t="shared" si="34"/>
        <v>0.10341880962</v>
      </c>
      <c r="W79" s="786">
        <f t="shared" si="34"/>
        <v>0</v>
      </c>
      <c r="X79" s="786">
        <f t="shared" si="34"/>
        <v>0.15719659062239999</v>
      </c>
      <c r="Y79" s="786">
        <f t="shared" si="34"/>
        <v>0</v>
      </c>
      <c r="Z79" s="786">
        <f t="shared" si="34"/>
        <v>1.8077607921576</v>
      </c>
      <c r="AA79" s="786">
        <f t="shared" ref="AA79:AS79" si="35">SUM(AA7:AA78)</f>
        <v>33.547474574799999</v>
      </c>
      <c r="AB79" s="786">
        <f t="shared" si="35"/>
        <v>1.6773737287399999</v>
      </c>
      <c r="AC79" s="786">
        <f t="shared" si="35"/>
        <v>2.4735880624898008</v>
      </c>
      <c r="AD79" s="786">
        <f t="shared" si="35"/>
        <v>0</v>
      </c>
      <c r="AE79" s="786">
        <f t="shared" si="35"/>
        <v>0</v>
      </c>
      <c r="AF79" s="786">
        <f t="shared" si="35"/>
        <v>29.396512783570198</v>
      </c>
      <c r="AG79" s="786">
        <f t="shared" si="35"/>
        <v>434.40694586698021</v>
      </c>
      <c r="AH79" s="786">
        <f t="shared" si="35"/>
        <v>21.720347293348997</v>
      </c>
      <c r="AI79" s="786">
        <f t="shared" si="35"/>
        <v>68.495345999999998</v>
      </c>
      <c r="AJ79" s="786">
        <f t="shared" si="35"/>
        <v>31.159552493340481</v>
      </c>
      <c r="AK79" s="786">
        <f t="shared" si="35"/>
        <v>0.753</v>
      </c>
      <c r="AL79" s="786">
        <f t="shared" si="35"/>
        <v>312.27870008029055</v>
      </c>
      <c r="AM79" s="786">
        <f t="shared" si="35"/>
        <v>116.64735817584821</v>
      </c>
      <c r="AN79" s="786">
        <f t="shared" si="35"/>
        <v>255.46898892698002</v>
      </c>
      <c r="AO79" s="786">
        <f t="shared" si="35"/>
        <v>12.773449446349</v>
      </c>
      <c r="AP79" s="786">
        <f t="shared" si="35"/>
        <v>26.292192</v>
      </c>
      <c r="AQ79" s="786">
        <f t="shared" si="35"/>
        <v>19.260178356830483</v>
      </c>
      <c r="AR79" s="786">
        <f t="shared" si="35"/>
        <v>0</v>
      </c>
      <c r="AS79" s="786">
        <f t="shared" si="35"/>
        <v>197.14316912380056</v>
      </c>
    </row>
    <row r="80" spans="1:45" x14ac:dyDescent="0.25">
      <c r="C80" s="67"/>
      <c r="D80" s="77"/>
      <c r="E80" s="86"/>
      <c r="F80" s="86"/>
      <c r="G80" s="86"/>
      <c r="H80" s="86"/>
      <c r="I80" s="86"/>
      <c r="J80" s="86"/>
      <c r="K80" s="86"/>
      <c r="L80" s="86"/>
      <c r="M80" s="86"/>
      <c r="N80" s="86"/>
      <c r="O80" s="86"/>
      <c r="P80" s="86"/>
      <c r="Q80" s="86"/>
      <c r="R80" s="86"/>
      <c r="S80" s="86"/>
      <c r="T80" s="86"/>
      <c r="U80" s="71"/>
      <c r="AG80" s="86"/>
      <c r="AH80" s="86"/>
      <c r="AI80" s="86"/>
      <c r="AJ80" s="86"/>
      <c r="AK80" s="86"/>
      <c r="AL80" s="86"/>
      <c r="AM80" s="86"/>
      <c r="AN80" s="71"/>
    </row>
    <row r="81" spans="3:45" x14ac:dyDescent="0.25">
      <c r="C81" s="67"/>
      <c r="E81" s="77">
        <f>E79-F79</f>
        <v>119.40869200000043</v>
      </c>
      <c r="H81" s="67">
        <v>100</v>
      </c>
      <c r="N81" s="223"/>
      <c r="AG81" s="1058">
        <v>400.85947129218027</v>
      </c>
      <c r="AH81" s="77">
        <v>20.042973564608999</v>
      </c>
      <c r="AI81" s="77">
        <v>68.495345999999998</v>
      </c>
      <c r="AJ81" s="77">
        <v>28.641426649695674</v>
      </c>
      <c r="AK81" s="77">
        <v>0.753</v>
      </c>
      <c r="AL81" s="77">
        <v>282.9267250778754</v>
      </c>
      <c r="AM81" s="77">
        <v>116.64735817584821</v>
      </c>
      <c r="AN81" s="77">
        <v>221.92151435217994</v>
      </c>
      <c r="AO81" s="77">
        <v>11.096075717608997</v>
      </c>
      <c r="AP81" s="1058">
        <v>26.292192</v>
      </c>
      <c r="AQ81" s="77">
        <v>16.74205251318568</v>
      </c>
      <c r="AR81" s="77">
        <v>0</v>
      </c>
      <c r="AS81" s="77">
        <v>167.79119412138533</v>
      </c>
    </row>
    <row r="82" spans="3:45" x14ac:dyDescent="0.25">
      <c r="E82" s="67">
        <f>E81/E79*100</f>
        <v>13.648311029526511</v>
      </c>
      <c r="F82" s="249">
        <f>100-12.785</f>
        <v>87.215000000000003</v>
      </c>
      <c r="G82" s="249"/>
      <c r="H82" s="249" t="s">
        <v>336</v>
      </c>
      <c r="I82" s="249">
        <v>1</v>
      </c>
      <c r="J82" s="249"/>
      <c r="K82" s="249"/>
      <c r="L82" s="249"/>
      <c r="M82" s="249"/>
      <c r="N82" s="105"/>
      <c r="O82" s="249"/>
      <c r="P82" s="249"/>
      <c r="Q82" s="249"/>
      <c r="R82" s="249"/>
      <c r="S82" s="249"/>
      <c r="T82" s="249"/>
      <c r="AG82" s="105"/>
      <c r="AH82" s="249"/>
      <c r="AI82" s="249"/>
      <c r="AJ82" s="249"/>
      <c r="AK82" s="249"/>
      <c r="AL82" s="249"/>
      <c r="AM82" s="249"/>
    </row>
    <row r="83" spans="3:45" x14ac:dyDescent="0.25">
      <c r="F83" s="250"/>
      <c r="G83" s="250"/>
      <c r="H83" s="250"/>
      <c r="I83" s="250">
        <v>0.77281999999999995</v>
      </c>
      <c r="J83" s="250"/>
      <c r="K83" s="250"/>
      <c r="L83" s="250"/>
      <c r="M83" s="250"/>
      <c r="N83" s="250"/>
      <c r="O83" s="250"/>
      <c r="P83" s="250"/>
      <c r="Q83" s="250"/>
      <c r="R83" s="250"/>
      <c r="S83" s="250"/>
      <c r="T83" s="250"/>
      <c r="AG83" s="250"/>
      <c r="AH83" s="250"/>
      <c r="AI83" s="250"/>
      <c r="AJ83" s="250"/>
      <c r="AK83" s="250"/>
      <c r="AL83" s="250"/>
      <c r="AM83" s="250"/>
    </row>
    <row r="84" spans="3:45" x14ac:dyDescent="0.25">
      <c r="F84" s="77">
        <f>E79-F79</f>
        <v>119.40869200000043</v>
      </c>
      <c r="I84" s="250">
        <f>I82-I83</f>
        <v>0.22718000000000005</v>
      </c>
    </row>
    <row r="85" spans="3:45" x14ac:dyDescent="0.25">
      <c r="F85" s="67">
        <f>F84/E79*100</f>
        <v>13.648311029526511</v>
      </c>
    </row>
    <row r="86" spans="3:45" x14ac:dyDescent="0.25">
      <c r="F86" s="67">
        <f>14.686-'Anx C '!E8</f>
        <v>-6.0670000000000002</v>
      </c>
    </row>
    <row r="87" spans="3:45" x14ac:dyDescent="0.25">
      <c r="F87" s="67">
        <f>F86/'Anx C '!E8*100</f>
        <v>-29.234327567098735</v>
      </c>
    </row>
    <row r="88" spans="3:45" x14ac:dyDescent="0.25">
      <c r="F88" s="67">
        <f>100-29.23</f>
        <v>70.77</v>
      </c>
    </row>
    <row r="104" spans="3:3" x14ac:dyDescent="0.25">
      <c r="C104" s="76"/>
    </row>
    <row r="105" spans="3:3" x14ac:dyDescent="0.25">
      <c r="C105" s="76"/>
    </row>
    <row r="106" spans="3:3" x14ac:dyDescent="0.25">
      <c r="C106" s="76"/>
    </row>
    <row r="107" spans="3:3" x14ac:dyDescent="0.25">
      <c r="C107" s="76"/>
    </row>
    <row r="108" spans="3:3" x14ac:dyDescent="0.25">
      <c r="C108" s="76"/>
    </row>
    <row r="109" spans="3:3" x14ac:dyDescent="0.25">
      <c r="C109" s="76"/>
    </row>
    <row r="110" spans="3:3" x14ac:dyDescent="0.25">
      <c r="C110" s="76"/>
    </row>
    <row r="111" spans="3:3" x14ac:dyDescent="0.25">
      <c r="C111" s="76"/>
    </row>
    <row r="112" spans="3:3" x14ac:dyDescent="0.25">
      <c r="C112" s="76"/>
    </row>
    <row r="113" spans="3:3" x14ac:dyDescent="0.25">
      <c r="C113" s="76"/>
    </row>
    <row r="114" spans="3:3" x14ac:dyDescent="0.25">
      <c r="C114" s="76"/>
    </row>
    <row r="115" spans="3:3" x14ac:dyDescent="0.25">
      <c r="C115" s="76"/>
    </row>
    <row r="116" spans="3:3" x14ac:dyDescent="0.25">
      <c r="C116" s="76"/>
    </row>
    <row r="117" spans="3:3" x14ac:dyDescent="0.25">
      <c r="C117" s="76"/>
    </row>
    <row r="118" spans="3:3" x14ac:dyDescent="0.25">
      <c r="C118" s="76"/>
    </row>
    <row r="119" spans="3:3" x14ac:dyDescent="0.25">
      <c r="C119" s="76"/>
    </row>
    <row r="120" spans="3:3" x14ac:dyDescent="0.25">
      <c r="C120" s="76"/>
    </row>
  </sheetData>
  <mergeCells count="18">
    <mergeCell ref="A2:U2"/>
    <mergeCell ref="A3:U3"/>
    <mergeCell ref="F5:F6"/>
    <mergeCell ref="B5:B6"/>
    <mergeCell ref="U5:Z5"/>
    <mergeCell ref="N5:S5"/>
    <mergeCell ref="C5:C6"/>
    <mergeCell ref="E5:E6"/>
    <mergeCell ref="A5:A6"/>
    <mergeCell ref="D5:D6"/>
    <mergeCell ref="AG4:AS4"/>
    <mergeCell ref="AA5:AF5"/>
    <mergeCell ref="AZ5:BE5"/>
    <mergeCell ref="BF5:BJ5"/>
    <mergeCell ref="A79:D79"/>
    <mergeCell ref="H5:M5"/>
    <mergeCell ref="AG5:AL5"/>
    <mergeCell ref="AN5:AS5"/>
  </mergeCells>
  <printOptions horizontalCentered="1"/>
  <pageMargins left="0.59055118110236227" right="0.35433070866141736" top="0.59055118110236227" bottom="0.31496062992125984" header="0.15748031496062992" footer="0.19685039370078741"/>
  <pageSetup paperSize="9" scale="50" orientation="landscape" r:id="rId1"/>
  <headerFooter alignWithMargins="0"/>
  <drawing r:id="rId2"/>
  <legacyDrawing r:id="rId3"/>
  <oleObjects>
    <mc:AlternateContent xmlns:mc="http://schemas.openxmlformats.org/markup-compatibility/2006">
      <mc:Choice Requires="x14">
        <oleObject progId="Word.Picture.8" shapeId="6145" r:id="rId4">
          <objectPr defaultSize="0" autoPict="0" r:id="rId5">
            <anchor moveWithCells="1" sizeWithCells="1">
              <from>
                <xdr:col>0</xdr:col>
                <xdr:colOff>9525</xdr:colOff>
                <xdr:row>0</xdr:row>
                <xdr:rowOff>9525</xdr:rowOff>
              </from>
              <to>
                <xdr:col>0</xdr:col>
                <xdr:colOff>142875</xdr:colOff>
                <xdr:row>1</xdr:row>
                <xdr:rowOff>28575</xdr:rowOff>
              </to>
            </anchor>
          </objectPr>
        </oleObject>
      </mc:Choice>
      <mc:Fallback>
        <oleObject progId="Word.Picture.8" shapeId="6145" r:id="rId4"/>
      </mc:Fallback>
    </mc:AlternateContent>
    <mc:AlternateContent xmlns:mc="http://schemas.openxmlformats.org/markup-compatibility/2006">
      <mc:Choice Requires="x14">
        <oleObject progId="Word.Picture.8" shapeId="6146" r:id="rId6">
          <objectPr defaultSize="0" autoPict="0" r:id="rId5">
            <anchor moveWithCells="1" sizeWithCells="1">
              <from>
                <xdr:col>0</xdr:col>
                <xdr:colOff>9525</xdr:colOff>
                <xdr:row>84</xdr:row>
                <xdr:rowOff>0</xdr:rowOff>
              </from>
              <to>
                <xdr:col>0</xdr:col>
                <xdr:colOff>142875</xdr:colOff>
                <xdr:row>84</xdr:row>
                <xdr:rowOff>0</xdr:rowOff>
              </to>
            </anchor>
          </objectPr>
        </oleObject>
      </mc:Choice>
      <mc:Fallback>
        <oleObject progId="Word.Picture.8" shapeId="6146" r:id="rId6"/>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0000"/>
  </sheetPr>
  <dimension ref="A1:W363"/>
  <sheetViews>
    <sheetView zoomScale="80" zoomScaleNormal="80" workbookViewId="0">
      <pane xSplit="3" ySplit="8" topLeftCell="D164" activePane="bottomRight" state="frozen"/>
      <selection pane="topRight" activeCell="D1" sqref="D1"/>
      <selection pane="bottomLeft" activeCell="A9" sqref="A9"/>
      <selection pane="bottomRight" activeCell="G169" sqref="G169"/>
    </sheetView>
  </sheetViews>
  <sheetFormatPr defaultColWidth="9.140625" defaultRowHeight="12.75" x14ac:dyDescent="0.25"/>
  <cols>
    <col min="1" max="1" width="3.85546875" style="67" customWidth="1"/>
    <col min="2" max="2" width="23.140625" style="67" customWidth="1"/>
    <col min="3" max="3" width="18.140625" style="148" customWidth="1"/>
    <col min="4" max="4" width="6.5703125" style="148" customWidth="1"/>
    <col min="5" max="5" width="12.28515625" style="148" bestFit="1" customWidth="1"/>
    <col min="6" max="6" width="8.42578125" style="148" bestFit="1" customWidth="1"/>
    <col min="7" max="7" width="9.140625" style="148" bestFit="1" customWidth="1"/>
    <col min="8" max="8" width="7.85546875" style="148" bestFit="1" customWidth="1"/>
    <col min="9" max="9" width="6.5703125" style="148" customWidth="1"/>
    <col min="10" max="10" width="9.140625" style="148" bestFit="1" customWidth="1"/>
    <col min="11" max="11" width="6.5703125" style="148" customWidth="1"/>
    <col min="12" max="12" width="10.140625" style="148" bestFit="1" customWidth="1"/>
    <col min="13" max="13" width="11.28515625" style="148" bestFit="1" customWidth="1"/>
    <col min="14" max="14" width="13.42578125" style="148" customWidth="1"/>
    <col min="15" max="15" width="13.42578125" style="67" customWidth="1"/>
    <col min="16" max="16" width="22.42578125" style="67" bestFit="1" customWidth="1"/>
    <col min="17" max="17" width="15.140625" style="67" customWidth="1"/>
    <col min="18" max="18" width="14.85546875" style="67" bestFit="1" customWidth="1"/>
    <col min="19" max="19" width="16.5703125" style="67" customWidth="1"/>
    <col min="20" max="21" width="10.5703125" style="67" bestFit="1" customWidth="1"/>
    <col min="22" max="16384" width="9.140625" style="67"/>
  </cols>
  <sheetData>
    <row r="1" spans="1:20" ht="15" x14ac:dyDescent="0.25">
      <c r="A1" s="1211" t="s">
        <v>73</v>
      </c>
      <c r="B1" s="1211"/>
      <c r="C1" s="1211"/>
      <c r="D1" s="1211"/>
      <c r="E1" s="1211"/>
      <c r="F1" s="1211"/>
      <c r="G1" s="1211"/>
      <c r="H1" s="1211"/>
      <c r="I1" s="1211"/>
      <c r="J1" s="1211"/>
      <c r="K1" s="1211"/>
      <c r="L1" s="1211"/>
      <c r="M1" s="1211"/>
      <c r="N1" s="1211"/>
      <c r="O1" s="1211"/>
      <c r="P1" s="1211"/>
    </row>
    <row r="2" spans="1:20" ht="15.75" x14ac:dyDescent="0.25">
      <c r="A2" s="98"/>
      <c r="B2" s="98"/>
      <c r="C2" s="98"/>
      <c r="D2" s="98"/>
      <c r="E2" s="98"/>
      <c r="F2" s="98"/>
      <c r="G2" s="98"/>
      <c r="H2" s="98"/>
      <c r="I2" s="98"/>
      <c r="J2" s="98"/>
      <c r="K2" s="98"/>
      <c r="L2" s="98"/>
      <c r="M2" s="98"/>
      <c r="N2" s="98"/>
      <c r="O2" s="98"/>
      <c r="P2" s="103" t="str">
        <f>"MONTH - "&amp;Summary!G6</f>
        <v>MONTH - July 2025</v>
      </c>
    </row>
    <row r="3" spans="1:20" ht="16.5" customHeight="1" x14ac:dyDescent="0.25">
      <c r="A3" s="1177" t="s">
        <v>126</v>
      </c>
      <c r="B3" s="1177"/>
      <c r="C3" s="1177"/>
      <c r="D3" s="1177"/>
      <c r="E3" s="1177"/>
      <c r="F3" s="1177"/>
      <c r="G3" s="1177"/>
      <c r="H3" s="1177"/>
      <c r="I3" s="1177"/>
      <c r="J3" s="1177"/>
      <c r="K3" s="1177"/>
      <c r="L3" s="1177"/>
      <c r="M3" s="1177"/>
      <c r="N3" s="1177"/>
      <c r="O3" s="1177"/>
      <c r="P3" s="1177"/>
    </row>
    <row r="4" spans="1:20" ht="15.75" x14ac:dyDescent="0.25">
      <c r="A4" s="1179" t="str">
        <f>'Anx E'!A3:U3</f>
        <v xml:space="preserve">PMU NLC INFRA DEV WORKS at Chahar Bagh (RUDA ) </v>
      </c>
      <c r="B4" s="1179"/>
      <c r="C4" s="1179"/>
      <c r="D4" s="1179"/>
      <c r="E4" s="1179"/>
      <c r="F4" s="1179"/>
      <c r="G4" s="1179"/>
      <c r="H4" s="1179"/>
      <c r="I4" s="1179"/>
      <c r="J4" s="1179"/>
      <c r="K4" s="1179"/>
      <c r="L4" s="1179"/>
      <c r="M4" s="1179"/>
      <c r="N4" s="1179"/>
      <c r="O4" s="1179"/>
      <c r="P4" s="1179"/>
    </row>
    <row r="5" spans="1:20" ht="15.75" x14ac:dyDescent="0.25">
      <c r="A5" s="1179"/>
      <c r="B5" s="1179"/>
      <c r="C5" s="1179"/>
      <c r="D5" s="1179"/>
      <c r="E5" s="1179"/>
      <c r="F5" s="1179"/>
      <c r="G5" s="1179"/>
      <c r="H5" s="1179"/>
      <c r="I5" s="1179"/>
      <c r="J5" s="1179"/>
      <c r="K5" s="1179"/>
      <c r="L5" s="1179"/>
      <c r="M5" s="1179"/>
      <c r="N5" s="1179"/>
      <c r="O5" s="1179"/>
      <c r="P5" s="1179"/>
    </row>
    <row r="6" spans="1:20" ht="13.5" thickBot="1" x14ac:dyDescent="0.3">
      <c r="A6" s="72"/>
      <c r="B6" s="72"/>
      <c r="C6" s="72"/>
      <c r="D6" s="72"/>
      <c r="E6" s="72"/>
      <c r="F6" s="72"/>
      <c r="G6" s="72"/>
      <c r="H6" s="72"/>
      <c r="I6" s="72"/>
      <c r="J6" s="72"/>
      <c r="K6" s="72"/>
      <c r="L6" s="72"/>
      <c r="M6" s="72"/>
      <c r="N6" s="72"/>
      <c r="O6" s="72"/>
      <c r="P6" s="73" t="s">
        <v>107</v>
      </c>
    </row>
    <row r="7" spans="1:20" ht="21.75" customHeight="1" thickTop="1" thickBot="1" x14ac:dyDescent="0.3">
      <c r="A7" s="1254" t="s">
        <v>120</v>
      </c>
      <c r="B7" s="1213" t="s">
        <v>261</v>
      </c>
      <c r="C7" s="1213" t="s">
        <v>185</v>
      </c>
      <c r="D7" s="1213" t="s">
        <v>55</v>
      </c>
      <c r="E7" s="1213"/>
      <c r="F7" s="1213"/>
      <c r="G7" s="1213"/>
      <c r="H7" s="1213"/>
      <c r="I7" s="1213"/>
      <c r="J7" s="1213"/>
      <c r="K7" s="1213"/>
      <c r="L7" s="1213"/>
      <c r="M7" s="1213"/>
      <c r="N7" s="1213"/>
      <c r="O7" s="1254" t="s">
        <v>130</v>
      </c>
      <c r="P7" s="1254" t="s">
        <v>131</v>
      </c>
      <c r="Q7" s="1257"/>
    </row>
    <row r="8" spans="1:20" ht="99.75" customHeight="1" thickTop="1" x14ac:dyDescent="0.25">
      <c r="A8" s="1255"/>
      <c r="B8" s="1256"/>
      <c r="C8" s="1256"/>
      <c r="D8" s="251" t="s">
        <v>127</v>
      </c>
      <c r="E8" s="251" t="s">
        <v>124</v>
      </c>
      <c r="F8" s="251" t="s">
        <v>27</v>
      </c>
      <c r="G8" s="251" t="s">
        <v>233</v>
      </c>
      <c r="H8" s="251" t="s">
        <v>661</v>
      </c>
      <c r="I8" s="251" t="s">
        <v>226</v>
      </c>
      <c r="J8" s="328" t="s">
        <v>308</v>
      </c>
      <c r="K8" s="251" t="s">
        <v>229</v>
      </c>
      <c r="L8" s="251" t="s">
        <v>125</v>
      </c>
      <c r="M8" s="251" t="s">
        <v>128</v>
      </c>
      <c r="N8" s="251" t="s">
        <v>129</v>
      </c>
      <c r="O8" s="1255"/>
      <c r="P8" s="1255"/>
      <c r="Q8" s="1257"/>
    </row>
    <row r="9" spans="1:20" ht="14.25" x14ac:dyDescent="0.25">
      <c r="A9" s="1236">
        <v>1</v>
      </c>
      <c r="B9" s="1242" t="str">
        <f>'Anx C '!C8</f>
        <v>M/s Muhammad Rafique Contractor (MRC)</v>
      </c>
      <c r="C9" s="1239" t="s">
        <v>530</v>
      </c>
      <c r="D9" s="327">
        <v>1</v>
      </c>
      <c r="E9" s="910">
        <v>3.177</v>
      </c>
      <c r="F9" s="910">
        <f>E9*5/100</f>
        <v>0.15884999999999999</v>
      </c>
      <c r="G9" s="1110"/>
      <c r="H9" s="1110"/>
      <c r="I9" s="1110"/>
      <c r="J9" s="1111">
        <f>(E9-F9)*7/100</f>
        <v>0.2112705</v>
      </c>
      <c r="K9" s="1112"/>
      <c r="L9" s="1113">
        <f>E9-F9-G9-H9-I9-J9</f>
        <v>2.8068795</v>
      </c>
      <c r="M9" s="1111">
        <v>2.8069999999999999</v>
      </c>
      <c r="N9" s="1111">
        <f>L9-M9</f>
        <v>-1.2049999999996786E-4</v>
      </c>
      <c r="O9" s="394">
        <v>144870</v>
      </c>
      <c r="P9" s="395">
        <v>44977</v>
      </c>
      <c r="R9" s="67">
        <v>1435000</v>
      </c>
      <c r="S9" s="67">
        <f>R9*7/100</f>
        <v>100450</v>
      </c>
      <c r="T9" s="67">
        <f>R9-S9</f>
        <v>1334550</v>
      </c>
    </row>
    <row r="10" spans="1:20" ht="25.5" x14ac:dyDescent="0.25">
      <c r="A10" s="1237"/>
      <c r="B10" s="1243"/>
      <c r="C10" s="1240"/>
      <c r="D10" s="327">
        <v>2</v>
      </c>
      <c r="E10" s="910">
        <v>4.9939999999999998</v>
      </c>
      <c r="F10" s="910">
        <f>E10*5/100</f>
        <v>0.24969999999999998</v>
      </c>
      <c r="G10" s="1110"/>
      <c r="H10" s="1110"/>
      <c r="I10" s="1110"/>
      <c r="J10" s="1111">
        <f>(E10-F10)*7/100</f>
        <v>0.33210099999999998</v>
      </c>
      <c r="K10" s="1112"/>
      <c r="L10" s="1113">
        <f>E10-F10-G10-H10-I10-J10</f>
        <v>4.4121990000000002</v>
      </c>
      <c r="M10" s="1111">
        <f>2+2.412</f>
        <v>4.4119999999999999</v>
      </c>
      <c r="N10" s="1111">
        <f>L10-M10</f>
        <v>1.9900000000028228E-4</v>
      </c>
      <c r="O10" s="394" t="s">
        <v>500</v>
      </c>
      <c r="P10" s="395" t="s">
        <v>501</v>
      </c>
    </row>
    <row r="11" spans="1:20" ht="14.25" x14ac:dyDescent="0.25">
      <c r="A11" s="1237"/>
      <c r="B11" s="1243"/>
      <c r="C11" s="1240"/>
      <c r="D11" s="327">
        <v>3</v>
      </c>
      <c r="E11" s="910">
        <v>0</v>
      </c>
      <c r="F11" s="910">
        <v>-0.376</v>
      </c>
      <c r="G11" s="1110"/>
      <c r="H11" s="1110"/>
      <c r="I11" s="1110"/>
      <c r="J11" s="1111"/>
      <c r="K11" s="1112"/>
      <c r="L11" s="1113">
        <f>E11-F11-G11-H11-I11-J11</f>
        <v>0.376</v>
      </c>
      <c r="M11" s="1111">
        <v>0.376</v>
      </c>
      <c r="N11" s="391">
        <f>L11-M11</f>
        <v>0</v>
      </c>
      <c r="O11" s="394">
        <v>169826</v>
      </c>
      <c r="P11" s="395">
        <v>45310</v>
      </c>
    </row>
    <row r="12" spans="1:20" ht="14.25" x14ac:dyDescent="0.25">
      <c r="A12" s="1238"/>
      <c r="B12" s="1244"/>
      <c r="C12" s="1241"/>
      <c r="D12" s="327"/>
      <c r="E12" s="316"/>
      <c r="F12" s="316"/>
      <c r="G12" s="317"/>
      <c r="H12" s="317"/>
      <c r="I12" s="317"/>
      <c r="J12" s="391"/>
      <c r="K12" s="392"/>
      <c r="L12" s="393"/>
      <c r="M12" s="391"/>
      <c r="N12" s="391"/>
      <c r="O12" s="394"/>
      <c r="P12" s="395"/>
    </row>
    <row r="13" spans="1:20" ht="13.5" customHeight="1" x14ac:dyDescent="0.25">
      <c r="A13" s="1229"/>
      <c r="B13" s="1230"/>
      <c r="C13" s="1231"/>
      <c r="D13" s="327"/>
      <c r="E13" s="319">
        <f>SUM(E9:E12)</f>
        <v>8.1709999999999994</v>
      </c>
      <c r="F13" s="319">
        <f t="shared" ref="F13:N13" si="0">SUM(F9:F12)</f>
        <v>3.2549999999999968E-2</v>
      </c>
      <c r="G13" s="319">
        <f t="shared" si="0"/>
        <v>0</v>
      </c>
      <c r="H13" s="319">
        <f t="shared" si="0"/>
        <v>0</v>
      </c>
      <c r="I13" s="319">
        <f t="shared" si="0"/>
        <v>0</v>
      </c>
      <c r="J13" s="319">
        <f t="shared" si="0"/>
        <v>0.54337150000000001</v>
      </c>
      <c r="K13" s="319">
        <f t="shared" si="0"/>
        <v>0</v>
      </c>
      <c r="L13" s="319">
        <f t="shared" si="0"/>
        <v>7.5950785000000005</v>
      </c>
      <c r="M13" s="1118">
        <f t="shared" si="0"/>
        <v>7.5949999999999998</v>
      </c>
      <c r="N13" s="319">
        <f t="shared" si="0"/>
        <v>7.8500000000314429E-5</v>
      </c>
      <c r="O13" s="394"/>
      <c r="P13" s="395"/>
      <c r="Q13" s="71">
        <f>E13-F13-G13-H13-I13-J13-K13</f>
        <v>7.5950784999999987</v>
      </c>
      <c r="R13" s="86">
        <f>Q13-L13</f>
        <v>0</v>
      </c>
    </row>
    <row r="14" spans="1:20" ht="14.25" x14ac:dyDescent="0.25">
      <c r="A14" s="1236">
        <v>2</v>
      </c>
      <c r="B14" s="1242" t="s">
        <v>509</v>
      </c>
      <c r="C14" s="1239" t="s">
        <v>510</v>
      </c>
      <c r="D14" s="327">
        <v>1</v>
      </c>
      <c r="E14" s="910">
        <v>1.2529999999999999</v>
      </c>
      <c r="F14" s="910">
        <f>E14*5/100</f>
        <v>6.2649999999999997E-2</v>
      </c>
      <c r="G14" s="1110"/>
      <c r="H14" s="1110"/>
      <c r="I14" s="1110"/>
      <c r="J14" s="1111">
        <f>0.083</f>
        <v>8.3000000000000004E-2</v>
      </c>
      <c r="K14" s="1112"/>
      <c r="L14" s="1113">
        <f>E14-F14-G14-H14-I14-J14</f>
        <v>1.1073499999999998</v>
      </c>
      <c r="M14" s="1111">
        <v>1.107</v>
      </c>
      <c r="N14" s="391">
        <f>L14-M14</f>
        <v>3.4999999999985043E-4</v>
      </c>
      <c r="O14" s="394">
        <v>148569</v>
      </c>
      <c r="P14" s="395">
        <v>45034</v>
      </c>
      <c r="Q14" s="71">
        <f t="shared" ref="Q14:Q77" si="1">E14-F14-G14-H14-I14-J14-K14</f>
        <v>1.1073499999999998</v>
      </c>
      <c r="R14" s="86">
        <f t="shared" ref="R14:R77" si="2">Q14-L14</f>
        <v>0</v>
      </c>
    </row>
    <row r="15" spans="1:20" ht="14.25" x14ac:dyDescent="0.25">
      <c r="A15" s="1237"/>
      <c r="B15" s="1243"/>
      <c r="C15" s="1240"/>
      <c r="D15" s="327">
        <v>2</v>
      </c>
      <c r="E15" s="910">
        <v>0.52100000000000002</v>
      </c>
      <c r="F15" s="910">
        <v>2.5999999999999999E-2</v>
      </c>
      <c r="G15" s="1110"/>
      <c r="H15" s="1110"/>
      <c r="I15" s="1110"/>
      <c r="J15" s="1111">
        <f>(E15-F15)*7/100</f>
        <v>3.465E-2</v>
      </c>
      <c r="K15" s="1112"/>
      <c r="L15" s="1113">
        <f>E15-F15-G15-H15-I15-J15</f>
        <v>0.46034999999999998</v>
      </c>
      <c r="M15" s="1111">
        <v>0.46</v>
      </c>
      <c r="N15" s="391">
        <f>L15-M15</f>
        <v>3.4999999999996145E-4</v>
      </c>
      <c r="O15" s="394">
        <v>152605</v>
      </c>
      <c r="P15" s="395">
        <v>45090</v>
      </c>
      <c r="Q15" s="71">
        <f t="shared" si="1"/>
        <v>0.46034999999999998</v>
      </c>
      <c r="R15" s="86">
        <f t="shared" si="2"/>
        <v>0</v>
      </c>
    </row>
    <row r="16" spans="1:20" ht="14.25" x14ac:dyDescent="0.25">
      <c r="A16" s="1237"/>
      <c r="B16" s="1243"/>
      <c r="C16" s="1240"/>
      <c r="D16" s="327">
        <v>3</v>
      </c>
      <c r="E16" s="910">
        <v>1.5429999999999999</v>
      </c>
      <c r="F16" s="910">
        <v>7.6999999999999999E-2</v>
      </c>
      <c r="G16" s="1110"/>
      <c r="H16" s="1110"/>
      <c r="I16" s="1110"/>
      <c r="J16" s="1111">
        <f>(E16-F16)*7/100</f>
        <v>0.10262</v>
      </c>
      <c r="K16" s="1112"/>
      <c r="L16" s="1113">
        <f>E16-F16-G16-H16-I16-J16</f>
        <v>1.36338</v>
      </c>
      <c r="M16" s="1111">
        <v>1.363</v>
      </c>
      <c r="N16" s="391">
        <f>L16-M16</f>
        <v>3.8000000000004697E-4</v>
      </c>
      <c r="O16" s="394">
        <v>153561</v>
      </c>
      <c r="P16" s="395">
        <v>45101</v>
      </c>
      <c r="Q16" s="71">
        <f t="shared" si="1"/>
        <v>1.36338</v>
      </c>
      <c r="R16" s="86">
        <f t="shared" si="2"/>
        <v>0</v>
      </c>
    </row>
    <row r="17" spans="1:18" ht="14.25" x14ac:dyDescent="0.25">
      <c r="A17" s="1238"/>
      <c r="B17" s="1244"/>
      <c r="C17" s="1241"/>
      <c r="D17" s="327" t="s">
        <v>660</v>
      </c>
      <c r="E17" s="910"/>
      <c r="F17" s="910">
        <v>-0.152</v>
      </c>
      <c r="G17" s="1110"/>
      <c r="H17" s="1110"/>
      <c r="I17" s="1110"/>
      <c r="J17" s="1111"/>
      <c r="K17" s="1112"/>
      <c r="L17" s="1113">
        <v>0.152</v>
      </c>
      <c r="M17" s="1111">
        <v>0.152</v>
      </c>
      <c r="N17" s="391"/>
      <c r="O17" s="394">
        <v>177955</v>
      </c>
      <c r="P17" s="395">
        <v>45455</v>
      </c>
      <c r="Q17" s="71">
        <f t="shared" si="1"/>
        <v>0.152</v>
      </c>
      <c r="R17" s="86">
        <f t="shared" si="2"/>
        <v>0</v>
      </c>
    </row>
    <row r="18" spans="1:18" ht="15" x14ac:dyDescent="0.25">
      <c r="A18" s="1229"/>
      <c r="B18" s="1230"/>
      <c r="C18" s="1231"/>
      <c r="D18" s="327"/>
      <c r="E18" s="319">
        <f>SUM(E14:E17)</f>
        <v>3.3170000000000002</v>
      </c>
      <c r="F18" s="319">
        <f t="shared" ref="F18:N18" si="3">SUM(F14:F17)</f>
        <v>1.3649999999999995E-2</v>
      </c>
      <c r="G18" s="319">
        <f t="shared" si="3"/>
        <v>0</v>
      </c>
      <c r="H18" s="319">
        <f t="shared" si="3"/>
        <v>0</v>
      </c>
      <c r="I18" s="319">
        <f t="shared" si="3"/>
        <v>0</v>
      </c>
      <c r="J18" s="319">
        <f t="shared" si="3"/>
        <v>0.22027000000000002</v>
      </c>
      <c r="K18" s="319">
        <f t="shared" si="3"/>
        <v>0</v>
      </c>
      <c r="L18" s="319">
        <f t="shared" si="3"/>
        <v>3.0830799999999998</v>
      </c>
      <c r="M18" s="1118">
        <f t="shared" si="3"/>
        <v>3.0819999999999999</v>
      </c>
      <c r="N18" s="319">
        <f t="shared" si="3"/>
        <v>1.0799999999998589E-3</v>
      </c>
      <c r="O18" s="394"/>
      <c r="P18" s="395"/>
      <c r="Q18" s="71">
        <f t="shared" si="1"/>
        <v>3.0830799999999998</v>
      </c>
      <c r="R18" s="86">
        <f t="shared" si="2"/>
        <v>0</v>
      </c>
    </row>
    <row r="19" spans="1:18" ht="14.25" x14ac:dyDescent="0.25">
      <c r="A19" s="1248">
        <v>3</v>
      </c>
      <c r="B19" s="1242" t="s">
        <v>463</v>
      </c>
      <c r="C19" s="1239" t="s">
        <v>511</v>
      </c>
      <c r="D19" s="1105">
        <v>1</v>
      </c>
      <c r="E19" s="910">
        <v>0.95099999999999996</v>
      </c>
      <c r="F19" s="910">
        <f>E19*5/100</f>
        <v>4.7550000000000002E-2</v>
      </c>
      <c r="G19" s="1110"/>
      <c r="H19" s="1110"/>
      <c r="I19" s="1110"/>
      <c r="J19" s="1111">
        <v>6.3E-2</v>
      </c>
      <c r="K19" s="1112"/>
      <c r="L19" s="1113">
        <f>E19-F19-G19-H19-I19-J19</f>
        <v>0.84044999999999992</v>
      </c>
      <c r="M19" s="1111">
        <v>0.84</v>
      </c>
      <c r="N19" s="1111">
        <f>L19-M19</f>
        <v>4.4999999999995044E-4</v>
      </c>
      <c r="O19" s="394">
        <v>148668</v>
      </c>
      <c r="P19" s="395">
        <v>45034</v>
      </c>
      <c r="Q19" s="71">
        <f t="shared" si="1"/>
        <v>0.84044999999999992</v>
      </c>
      <c r="R19" s="86">
        <f t="shared" si="2"/>
        <v>0</v>
      </c>
    </row>
    <row r="20" spans="1:18" ht="14.25" x14ac:dyDescent="0.25">
      <c r="A20" s="1249"/>
      <c r="B20" s="1243"/>
      <c r="C20" s="1240"/>
      <c r="D20" s="1105">
        <v>2</v>
      </c>
      <c r="E20" s="910">
        <v>0.40699999999999997</v>
      </c>
      <c r="F20" s="910">
        <v>0.02</v>
      </c>
      <c r="G20" s="910"/>
      <c r="H20" s="910"/>
      <c r="I20" s="910"/>
      <c r="J20" s="1111">
        <f>(E20-F20)*7/100</f>
        <v>2.7089999999999996E-2</v>
      </c>
      <c r="K20" s="910"/>
      <c r="L20" s="1113">
        <f>E20-F20-G20-H20-I20-J20</f>
        <v>0.35990999999999995</v>
      </c>
      <c r="M20" s="910">
        <v>0.36</v>
      </c>
      <c r="N20" s="1111">
        <f>L20-M20</f>
        <v>-9.0000000000034497E-5</v>
      </c>
      <c r="O20" s="394">
        <v>151414</v>
      </c>
      <c r="P20" s="395">
        <v>45082</v>
      </c>
      <c r="Q20" s="71">
        <f t="shared" si="1"/>
        <v>0.35990999999999995</v>
      </c>
      <c r="R20" s="86">
        <f t="shared" si="2"/>
        <v>0</v>
      </c>
    </row>
    <row r="21" spans="1:18" ht="14.25" x14ac:dyDescent="0.25">
      <c r="A21" s="1249"/>
      <c r="B21" s="1243"/>
      <c r="C21" s="1240"/>
      <c r="D21" s="1105">
        <v>3</v>
      </c>
      <c r="E21" s="910">
        <v>1.3680000000000001</v>
      </c>
      <c r="F21" s="910">
        <v>6.8000000000000005E-2</v>
      </c>
      <c r="G21" s="910"/>
      <c r="H21" s="910"/>
      <c r="I21" s="910"/>
      <c r="J21" s="1111">
        <f>(E21-F21)*7/100</f>
        <v>9.0999999999999998E-2</v>
      </c>
      <c r="K21" s="910"/>
      <c r="L21" s="1113">
        <f>E21-F21-G21-H21-I21-J21</f>
        <v>1.2090000000000001</v>
      </c>
      <c r="M21" s="910">
        <v>1.2090000000000001</v>
      </c>
      <c r="N21" s="1111">
        <f>L21-M21</f>
        <v>0</v>
      </c>
      <c r="O21" s="394">
        <v>152504</v>
      </c>
      <c r="P21" s="395">
        <v>45084</v>
      </c>
      <c r="Q21" s="71">
        <f t="shared" si="1"/>
        <v>1.2090000000000001</v>
      </c>
      <c r="R21" s="86">
        <f t="shared" si="2"/>
        <v>0</v>
      </c>
    </row>
    <row r="22" spans="1:18" ht="14.25" x14ac:dyDescent="0.25">
      <c r="A22" s="1249"/>
      <c r="B22" s="1243"/>
      <c r="C22" s="1240"/>
      <c r="D22" s="327">
        <v>4</v>
      </c>
      <c r="E22" s="910">
        <v>0.53100000000000003</v>
      </c>
      <c r="F22" s="910">
        <v>1.2E-2</v>
      </c>
      <c r="G22" s="910"/>
      <c r="H22" s="910"/>
      <c r="I22" s="910"/>
      <c r="J22" s="1111">
        <v>4.1000000000000002E-2</v>
      </c>
      <c r="K22" s="910"/>
      <c r="L22" s="1113">
        <f>E22-F22-G22-H22-I22-J22</f>
        <v>0.47800000000000004</v>
      </c>
      <c r="M22" s="910">
        <v>0.47799999999999998</v>
      </c>
      <c r="N22" s="391">
        <f>L22-M22</f>
        <v>0</v>
      </c>
      <c r="O22" s="394">
        <v>168328</v>
      </c>
      <c r="P22" s="395">
        <v>45292</v>
      </c>
      <c r="Q22" s="71">
        <f t="shared" si="1"/>
        <v>0.47800000000000004</v>
      </c>
      <c r="R22" s="86">
        <f t="shared" si="2"/>
        <v>0</v>
      </c>
    </row>
    <row r="23" spans="1:18" ht="14.25" x14ac:dyDescent="0.25">
      <c r="A23" s="1250"/>
      <c r="B23" s="1244"/>
      <c r="C23" s="1241"/>
      <c r="D23" s="1105" t="s">
        <v>660</v>
      </c>
      <c r="E23" s="910"/>
      <c r="F23" s="910">
        <v>-0.14799999999999999</v>
      </c>
      <c r="G23" s="910"/>
      <c r="H23" s="910"/>
      <c r="I23" s="910"/>
      <c r="J23" s="910"/>
      <c r="K23" s="910"/>
      <c r="L23" s="910">
        <v>0.14799999999999999</v>
      </c>
      <c r="M23" s="910">
        <v>0.14799999999999999</v>
      </c>
      <c r="N23" s="391">
        <f>L23-M23</f>
        <v>0</v>
      </c>
      <c r="O23" s="394">
        <v>183095</v>
      </c>
      <c r="P23" s="395">
        <v>45603</v>
      </c>
      <c r="Q23" s="71">
        <f t="shared" si="1"/>
        <v>0.14799999999999999</v>
      </c>
      <c r="R23" s="86">
        <f t="shared" si="2"/>
        <v>0</v>
      </c>
    </row>
    <row r="24" spans="1:18" ht="15" x14ac:dyDescent="0.25">
      <c r="A24" s="642"/>
      <c r="B24" s="670"/>
      <c r="C24" s="670"/>
      <c r="D24" s="327"/>
      <c r="E24" s="319">
        <f>SUM(E19:E23)</f>
        <v>3.2570000000000001</v>
      </c>
      <c r="F24" s="319">
        <f t="shared" ref="F24:N24" si="4">SUM(F19:F23)</f>
        <v>-4.499999999999782E-4</v>
      </c>
      <c r="G24" s="319">
        <f t="shared" si="4"/>
        <v>0</v>
      </c>
      <c r="H24" s="319">
        <f t="shared" si="4"/>
        <v>0</v>
      </c>
      <c r="I24" s="319">
        <f t="shared" si="4"/>
        <v>0</v>
      </c>
      <c r="J24" s="319">
        <f t="shared" si="4"/>
        <v>0.22209000000000001</v>
      </c>
      <c r="K24" s="319">
        <f t="shared" si="4"/>
        <v>0</v>
      </c>
      <c r="L24" s="319">
        <f t="shared" si="4"/>
        <v>3.0353600000000003</v>
      </c>
      <c r="M24" s="1118">
        <f t="shared" si="4"/>
        <v>3.0349999999999997</v>
      </c>
      <c r="N24" s="319">
        <f t="shared" si="4"/>
        <v>3.5999999999991594E-4</v>
      </c>
      <c r="O24" s="394"/>
      <c r="P24" s="395"/>
      <c r="Q24" s="71">
        <f t="shared" si="1"/>
        <v>3.0353599999999998</v>
      </c>
      <c r="R24" s="86">
        <f t="shared" si="2"/>
        <v>0</v>
      </c>
    </row>
    <row r="25" spans="1:18" ht="14.25" x14ac:dyDescent="0.25">
      <c r="A25" s="1236">
        <v>4</v>
      </c>
      <c r="B25" s="1242" t="s">
        <v>463</v>
      </c>
      <c r="C25" s="1239" t="s">
        <v>512</v>
      </c>
      <c r="D25" s="327">
        <v>1</v>
      </c>
      <c r="E25" s="910">
        <v>0.80600000000000005</v>
      </c>
      <c r="F25" s="910">
        <v>0.04</v>
      </c>
      <c r="G25" s="1110"/>
      <c r="H25" s="1110"/>
      <c r="I25" s="1110"/>
      <c r="J25" s="1111">
        <v>5.3999999999999999E-2</v>
      </c>
      <c r="K25" s="1112"/>
      <c r="L25" s="1113">
        <f>E25-F25-G25-H25-I25-J25</f>
        <v>0.71199999999999997</v>
      </c>
      <c r="M25" s="1111">
        <v>0.71199999999999997</v>
      </c>
      <c r="N25" s="391">
        <f>L25-M25</f>
        <v>0</v>
      </c>
      <c r="O25" s="394">
        <v>148669</v>
      </c>
      <c r="P25" s="395">
        <v>45034</v>
      </c>
      <c r="Q25" s="71">
        <f t="shared" si="1"/>
        <v>0.71199999999999997</v>
      </c>
      <c r="R25" s="86">
        <f t="shared" si="2"/>
        <v>0</v>
      </c>
    </row>
    <row r="26" spans="1:18" ht="14.25" x14ac:dyDescent="0.25">
      <c r="A26" s="1237"/>
      <c r="B26" s="1243"/>
      <c r="C26" s="1240"/>
      <c r="D26" s="327">
        <v>2</v>
      </c>
      <c r="E26" s="910">
        <v>0.34499999999999997</v>
      </c>
      <c r="F26" s="910">
        <v>1.7000000000000001E-2</v>
      </c>
      <c r="G26" s="1110"/>
      <c r="H26" s="1110"/>
      <c r="I26" s="1110"/>
      <c r="J26" s="1111">
        <f>(E26-F26)*7/100</f>
        <v>2.2959999999999998E-2</v>
      </c>
      <c r="K26" s="1112"/>
      <c r="L26" s="1113">
        <f>E26-F26-G26-H26-I26-J26</f>
        <v>0.30503999999999998</v>
      </c>
      <c r="M26" s="1111">
        <v>0.30499999999999999</v>
      </c>
      <c r="N26" s="391">
        <f>L26-M26</f>
        <v>3.9999999999984492E-5</v>
      </c>
      <c r="O26" s="394">
        <v>153555</v>
      </c>
      <c r="P26" s="395">
        <v>45101</v>
      </c>
      <c r="Q26" s="71">
        <f t="shared" si="1"/>
        <v>0.30503999999999998</v>
      </c>
      <c r="R26" s="86">
        <f t="shared" si="2"/>
        <v>0</v>
      </c>
    </row>
    <row r="27" spans="1:18" ht="14.25" x14ac:dyDescent="0.25">
      <c r="A27" s="1237"/>
      <c r="B27" s="1243"/>
      <c r="C27" s="1240"/>
      <c r="D27" s="327">
        <v>3</v>
      </c>
      <c r="E27" s="910">
        <v>1.069</v>
      </c>
      <c r="F27" s="910">
        <v>5.2999999999999999E-2</v>
      </c>
      <c r="G27" s="1110"/>
      <c r="H27" s="1110"/>
      <c r="I27" s="1110"/>
      <c r="J27" s="1111">
        <f>(E27-F27)*7/100</f>
        <v>7.1120000000000003E-2</v>
      </c>
      <c r="K27" s="1112"/>
      <c r="L27" s="1113">
        <f>E27-F27-G27-H27-I27-J27</f>
        <v>0.94488000000000005</v>
      </c>
      <c r="M27" s="1111">
        <v>0.94499999999999995</v>
      </c>
      <c r="N27" s="391">
        <f>L27-M27</f>
        <v>-1.1999999999989797E-4</v>
      </c>
      <c r="O27" s="394">
        <v>153568</v>
      </c>
      <c r="P27" s="395">
        <v>45101</v>
      </c>
      <c r="Q27" s="71">
        <f t="shared" si="1"/>
        <v>0.94488000000000005</v>
      </c>
      <c r="R27" s="86">
        <f t="shared" si="2"/>
        <v>0</v>
      </c>
    </row>
    <row r="28" spans="1:18" ht="14.25" x14ac:dyDescent="0.25">
      <c r="A28" s="1237"/>
      <c r="B28" s="1243"/>
      <c r="C28" s="1240"/>
      <c r="D28" s="327">
        <v>4</v>
      </c>
      <c r="E28" s="910">
        <v>1.077</v>
      </c>
      <c r="F28" s="910">
        <f>E28*5/100</f>
        <v>5.3849999999999995E-2</v>
      </c>
      <c r="G28" s="1110"/>
      <c r="H28" s="1110"/>
      <c r="I28" s="1110"/>
      <c r="J28" s="1111">
        <v>8.2000000000000003E-2</v>
      </c>
      <c r="K28" s="1112"/>
      <c r="L28" s="1113">
        <f>E28-F28-G28-H28-I28-J28</f>
        <v>0.94115000000000004</v>
      </c>
      <c r="M28" s="1111">
        <v>0.94099999999999995</v>
      </c>
      <c r="N28" s="391">
        <f>L28-M28</f>
        <v>1.500000000000945E-4</v>
      </c>
      <c r="O28" s="394">
        <v>159663</v>
      </c>
      <c r="P28" s="700">
        <v>45191</v>
      </c>
      <c r="Q28" s="71">
        <f t="shared" si="1"/>
        <v>0.94115000000000004</v>
      </c>
      <c r="R28" s="86">
        <f t="shared" si="2"/>
        <v>0</v>
      </c>
    </row>
    <row r="29" spans="1:18" ht="14.25" x14ac:dyDescent="0.25">
      <c r="A29" s="1238"/>
      <c r="B29" s="1244"/>
      <c r="C29" s="1241"/>
      <c r="D29" s="327" t="s">
        <v>660</v>
      </c>
      <c r="E29" s="910"/>
      <c r="F29" s="910">
        <v>-0.151</v>
      </c>
      <c r="G29" s="1110"/>
      <c r="H29" s="1110"/>
      <c r="I29" s="1110"/>
      <c r="J29" s="1111"/>
      <c r="K29" s="1112"/>
      <c r="L29" s="1113">
        <v>0.151</v>
      </c>
      <c r="M29" s="1111">
        <v>0.151</v>
      </c>
      <c r="N29" s="391">
        <f>L29-M29</f>
        <v>0</v>
      </c>
      <c r="O29" s="394">
        <v>183098</v>
      </c>
      <c r="P29" s="395">
        <v>45603</v>
      </c>
      <c r="Q29" s="71">
        <f t="shared" si="1"/>
        <v>0.151</v>
      </c>
      <c r="R29" s="86">
        <f t="shared" si="2"/>
        <v>0</v>
      </c>
    </row>
    <row r="30" spans="1:18" ht="11.25" customHeight="1" x14ac:dyDescent="0.25">
      <c r="A30" s="51"/>
      <c r="B30" s="673"/>
      <c r="C30" s="673"/>
      <c r="D30" s="327"/>
      <c r="E30" s="319">
        <f>SUM(E25:E29)</f>
        <v>3.2969999999999997</v>
      </c>
      <c r="F30" s="319">
        <f t="shared" ref="F30:N30" si="5">SUM(F25:F29)</f>
        <v>1.285E-2</v>
      </c>
      <c r="G30" s="319">
        <f t="shared" si="5"/>
        <v>0</v>
      </c>
      <c r="H30" s="319">
        <f t="shared" si="5"/>
        <v>0</v>
      </c>
      <c r="I30" s="319">
        <f t="shared" si="5"/>
        <v>0</v>
      </c>
      <c r="J30" s="319">
        <f t="shared" si="5"/>
        <v>0.23008000000000001</v>
      </c>
      <c r="K30" s="319">
        <f t="shared" si="5"/>
        <v>0</v>
      </c>
      <c r="L30" s="319">
        <f t="shared" si="5"/>
        <v>3.0540699999999998</v>
      </c>
      <c r="M30" s="1118">
        <f t="shared" si="5"/>
        <v>3.0539999999999994</v>
      </c>
      <c r="N30" s="319">
        <f t="shared" si="5"/>
        <v>7.0000000000181029E-5</v>
      </c>
      <c r="O30" s="394"/>
      <c r="P30" s="395"/>
      <c r="Q30" s="71">
        <f t="shared" si="1"/>
        <v>3.0540699999999998</v>
      </c>
      <c r="R30" s="86">
        <f t="shared" si="2"/>
        <v>0</v>
      </c>
    </row>
    <row r="31" spans="1:18" ht="14.25" x14ac:dyDescent="0.25">
      <c r="A31" s="1236">
        <v>5</v>
      </c>
      <c r="B31" s="1242" t="s">
        <v>463</v>
      </c>
      <c r="C31" s="1251" t="s">
        <v>513</v>
      </c>
      <c r="D31" s="327">
        <v>1</v>
      </c>
      <c r="E31" s="910">
        <v>3.2749999999999999</v>
      </c>
      <c r="F31" s="910">
        <f>E31*5/100</f>
        <v>0.16375000000000001</v>
      </c>
      <c r="G31" s="1110"/>
      <c r="H31" s="1110"/>
      <c r="I31" s="1110"/>
      <c r="J31" s="1111">
        <f>(E31-F31)*7/100</f>
        <v>0.21778750000000002</v>
      </c>
      <c r="K31" s="1112"/>
      <c r="L31" s="1113">
        <f t="shared" ref="L31:L36" si="6">E31-F31-G31-H31-I31-J31</f>
        <v>2.8934625</v>
      </c>
      <c r="M31" s="1111">
        <v>2.8929999999999998</v>
      </c>
      <c r="N31" s="391">
        <f t="shared" ref="N31:N36" si="7">L31-M31</f>
        <v>4.6250000000025437E-4</v>
      </c>
      <c r="O31" s="394">
        <v>149388</v>
      </c>
      <c r="P31" s="395">
        <v>45050</v>
      </c>
      <c r="Q31" s="71">
        <f t="shared" si="1"/>
        <v>2.8934625</v>
      </c>
      <c r="R31" s="86">
        <f t="shared" si="2"/>
        <v>0</v>
      </c>
    </row>
    <row r="32" spans="1:18" ht="14.25" x14ac:dyDescent="0.25">
      <c r="A32" s="1237"/>
      <c r="B32" s="1243"/>
      <c r="C32" s="1252"/>
      <c r="D32" s="327">
        <v>2</v>
      </c>
      <c r="E32" s="910">
        <v>1.179</v>
      </c>
      <c r="F32" s="910">
        <v>5.8999999999999997E-2</v>
      </c>
      <c r="G32" s="1110"/>
      <c r="H32" s="1110"/>
      <c r="I32" s="1110"/>
      <c r="J32" s="1111">
        <f>(E32-F32)*7/100</f>
        <v>7.8400000000000011E-2</v>
      </c>
      <c r="K32" s="1112"/>
      <c r="L32" s="1113">
        <f>E32-F32-G32-H32-I32-J32</f>
        <v>1.0416000000000001</v>
      </c>
      <c r="M32" s="1111">
        <v>1.042</v>
      </c>
      <c r="N32" s="391">
        <f t="shared" si="7"/>
        <v>-3.9999999999995595E-4</v>
      </c>
      <c r="O32" s="394">
        <v>151311</v>
      </c>
      <c r="P32" s="395">
        <v>45076</v>
      </c>
      <c r="Q32" s="71">
        <f>E32-F32-G32-H32-I32-J32-K32</f>
        <v>1.0416000000000001</v>
      </c>
      <c r="R32" s="86">
        <f t="shared" si="2"/>
        <v>0</v>
      </c>
    </row>
    <row r="33" spans="1:18" ht="14.25" x14ac:dyDescent="0.25">
      <c r="A33" s="1237"/>
      <c r="B33" s="1243"/>
      <c r="C33" s="1252"/>
      <c r="D33" s="327">
        <v>3</v>
      </c>
      <c r="E33" s="910">
        <v>2.7799</v>
      </c>
      <c r="F33" s="910">
        <v>0.13900000000000001</v>
      </c>
      <c r="G33" s="1110"/>
      <c r="H33" s="1110"/>
      <c r="I33" s="1110"/>
      <c r="J33" s="1111">
        <f>(E33-F33)*7/100</f>
        <v>0.184863</v>
      </c>
      <c r="K33" s="1112"/>
      <c r="L33" s="1113">
        <f>E33-F33-G33-H33-I33-J33</f>
        <v>2.4560370000000002</v>
      </c>
      <c r="M33" s="1111">
        <v>2.456</v>
      </c>
      <c r="N33" s="391">
        <f t="shared" si="7"/>
        <v>3.7000000000286803E-5</v>
      </c>
      <c r="O33" s="394">
        <v>153633</v>
      </c>
      <c r="P33" s="395">
        <v>45103</v>
      </c>
      <c r="Q33" s="71">
        <f>E33-F33-G33-H33-I33-J33-K33</f>
        <v>2.4560370000000002</v>
      </c>
      <c r="R33" s="86">
        <f t="shared" si="2"/>
        <v>0</v>
      </c>
    </row>
    <row r="34" spans="1:18" ht="14.25" x14ac:dyDescent="0.25">
      <c r="A34" s="1237"/>
      <c r="B34" s="1243"/>
      <c r="C34" s="1252"/>
      <c r="D34" s="327">
        <v>4</v>
      </c>
      <c r="E34" s="910">
        <v>4.1449999999999996</v>
      </c>
      <c r="F34" s="910">
        <f>E34*5/100</f>
        <v>0.20724999999999999</v>
      </c>
      <c r="G34" s="1110"/>
      <c r="H34" s="1110"/>
      <c r="I34" s="1110"/>
      <c r="J34" s="910">
        <v>0.315</v>
      </c>
      <c r="K34" s="1112"/>
      <c r="L34" s="1113">
        <f t="shared" si="6"/>
        <v>3.6227499999999995</v>
      </c>
      <c r="M34" s="1111">
        <v>3.6230000000000002</v>
      </c>
      <c r="N34" s="391">
        <f t="shared" si="7"/>
        <v>-2.5000000000074962E-4</v>
      </c>
      <c r="O34" s="394">
        <v>154334</v>
      </c>
      <c r="P34" s="395">
        <v>45125</v>
      </c>
      <c r="Q34" s="71">
        <f t="shared" si="1"/>
        <v>3.6227499999999995</v>
      </c>
      <c r="R34" s="86">
        <f t="shared" si="2"/>
        <v>0</v>
      </c>
    </row>
    <row r="35" spans="1:18" ht="14.25" x14ac:dyDescent="0.25">
      <c r="A35" s="1237"/>
      <c r="B35" s="1243"/>
      <c r="C35" s="1252"/>
      <c r="D35" s="327">
        <v>5</v>
      </c>
      <c r="E35" s="910">
        <v>1.669</v>
      </c>
      <c r="F35" s="910">
        <f>E35*5/100</f>
        <v>8.345000000000001E-2</v>
      </c>
      <c r="G35" s="1110"/>
      <c r="H35" s="1110"/>
      <c r="I35" s="1110"/>
      <c r="J35" s="1111">
        <v>0.1268</v>
      </c>
      <c r="K35" s="1112"/>
      <c r="L35" s="1113">
        <f t="shared" si="6"/>
        <v>1.45875</v>
      </c>
      <c r="M35" s="1111">
        <v>1.4590000000000001</v>
      </c>
      <c r="N35" s="391">
        <f t="shared" si="7"/>
        <v>-2.5000000000008349E-4</v>
      </c>
      <c r="O35" s="394">
        <v>157731</v>
      </c>
      <c r="P35" s="395">
        <v>45177</v>
      </c>
      <c r="Q35" s="71">
        <f t="shared" si="1"/>
        <v>1.45875</v>
      </c>
      <c r="R35" s="86">
        <f t="shared" si="2"/>
        <v>0</v>
      </c>
    </row>
    <row r="36" spans="1:18" ht="14.25" x14ac:dyDescent="0.25">
      <c r="A36" s="1237"/>
      <c r="B36" s="1243"/>
      <c r="C36" s="1252"/>
      <c r="D36" s="327" t="s">
        <v>660</v>
      </c>
      <c r="E36" s="910">
        <v>0</v>
      </c>
      <c r="F36" s="910">
        <v>-0.54500000000000004</v>
      </c>
      <c r="G36" s="1110"/>
      <c r="H36" s="1110"/>
      <c r="I36" s="1110"/>
      <c r="J36" s="1111"/>
      <c r="K36" s="1112"/>
      <c r="L36" s="1113">
        <f t="shared" si="6"/>
        <v>0.54500000000000004</v>
      </c>
      <c r="M36" s="1111">
        <v>0.54500000000000004</v>
      </c>
      <c r="N36" s="391">
        <f t="shared" si="7"/>
        <v>0</v>
      </c>
      <c r="O36" s="394">
        <v>170625</v>
      </c>
      <c r="P36" s="395">
        <v>45320</v>
      </c>
      <c r="Q36" s="71">
        <f t="shared" si="1"/>
        <v>0.54500000000000004</v>
      </c>
      <c r="R36" s="86">
        <f t="shared" si="2"/>
        <v>0</v>
      </c>
    </row>
    <row r="37" spans="1:18" ht="14.25" x14ac:dyDescent="0.25">
      <c r="A37" s="1238"/>
      <c r="B37" s="1244"/>
      <c r="C37" s="1253"/>
      <c r="D37" s="327"/>
      <c r="E37" s="316"/>
      <c r="F37" s="316"/>
      <c r="G37" s="317"/>
      <c r="H37" s="317"/>
      <c r="I37" s="317"/>
      <c r="J37" s="391"/>
      <c r="K37" s="392"/>
      <c r="L37" s="393"/>
      <c r="M37" s="391"/>
      <c r="N37" s="391"/>
      <c r="O37" s="394"/>
      <c r="P37" s="395"/>
      <c r="Q37" s="71">
        <f t="shared" si="1"/>
        <v>0</v>
      </c>
      <c r="R37" s="86">
        <f t="shared" si="2"/>
        <v>0</v>
      </c>
    </row>
    <row r="38" spans="1:18" ht="13.5" customHeight="1" x14ac:dyDescent="0.25">
      <c r="A38" s="55"/>
      <c r="B38" s="898"/>
      <c r="C38" s="679"/>
      <c r="D38" s="327"/>
      <c r="E38" s="319">
        <f>SUM(E31:E37)</f>
        <v>13.0479</v>
      </c>
      <c r="F38" s="319">
        <f t="shared" ref="F38:M38" si="8">SUM(F31:F37)</f>
        <v>0.10744999999999993</v>
      </c>
      <c r="G38" s="319">
        <f t="shared" si="8"/>
        <v>0</v>
      </c>
      <c r="H38" s="319">
        <f t="shared" si="8"/>
        <v>0</v>
      </c>
      <c r="I38" s="319">
        <f t="shared" si="8"/>
        <v>0</v>
      </c>
      <c r="J38" s="319">
        <f t="shared" si="8"/>
        <v>0.92285050000000002</v>
      </c>
      <c r="K38" s="319">
        <f t="shared" si="8"/>
        <v>0</v>
      </c>
      <c r="L38" s="319">
        <f t="shared" si="8"/>
        <v>12.017599499999999</v>
      </c>
      <c r="M38" s="1118">
        <f t="shared" si="8"/>
        <v>12.017999999999999</v>
      </c>
      <c r="N38" s="319">
        <f>SUM(N31:N37)</f>
        <v>-4.0050000000024788E-4</v>
      </c>
      <c r="O38" s="394"/>
      <c r="P38" s="395"/>
      <c r="Q38" s="71">
        <f t="shared" si="1"/>
        <v>12.017599499999999</v>
      </c>
      <c r="R38" s="86">
        <f t="shared" si="2"/>
        <v>0</v>
      </c>
    </row>
    <row r="39" spans="1:18" ht="14.25" x14ac:dyDescent="0.25">
      <c r="A39" s="1236">
        <v>6</v>
      </c>
      <c r="B39" s="1242" t="s">
        <v>463</v>
      </c>
      <c r="C39" s="1239" t="s">
        <v>531</v>
      </c>
      <c r="D39" s="327">
        <v>1</v>
      </c>
      <c r="E39" s="910">
        <v>2.7919999999999998</v>
      </c>
      <c r="F39" s="910">
        <v>0.14000000000000001</v>
      </c>
      <c r="G39" s="1110"/>
      <c r="H39" s="1110"/>
      <c r="I39" s="1110"/>
      <c r="J39" s="1111">
        <f>(E39-F39)*7/100</f>
        <v>0.18563999999999997</v>
      </c>
      <c r="K39" s="1112"/>
      <c r="L39" s="1113">
        <f>E39-F39-G39-H39-I39-J39</f>
        <v>2.4663599999999999</v>
      </c>
      <c r="M39" s="1111">
        <v>2.4660000000000002</v>
      </c>
      <c r="N39" s="391">
        <f>L39-M39</f>
        <v>3.599999999996939E-4</v>
      </c>
      <c r="O39" s="394">
        <v>151424</v>
      </c>
      <c r="P39" s="395">
        <v>45083</v>
      </c>
      <c r="Q39" s="71">
        <f t="shared" si="1"/>
        <v>2.4663599999999999</v>
      </c>
      <c r="R39" s="86">
        <f t="shared" si="2"/>
        <v>0</v>
      </c>
    </row>
    <row r="40" spans="1:18" ht="14.25" x14ac:dyDescent="0.25">
      <c r="A40" s="1237"/>
      <c r="B40" s="1243"/>
      <c r="C40" s="1240"/>
      <c r="D40" s="327">
        <v>2</v>
      </c>
      <c r="E40" s="910">
        <v>2.7610000000000001</v>
      </c>
      <c r="F40" s="910">
        <f>E40*5/100</f>
        <v>0.13805000000000001</v>
      </c>
      <c r="G40" s="1110"/>
      <c r="H40" s="1110"/>
      <c r="I40" s="1110"/>
      <c r="J40" s="1111">
        <f>(E40-F40)*7/100</f>
        <v>0.18360650000000003</v>
      </c>
      <c r="K40" s="1112"/>
      <c r="L40" s="1113">
        <f>E40-F40-G40-H40-I40-J40</f>
        <v>2.4393435000000001</v>
      </c>
      <c r="M40" s="1111">
        <v>2.4390000000000001</v>
      </c>
      <c r="N40" s="391">
        <f t="shared" ref="N40:N50" si="9">L40-M40</f>
        <v>3.435000000000521E-4</v>
      </c>
      <c r="O40" s="394">
        <v>153445</v>
      </c>
      <c r="P40" s="395">
        <v>45099</v>
      </c>
      <c r="Q40" s="71">
        <f t="shared" si="1"/>
        <v>2.4393435000000001</v>
      </c>
      <c r="R40" s="86">
        <f t="shared" si="2"/>
        <v>0</v>
      </c>
    </row>
    <row r="41" spans="1:18" ht="14.25" x14ac:dyDescent="0.25">
      <c r="A41" s="1237"/>
      <c r="B41" s="1243"/>
      <c r="C41" s="1240"/>
      <c r="D41" s="327">
        <v>3</v>
      </c>
      <c r="E41" s="910">
        <v>2.1930000000000001</v>
      </c>
      <c r="F41" s="910">
        <f>E41*5/100</f>
        <v>0.10965</v>
      </c>
      <c r="G41" s="1110"/>
      <c r="H41" s="1110"/>
      <c r="I41" s="1110"/>
      <c r="J41" s="1111">
        <v>0.16700000000000001</v>
      </c>
      <c r="K41" s="1112"/>
      <c r="L41" s="1113">
        <f>E41-F41-G41-H41-I41-J41</f>
        <v>1.9163500000000002</v>
      </c>
      <c r="M41" s="1111">
        <v>1.9159999999999999</v>
      </c>
      <c r="N41" s="391">
        <f t="shared" si="9"/>
        <v>3.5000000000029452E-4</v>
      </c>
      <c r="O41" s="394">
        <v>156304</v>
      </c>
      <c r="P41" s="395">
        <v>45156</v>
      </c>
      <c r="Q41" s="71">
        <f t="shared" si="1"/>
        <v>1.9163500000000002</v>
      </c>
      <c r="R41" s="86">
        <f t="shared" si="2"/>
        <v>0</v>
      </c>
    </row>
    <row r="42" spans="1:18" ht="14.25" x14ac:dyDescent="0.25">
      <c r="A42" s="1237"/>
      <c r="B42" s="1243"/>
      <c r="C42" s="1240"/>
      <c r="D42" s="327">
        <v>4</v>
      </c>
      <c r="E42" s="910">
        <v>4.7889999999999997</v>
      </c>
      <c r="F42" s="910">
        <f>E42*5/100</f>
        <v>0.23945</v>
      </c>
      <c r="G42" s="1110"/>
      <c r="H42" s="1110"/>
      <c r="I42" s="1110"/>
      <c r="J42" s="1111">
        <v>0.318</v>
      </c>
      <c r="K42" s="1112"/>
      <c r="L42" s="1113">
        <f>E42-F42-G42-H42-I42-J42</f>
        <v>4.2315500000000004</v>
      </c>
      <c r="M42" s="1111">
        <v>4.2309999999999999</v>
      </c>
      <c r="N42" s="391">
        <f t="shared" si="9"/>
        <v>5.5000000000049454E-4</v>
      </c>
      <c r="O42" s="394">
        <v>148648</v>
      </c>
      <c r="P42" s="395">
        <v>45034</v>
      </c>
      <c r="Q42" s="71">
        <f t="shared" si="1"/>
        <v>4.2315500000000004</v>
      </c>
      <c r="R42" s="86">
        <f t="shared" si="2"/>
        <v>0</v>
      </c>
    </row>
    <row r="43" spans="1:18" ht="14.25" x14ac:dyDescent="0.25">
      <c r="A43" s="1237"/>
      <c r="B43" s="1243"/>
      <c r="C43" s="1240"/>
      <c r="D43" s="327" t="s">
        <v>660</v>
      </c>
      <c r="E43" s="910">
        <v>0</v>
      </c>
      <c r="F43" s="910">
        <v>-0.74099999999999999</v>
      </c>
      <c r="G43" s="1110"/>
      <c r="H43" s="1110"/>
      <c r="I43" s="1110"/>
      <c r="J43" s="1111"/>
      <c r="K43" s="1112"/>
      <c r="L43" s="1113">
        <f>E43-F43-G43-H43-I43-J43</f>
        <v>0.74099999999999999</v>
      </c>
      <c r="M43" s="1111">
        <v>0.63900000000000001</v>
      </c>
      <c r="N43" s="391">
        <f t="shared" si="9"/>
        <v>0.10199999999999998</v>
      </c>
      <c r="O43" s="394">
        <v>170626</v>
      </c>
      <c r="P43" s="395">
        <v>45320</v>
      </c>
      <c r="Q43" s="71">
        <f t="shared" si="1"/>
        <v>0.74099999999999999</v>
      </c>
      <c r="R43" s="86">
        <f t="shared" si="2"/>
        <v>0</v>
      </c>
    </row>
    <row r="44" spans="1:18" ht="14.25" x14ac:dyDescent="0.25">
      <c r="A44" s="1238"/>
      <c r="B44" s="1244"/>
      <c r="C44" s="1241"/>
      <c r="D44" s="327"/>
      <c r="E44" s="316"/>
      <c r="F44" s="316"/>
      <c r="G44" s="317"/>
      <c r="H44" s="317"/>
      <c r="I44" s="317"/>
      <c r="J44" s="391"/>
      <c r="K44" s="392"/>
      <c r="L44" s="393"/>
      <c r="M44" s="391"/>
      <c r="N44" s="391">
        <f t="shared" si="9"/>
        <v>0</v>
      </c>
      <c r="O44" s="394"/>
      <c r="P44" s="395"/>
      <c r="Q44" s="71">
        <f t="shared" si="1"/>
        <v>0</v>
      </c>
      <c r="R44" s="86">
        <f t="shared" si="2"/>
        <v>0</v>
      </c>
    </row>
    <row r="45" spans="1:18" ht="15" x14ac:dyDescent="0.25">
      <c r="A45" s="51"/>
      <c r="B45" s="679"/>
      <c r="C45" s="679"/>
      <c r="D45" s="327"/>
      <c r="E45" s="319">
        <f>SUM(E39:E44)</f>
        <v>12.535</v>
      </c>
      <c r="F45" s="319">
        <f t="shared" ref="F45:M45" si="10">SUM(F39:F44)</f>
        <v>-0.1138499999999999</v>
      </c>
      <c r="G45" s="319">
        <f t="shared" si="10"/>
        <v>0</v>
      </c>
      <c r="H45" s="319">
        <f t="shared" si="10"/>
        <v>0</v>
      </c>
      <c r="I45" s="319">
        <f t="shared" si="10"/>
        <v>0</v>
      </c>
      <c r="J45" s="319">
        <f t="shared" si="10"/>
        <v>0.85424650000000013</v>
      </c>
      <c r="K45" s="319">
        <f t="shared" si="10"/>
        <v>0</v>
      </c>
      <c r="L45" s="319">
        <f t="shared" si="10"/>
        <v>11.794603500000001</v>
      </c>
      <c r="M45" s="1118">
        <f t="shared" si="10"/>
        <v>11.690999999999999</v>
      </c>
      <c r="N45" s="319">
        <f>SUM(N39:N44)</f>
        <v>0.10360350000000051</v>
      </c>
      <c r="O45" s="394"/>
      <c r="P45" s="395"/>
      <c r="Q45" s="71">
        <f t="shared" si="1"/>
        <v>11.794603499999999</v>
      </c>
      <c r="R45" s="86">
        <f t="shared" si="2"/>
        <v>0</v>
      </c>
    </row>
    <row r="46" spans="1:18" ht="14.25" x14ac:dyDescent="0.25">
      <c r="A46" s="1236">
        <v>7</v>
      </c>
      <c r="B46" s="1242" t="s">
        <v>463</v>
      </c>
      <c r="C46" s="1239" t="s">
        <v>593</v>
      </c>
      <c r="D46" s="327">
        <v>1</v>
      </c>
      <c r="E46" s="910">
        <v>2.9950000000000001</v>
      </c>
      <c r="F46" s="910">
        <f>E46*5/100</f>
        <v>0.14975000000000002</v>
      </c>
      <c r="G46" s="1110"/>
      <c r="H46" s="1110"/>
      <c r="I46" s="1110"/>
      <c r="J46" s="1111">
        <v>0.22800000000000001</v>
      </c>
      <c r="K46" s="1112"/>
      <c r="L46" s="1113">
        <f>E46-F46-G46-H46-I46-J46</f>
        <v>2.6172499999999999</v>
      </c>
      <c r="M46" s="1111">
        <v>2.617</v>
      </c>
      <c r="N46" s="391">
        <f t="shared" si="9"/>
        <v>2.4999999999986144E-4</v>
      </c>
      <c r="O46" s="394">
        <v>157770</v>
      </c>
      <c r="P46" s="395">
        <v>45181</v>
      </c>
      <c r="Q46" s="71">
        <f t="shared" si="1"/>
        <v>2.6172499999999999</v>
      </c>
      <c r="R46" s="86">
        <f t="shared" si="2"/>
        <v>0</v>
      </c>
    </row>
    <row r="47" spans="1:18" ht="14.25" x14ac:dyDescent="0.25">
      <c r="A47" s="1237"/>
      <c r="B47" s="1243"/>
      <c r="C47" s="1240"/>
      <c r="D47" s="327">
        <v>2</v>
      </c>
      <c r="E47" s="910">
        <v>2.0766</v>
      </c>
      <c r="F47" s="910">
        <f>E47*5/100</f>
        <v>0.10382999999999999</v>
      </c>
      <c r="G47" s="1110"/>
      <c r="H47" s="1110"/>
      <c r="I47" s="1110"/>
      <c r="J47" s="1111">
        <v>0.1578</v>
      </c>
      <c r="K47" s="1112"/>
      <c r="L47" s="1113">
        <f>E47-F47-G47-H47-I47-J47</f>
        <v>1.81497</v>
      </c>
      <c r="M47" s="1111">
        <v>1.8149999999999999</v>
      </c>
      <c r="N47" s="391">
        <f t="shared" si="9"/>
        <v>-2.9999999999974492E-5</v>
      </c>
      <c r="O47" s="394">
        <v>159879</v>
      </c>
      <c r="P47" s="395">
        <v>45205</v>
      </c>
      <c r="Q47" s="71">
        <f t="shared" si="1"/>
        <v>1.81497</v>
      </c>
      <c r="R47" s="86">
        <f t="shared" si="2"/>
        <v>0</v>
      </c>
    </row>
    <row r="48" spans="1:18" ht="14.25" x14ac:dyDescent="0.25">
      <c r="A48" s="1237"/>
      <c r="B48" s="1243"/>
      <c r="C48" s="1240"/>
      <c r="D48" s="327">
        <v>3</v>
      </c>
      <c r="E48" s="910">
        <v>1.841</v>
      </c>
      <c r="F48" s="910">
        <f>E48*5/100</f>
        <v>9.2050000000000007E-2</v>
      </c>
      <c r="G48" s="1110"/>
      <c r="H48" s="1110"/>
      <c r="I48" s="1110"/>
      <c r="J48" s="1111">
        <v>0.1399</v>
      </c>
      <c r="K48" s="1112"/>
      <c r="L48" s="1113">
        <f>E48-F48-G48-H48-I48-J48</f>
        <v>1.6090500000000001</v>
      </c>
      <c r="M48" s="1111">
        <v>1.609</v>
      </c>
      <c r="N48" s="391">
        <f t="shared" si="9"/>
        <v>5.0000000000105516E-5</v>
      </c>
      <c r="O48" s="394">
        <v>163448</v>
      </c>
      <c r="P48" s="395">
        <v>45226</v>
      </c>
      <c r="Q48" s="71">
        <f t="shared" si="1"/>
        <v>1.6090500000000001</v>
      </c>
      <c r="R48" s="86">
        <f t="shared" si="2"/>
        <v>0</v>
      </c>
    </row>
    <row r="49" spans="1:18" ht="14.25" x14ac:dyDescent="0.25">
      <c r="A49" s="1237"/>
      <c r="B49" s="1243"/>
      <c r="C49" s="1240"/>
      <c r="D49" s="327">
        <v>4</v>
      </c>
      <c r="E49" s="910">
        <v>1.6789000000000001</v>
      </c>
      <c r="F49" s="910">
        <f>E49*5/100</f>
        <v>8.3945000000000006E-2</v>
      </c>
      <c r="G49" s="1110"/>
      <c r="H49" s="1110"/>
      <c r="I49" s="1110"/>
      <c r="J49" s="1111">
        <v>0.12759999999999999</v>
      </c>
      <c r="K49" s="1112"/>
      <c r="L49" s="1113">
        <f>E49-F49-G49-H49-I49-J49</f>
        <v>1.4673550000000002</v>
      </c>
      <c r="M49" s="1111">
        <v>1.4670000000000001</v>
      </c>
      <c r="N49" s="391">
        <f t="shared" si="9"/>
        <v>3.5500000000010523E-4</v>
      </c>
      <c r="O49" s="394">
        <v>168330</v>
      </c>
      <c r="P49" s="395">
        <v>45292</v>
      </c>
      <c r="Q49" s="71">
        <f t="shared" si="1"/>
        <v>1.4673550000000002</v>
      </c>
      <c r="R49" s="86">
        <f t="shared" si="2"/>
        <v>0</v>
      </c>
    </row>
    <row r="50" spans="1:18" ht="14.25" x14ac:dyDescent="0.25">
      <c r="A50" s="1237"/>
      <c r="B50" s="1243"/>
      <c r="C50" s="1240"/>
      <c r="D50" s="724" t="s">
        <v>660</v>
      </c>
      <c r="E50" s="910"/>
      <c r="F50" s="910">
        <v>-0.42899999999999999</v>
      </c>
      <c r="G50" s="1110"/>
      <c r="H50" s="1110"/>
      <c r="I50" s="1110"/>
      <c r="J50" s="1111">
        <v>3.4000000000000002E-2</v>
      </c>
      <c r="K50" s="1112"/>
      <c r="L50" s="1113">
        <f>E50-F50-G50-H50-I50-J50</f>
        <v>0.39500000000000002</v>
      </c>
      <c r="M50" s="1111">
        <v>0.39500000000000002</v>
      </c>
      <c r="N50" s="391">
        <f t="shared" si="9"/>
        <v>0</v>
      </c>
      <c r="O50" s="394">
        <v>172168</v>
      </c>
      <c r="P50" s="395">
        <v>45371</v>
      </c>
      <c r="Q50" s="71">
        <f t="shared" si="1"/>
        <v>0.39500000000000002</v>
      </c>
      <c r="R50" s="86">
        <f t="shared" si="2"/>
        <v>0</v>
      </c>
    </row>
    <row r="51" spans="1:18" ht="14.25" x14ac:dyDescent="0.25">
      <c r="A51" s="1238"/>
      <c r="B51" s="1244"/>
      <c r="C51" s="1241"/>
      <c r="D51" s="327"/>
      <c r="E51" s="316"/>
      <c r="F51" s="316"/>
      <c r="G51" s="317"/>
      <c r="H51" s="317"/>
      <c r="I51" s="317"/>
      <c r="J51" s="391"/>
      <c r="K51" s="392"/>
      <c r="L51" s="393"/>
      <c r="M51" s="391"/>
      <c r="N51" s="391"/>
      <c r="O51" s="394"/>
      <c r="P51" s="395"/>
      <c r="Q51" s="71">
        <f t="shared" si="1"/>
        <v>0</v>
      </c>
      <c r="R51" s="86">
        <f t="shared" si="2"/>
        <v>0</v>
      </c>
    </row>
    <row r="52" spans="1:18" ht="15" x14ac:dyDescent="0.25">
      <c r="A52" s="51"/>
      <c r="B52" s="679"/>
      <c r="C52" s="679"/>
      <c r="D52" s="327"/>
      <c r="E52" s="319">
        <f>SUM(E46:E51)</f>
        <v>8.5914999999999999</v>
      </c>
      <c r="F52" s="319">
        <f t="shared" ref="F52:N52" si="11">SUM(F46:F51)</f>
        <v>5.750000000000477E-4</v>
      </c>
      <c r="G52" s="319">
        <f t="shared" si="11"/>
        <v>0</v>
      </c>
      <c r="H52" s="319">
        <f t="shared" si="11"/>
        <v>0</v>
      </c>
      <c r="I52" s="319">
        <f t="shared" si="11"/>
        <v>0</v>
      </c>
      <c r="J52" s="319">
        <f t="shared" si="11"/>
        <v>0.68730000000000002</v>
      </c>
      <c r="K52" s="319">
        <f t="shared" si="11"/>
        <v>0</v>
      </c>
      <c r="L52" s="319">
        <f t="shared" si="11"/>
        <v>7.9036249999999999</v>
      </c>
      <c r="M52" s="1118">
        <f t="shared" si="11"/>
        <v>7.9030000000000005</v>
      </c>
      <c r="N52" s="319">
        <f t="shared" si="11"/>
        <v>6.250000000000977E-4</v>
      </c>
      <c r="O52" s="394"/>
      <c r="P52" s="395"/>
      <c r="Q52" s="71">
        <f t="shared" si="1"/>
        <v>7.9036249999999999</v>
      </c>
      <c r="R52" s="86">
        <f t="shared" si="2"/>
        <v>0</v>
      </c>
    </row>
    <row r="53" spans="1:18" ht="14.25" x14ac:dyDescent="0.25">
      <c r="A53" s="1236">
        <v>8</v>
      </c>
      <c r="B53" s="1242" t="s">
        <v>463</v>
      </c>
      <c r="C53" s="1239" t="s">
        <v>594</v>
      </c>
      <c r="D53" s="327">
        <v>1</v>
      </c>
      <c r="E53" s="910">
        <v>1.5009999999999999</v>
      </c>
      <c r="F53" s="910">
        <f>E53*5/100</f>
        <v>7.5049999999999992E-2</v>
      </c>
      <c r="G53" s="1110"/>
      <c r="H53" s="1110"/>
      <c r="I53" s="1110"/>
      <c r="J53" s="1111">
        <v>0.114</v>
      </c>
      <c r="K53" s="1112"/>
      <c r="L53" s="1113">
        <f>E53-F53-G53-H53-I53-J53</f>
        <v>1.3119499999999997</v>
      </c>
      <c r="M53" s="1111">
        <v>1.3120000000000001</v>
      </c>
      <c r="N53" s="391">
        <f>L53-M53</f>
        <v>-5.000000000032756E-5</v>
      </c>
      <c r="O53" s="394">
        <v>157860</v>
      </c>
      <c r="P53" s="395">
        <v>45188</v>
      </c>
      <c r="Q53" s="71">
        <f t="shared" si="1"/>
        <v>1.3119499999999997</v>
      </c>
      <c r="R53" s="86">
        <f t="shared" si="2"/>
        <v>0</v>
      </c>
    </row>
    <row r="54" spans="1:18" ht="25.5" x14ac:dyDescent="0.25">
      <c r="A54" s="1237"/>
      <c r="B54" s="1243"/>
      <c r="C54" s="1240"/>
      <c r="D54" s="327">
        <v>2</v>
      </c>
      <c r="E54" s="910">
        <v>3.32</v>
      </c>
      <c r="F54" s="910">
        <f>E54*5/100</f>
        <v>0.16599999999999998</v>
      </c>
      <c r="G54" s="1110"/>
      <c r="H54" s="1110"/>
      <c r="I54" s="1110"/>
      <c r="J54" s="1111">
        <v>0.252</v>
      </c>
      <c r="K54" s="1112"/>
      <c r="L54" s="1113">
        <f>E54-F54-G54-H54-I54-J54</f>
        <v>2.9020000000000001</v>
      </c>
      <c r="M54" s="1111">
        <f>1.5+1.402</f>
        <v>2.9020000000000001</v>
      </c>
      <c r="N54" s="391">
        <f>L54-M54</f>
        <v>0</v>
      </c>
      <c r="O54" s="394" t="s">
        <v>624</v>
      </c>
      <c r="P54" s="395" t="s">
        <v>625</v>
      </c>
      <c r="Q54" s="71">
        <f t="shared" si="1"/>
        <v>2.9020000000000001</v>
      </c>
      <c r="R54" s="86">
        <f t="shared" si="2"/>
        <v>0</v>
      </c>
    </row>
    <row r="55" spans="1:18" ht="14.25" x14ac:dyDescent="0.25">
      <c r="A55" s="1237"/>
      <c r="B55" s="1243"/>
      <c r="C55" s="1240"/>
      <c r="D55" s="327">
        <v>3</v>
      </c>
      <c r="E55" s="910">
        <v>2.0659999999999998</v>
      </c>
      <c r="F55" s="910">
        <f>E55*5/100</f>
        <v>0.10329999999999999</v>
      </c>
      <c r="G55" s="1110"/>
      <c r="H55" s="1110"/>
      <c r="I55" s="1110"/>
      <c r="J55" s="1111">
        <v>0.157</v>
      </c>
      <c r="K55" s="1112"/>
      <c r="L55" s="1113">
        <f>E55-F55-G55-H55-I55-J55</f>
        <v>1.8056999999999999</v>
      </c>
      <c r="M55" s="1111">
        <v>1.806</v>
      </c>
      <c r="N55" s="391">
        <f>L55-M55</f>
        <v>-3.00000000000189E-4</v>
      </c>
      <c r="O55" s="394">
        <v>169178</v>
      </c>
      <c r="P55" s="395">
        <v>45307</v>
      </c>
      <c r="Q55" s="71">
        <f t="shared" si="1"/>
        <v>1.8056999999999999</v>
      </c>
      <c r="R55" s="86">
        <f t="shared" si="2"/>
        <v>0</v>
      </c>
    </row>
    <row r="56" spans="1:18" ht="14.25" x14ac:dyDescent="0.25">
      <c r="A56" s="1237"/>
      <c r="B56" s="1243"/>
      <c r="C56" s="1240"/>
      <c r="D56" s="327" t="s">
        <v>660</v>
      </c>
      <c r="E56" s="910"/>
      <c r="F56" s="910">
        <v>-0.34399999999999997</v>
      </c>
      <c r="G56" s="1110"/>
      <c r="H56" s="1110"/>
      <c r="I56" s="1110"/>
      <c r="J56" s="1111">
        <v>2.7E-2</v>
      </c>
      <c r="K56" s="1112"/>
      <c r="L56" s="1113">
        <f>E56-F56-G56-H56-I56-J56</f>
        <v>0.31699999999999995</v>
      </c>
      <c r="M56" s="1111">
        <v>0.317</v>
      </c>
      <c r="N56" s="391">
        <f>L56-M56</f>
        <v>0</v>
      </c>
      <c r="O56" s="394">
        <v>172119</v>
      </c>
      <c r="P56" s="395">
        <v>45366</v>
      </c>
      <c r="Q56" s="71">
        <f t="shared" si="1"/>
        <v>0.31699999999999995</v>
      </c>
      <c r="R56" s="86">
        <f t="shared" si="2"/>
        <v>0</v>
      </c>
    </row>
    <row r="57" spans="1:18" ht="14.25" x14ac:dyDescent="0.25">
      <c r="A57" s="1238"/>
      <c r="B57" s="1244"/>
      <c r="C57" s="1241"/>
      <c r="D57" s="327"/>
      <c r="E57" s="316"/>
      <c r="F57" s="316"/>
      <c r="G57" s="317"/>
      <c r="H57" s="317"/>
      <c r="I57" s="317"/>
      <c r="J57" s="391"/>
      <c r="K57" s="392"/>
      <c r="L57" s="393"/>
      <c r="M57" s="391"/>
      <c r="N57" s="391"/>
      <c r="O57" s="394"/>
      <c r="P57" s="395"/>
      <c r="Q57" s="71">
        <f t="shared" si="1"/>
        <v>0</v>
      </c>
      <c r="R57" s="86">
        <f t="shared" si="2"/>
        <v>0</v>
      </c>
    </row>
    <row r="58" spans="1:18" ht="14.25" customHeight="1" x14ac:dyDescent="0.25">
      <c r="A58" s="55"/>
      <c r="B58" s="679"/>
      <c r="C58" s="679"/>
      <c r="D58" s="327"/>
      <c r="E58" s="319">
        <f t="shared" ref="E58:N58" si="12">SUM(E53:E57)</f>
        <v>6.8869999999999996</v>
      </c>
      <c r="F58" s="319">
        <f t="shared" si="12"/>
        <v>3.5000000000001696E-4</v>
      </c>
      <c r="G58" s="319">
        <f t="shared" si="12"/>
        <v>0</v>
      </c>
      <c r="H58" s="319">
        <f t="shared" si="12"/>
        <v>0</v>
      </c>
      <c r="I58" s="319">
        <f t="shared" si="12"/>
        <v>0</v>
      </c>
      <c r="J58" s="319">
        <f t="shared" si="12"/>
        <v>0.55000000000000004</v>
      </c>
      <c r="K58" s="319">
        <f t="shared" si="12"/>
        <v>0</v>
      </c>
      <c r="L58" s="319">
        <f t="shared" si="12"/>
        <v>6.3366499999999997</v>
      </c>
      <c r="M58" s="1118">
        <f t="shared" si="12"/>
        <v>6.3370000000000006</v>
      </c>
      <c r="N58" s="319">
        <f t="shared" si="12"/>
        <v>-3.5000000000051656E-4</v>
      </c>
      <c r="O58" s="394"/>
      <c r="P58" s="395"/>
      <c r="Q58" s="71">
        <f t="shared" si="1"/>
        <v>6.3366499999999997</v>
      </c>
      <c r="R58" s="86">
        <f t="shared" si="2"/>
        <v>0</v>
      </c>
    </row>
    <row r="59" spans="1:18" ht="25.5" x14ac:dyDescent="0.25">
      <c r="A59" s="1236">
        <v>9</v>
      </c>
      <c r="B59" s="1242" t="s">
        <v>463</v>
      </c>
      <c r="C59" s="1239" t="s">
        <v>637</v>
      </c>
      <c r="D59" s="327">
        <v>1</v>
      </c>
      <c r="E59" s="910">
        <v>6.0019999999999998</v>
      </c>
      <c r="F59" s="910">
        <f>E59*5/100</f>
        <v>0.30009999999999998</v>
      </c>
      <c r="G59" s="1110"/>
      <c r="H59" s="1110"/>
      <c r="I59" s="1110"/>
      <c r="J59" s="1111">
        <v>0.45600000000000002</v>
      </c>
      <c r="K59" s="1112"/>
      <c r="L59" s="1113">
        <f>E59-F59-G59-H59-I59-J59</f>
        <v>5.2458999999999998</v>
      </c>
      <c r="M59" s="1111">
        <f>2.5+2.746</f>
        <v>5.2460000000000004</v>
      </c>
      <c r="N59" s="391">
        <f>L59-M59</f>
        <v>-1.0000000000065512E-4</v>
      </c>
      <c r="O59" s="394" t="s">
        <v>638</v>
      </c>
      <c r="P59" s="395" t="s">
        <v>639</v>
      </c>
      <c r="Q59" s="71">
        <f t="shared" si="1"/>
        <v>5.2458999999999998</v>
      </c>
      <c r="R59" s="86">
        <f t="shared" si="2"/>
        <v>0</v>
      </c>
    </row>
    <row r="60" spans="1:18" ht="14.25" customHeight="1" x14ac:dyDescent="0.25">
      <c r="A60" s="1237"/>
      <c r="B60" s="1243"/>
      <c r="C60" s="1240"/>
      <c r="D60" s="327">
        <v>2</v>
      </c>
      <c r="E60" s="910">
        <v>3.133</v>
      </c>
      <c r="F60" s="910">
        <f>E60*5/100</f>
        <v>0.15664999999999998</v>
      </c>
      <c r="G60" s="1110"/>
      <c r="H60" s="1110"/>
      <c r="I60" s="1110"/>
      <c r="J60" s="1111">
        <v>0.23799999999999999</v>
      </c>
      <c r="K60" s="1112"/>
      <c r="L60" s="1113">
        <f>E60-F60-G60-H60-I60-J60</f>
        <v>2.7383500000000001</v>
      </c>
      <c r="M60" s="1111">
        <v>2.738</v>
      </c>
      <c r="N60" s="391">
        <f>L60-M60</f>
        <v>3.5000000000007248E-4</v>
      </c>
      <c r="O60" s="394">
        <v>169900</v>
      </c>
      <c r="P60" s="395">
        <v>45314</v>
      </c>
      <c r="Q60" s="71">
        <f t="shared" si="1"/>
        <v>2.7383500000000001</v>
      </c>
      <c r="R60" s="86">
        <f t="shared" si="2"/>
        <v>0</v>
      </c>
    </row>
    <row r="61" spans="1:18" ht="14.25" customHeight="1" x14ac:dyDescent="0.25">
      <c r="A61" s="1237"/>
      <c r="B61" s="1243"/>
      <c r="C61" s="1240"/>
      <c r="D61" s="327" t="s">
        <v>660</v>
      </c>
      <c r="E61" s="910">
        <v>0</v>
      </c>
      <c r="F61" s="910">
        <v>-0.42</v>
      </c>
      <c r="G61" s="1110"/>
      <c r="H61" s="1110"/>
      <c r="I61" s="1110"/>
      <c r="J61" s="1111">
        <v>0</v>
      </c>
      <c r="K61" s="1112"/>
      <c r="L61" s="1113">
        <f>E61-F61-G61-H61-I61-J61</f>
        <v>0.42</v>
      </c>
      <c r="M61" s="1111">
        <v>0.42</v>
      </c>
      <c r="N61" s="391">
        <f>L61-M61</f>
        <v>0</v>
      </c>
      <c r="O61" s="394">
        <v>171880</v>
      </c>
      <c r="P61" s="395">
        <v>45351</v>
      </c>
      <c r="Q61" s="71">
        <f t="shared" si="1"/>
        <v>0.42</v>
      </c>
      <c r="R61" s="86">
        <f t="shared" si="2"/>
        <v>0</v>
      </c>
    </row>
    <row r="62" spans="1:18" ht="14.25" customHeight="1" x14ac:dyDescent="0.25">
      <c r="A62" s="1237"/>
      <c r="B62" s="1243"/>
      <c r="C62" s="1240"/>
      <c r="D62" s="327"/>
      <c r="E62" s="316"/>
      <c r="F62" s="316"/>
      <c r="G62" s="317"/>
      <c r="H62" s="317"/>
      <c r="I62" s="317"/>
      <c r="J62" s="391"/>
      <c r="K62" s="392"/>
      <c r="L62" s="393"/>
      <c r="M62" s="391"/>
      <c r="N62" s="391"/>
      <c r="O62" s="394"/>
      <c r="P62" s="395"/>
      <c r="Q62" s="71">
        <f t="shared" si="1"/>
        <v>0</v>
      </c>
      <c r="R62" s="86">
        <f t="shared" si="2"/>
        <v>0</v>
      </c>
    </row>
    <row r="63" spans="1:18" ht="14.25" customHeight="1" x14ac:dyDescent="0.25">
      <c r="A63" s="1238"/>
      <c r="B63" s="1244"/>
      <c r="C63" s="1241"/>
      <c r="D63" s="327"/>
      <c r="E63" s="316"/>
      <c r="F63" s="316"/>
      <c r="G63" s="317"/>
      <c r="H63" s="317"/>
      <c r="I63" s="317"/>
      <c r="J63" s="391"/>
      <c r="K63" s="392"/>
      <c r="L63" s="393"/>
      <c r="M63" s="391"/>
      <c r="N63" s="391"/>
      <c r="O63" s="394"/>
      <c r="P63" s="395"/>
      <c r="Q63" s="71">
        <f t="shared" si="1"/>
        <v>0</v>
      </c>
      <c r="R63" s="86">
        <f t="shared" si="2"/>
        <v>0</v>
      </c>
    </row>
    <row r="64" spans="1:18" ht="14.25" customHeight="1" x14ac:dyDescent="0.25">
      <c r="A64" s="61"/>
      <c r="B64" s="679"/>
      <c r="C64" s="679"/>
      <c r="D64" s="327"/>
      <c r="E64" s="319">
        <f t="shared" ref="E64:N64" si="13">SUM(E59:E63)</f>
        <v>9.1349999999999998</v>
      </c>
      <c r="F64" s="319">
        <f t="shared" si="13"/>
        <v>3.6750000000000005E-2</v>
      </c>
      <c r="G64" s="319">
        <f t="shared" si="13"/>
        <v>0</v>
      </c>
      <c r="H64" s="319">
        <f t="shared" si="13"/>
        <v>0</v>
      </c>
      <c r="I64" s="319">
        <f t="shared" si="13"/>
        <v>0</v>
      </c>
      <c r="J64" s="319">
        <f t="shared" si="13"/>
        <v>0.69399999999999995</v>
      </c>
      <c r="K64" s="319">
        <f t="shared" si="13"/>
        <v>0</v>
      </c>
      <c r="L64" s="319">
        <f t="shared" si="13"/>
        <v>8.4042499999999993</v>
      </c>
      <c r="M64" s="1118">
        <f t="shared" si="13"/>
        <v>8.4039999999999999</v>
      </c>
      <c r="N64" s="319">
        <f t="shared" si="13"/>
        <v>2.4999999999941735E-4</v>
      </c>
      <c r="O64" s="394"/>
      <c r="P64" s="395"/>
      <c r="Q64" s="71">
        <f t="shared" si="1"/>
        <v>8.4042500000000011</v>
      </c>
      <c r="R64" s="86">
        <f t="shared" si="2"/>
        <v>0</v>
      </c>
    </row>
    <row r="65" spans="1:18" ht="14.25" x14ac:dyDescent="0.25">
      <c r="A65" s="1236">
        <v>10</v>
      </c>
      <c r="B65" s="1242" t="s">
        <v>514</v>
      </c>
      <c r="C65" s="1239" t="s">
        <v>515</v>
      </c>
      <c r="D65" s="327">
        <v>1</v>
      </c>
      <c r="E65" s="910">
        <v>3.36</v>
      </c>
      <c r="F65" s="910">
        <f>E65*5/100</f>
        <v>0.16800000000000001</v>
      </c>
      <c r="G65" s="1110"/>
      <c r="H65" s="1110"/>
      <c r="I65" s="1110"/>
      <c r="J65" s="1111">
        <f>(E65-F65)*7/100</f>
        <v>0.22343999999999997</v>
      </c>
      <c r="K65" s="1112"/>
      <c r="L65" s="1113">
        <f t="shared" ref="L65:L71" si="14">E65-F65-G65-H65-I65-J65</f>
        <v>2.9685599999999996</v>
      </c>
      <c r="M65" s="1111">
        <v>2.5299999999999998</v>
      </c>
      <c r="N65" s="1111">
        <f t="shared" ref="N65:N71" si="15">L65-M65</f>
        <v>0.43855999999999984</v>
      </c>
      <c r="O65" s="394">
        <v>147311</v>
      </c>
      <c r="P65" s="395">
        <v>45026</v>
      </c>
      <c r="Q65" s="71">
        <f t="shared" si="1"/>
        <v>2.9685599999999996</v>
      </c>
      <c r="R65" s="86">
        <f t="shared" si="2"/>
        <v>0</v>
      </c>
    </row>
    <row r="66" spans="1:18" ht="14.25" x14ac:dyDescent="0.25">
      <c r="A66" s="1237"/>
      <c r="B66" s="1243"/>
      <c r="C66" s="1240"/>
      <c r="D66" s="327">
        <v>2</v>
      </c>
      <c r="E66" s="910">
        <v>0.92400000000000004</v>
      </c>
      <c r="F66" s="910">
        <f>E66*5/100</f>
        <v>4.6199999999999998E-2</v>
      </c>
      <c r="G66" s="1110"/>
      <c r="H66" s="1110"/>
      <c r="I66" s="1110"/>
      <c r="J66" s="1111">
        <f>(E66-F66)*7/100</f>
        <v>6.1446000000000008E-2</v>
      </c>
      <c r="K66" s="1112"/>
      <c r="L66" s="1113">
        <f t="shared" si="14"/>
        <v>0.81635400000000002</v>
      </c>
      <c r="M66" s="1111">
        <f>1.254</f>
        <v>1.254</v>
      </c>
      <c r="N66" s="1111">
        <f t="shared" si="15"/>
        <v>-0.43764599999999998</v>
      </c>
      <c r="O66" s="394">
        <v>148705</v>
      </c>
      <c r="P66" s="395">
        <v>45035</v>
      </c>
      <c r="Q66" s="71">
        <f t="shared" si="1"/>
        <v>0.81635400000000002</v>
      </c>
      <c r="R66" s="86">
        <f t="shared" si="2"/>
        <v>0</v>
      </c>
    </row>
    <row r="67" spans="1:18" ht="14.25" x14ac:dyDescent="0.25">
      <c r="A67" s="1237"/>
      <c r="B67" s="1243"/>
      <c r="C67" s="1240"/>
      <c r="D67" s="327">
        <v>3</v>
      </c>
      <c r="E67" s="910">
        <v>1.2769999999999999</v>
      </c>
      <c r="F67" s="910">
        <v>6.4000000000000001E-2</v>
      </c>
      <c r="G67" s="1110"/>
      <c r="H67" s="1110"/>
      <c r="I67" s="1110"/>
      <c r="J67" s="1111">
        <f>(E67-F67)*7/100</f>
        <v>8.4909999999999999E-2</v>
      </c>
      <c r="K67" s="1112"/>
      <c r="L67" s="1113">
        <f t="shared" si="14"/>
        <v>1.1280899999999998</v>
      </c>
      <c r="M67" s="1111">
        <v>1.1279999999999999</v>
      </c>
      <c r="N67" s="1111">
        <f t="shared" si="15"/>
        <v>8.9999999999923475E-5</v>
      </c>
      <c r="O67" s="394">
        <v>151391</v>
      </c>
      <c r="P67" s="395">
        <v>45082</v>
      </c>
      <c r="Q67" s="71">
        <f t="shared" si="1"/>
        <v>1.1280899999999998</v>
      </c>
      <c r="R67" s="86">
        <f t="shared" si="2"/>
        <v>0</v>
      </c>
    </row>
    <row r="68" spans="1:18" ht="14.25" x14ac:dyDescent="0.25">
      <c r="A68" s="1237"/>
      <c r="B68" s="1243"/>
      <c r="C68" s="1240"/>
      <c r="D68" s="327">
        <v>4</v>
      </c>
      <c r="E68" s="910">
        <v>1.482</v>
      </c>
      <c r="F68" s="910">
        <v>7.3999999999999996E-2</v>
      </c>
      <c r="G68" s="1110"/>
      <c r="H68" s="1110"/>
      <c r="I68" s="1110"/>
      <c r="J68" s="1111">
        <f>(E68-F68)*7/100</f>
        <v>9.8559999999999995E-2</v>
      </c>
      <c r="K68" s="1112"/>
      <c r="L68" s="1113">
        <f t="shared" si="14"/>
        <v>1.3094399999999999</v>
      </c>
      <c r="M68" s="1111">
        <v>1.3089999999999999</v>
      </c>
      <c r="N68" s="1111">
        <f t="shared" si="15"/>
        <v>4.3999999999999595E-4</v>
      </c>
      <c r="O68" s="394">
        <v>152552</v>
      </c>
      <c r="P68" s="395">
        <v>45085</v>
      </c>
      <c r="Q68" s="71">
        <f t="shared" si="1"/>
        <v>1.3094399999999999</v>
      </c>
      <c r="R68" s="86">
        <f t="shared" si="2"/>
        <v>0</v>
      </c>
    </row>
    <row r="69" spans="1:18" ht="14.25" x14ac:dyDescent="0.25">
      <c r="A69" s="1237"/>
      <c r="B69" s="1243"/>
      <c r="C69" s="1240"/>
      <c r="D69" s="327">
        <v>5</v>
      </c>
      <c r="E69" s="910">
        <v>3.2589999999999999</v>
      </c>
      <c r="F69" s="910">
        <v>0.16300000000000001</v>
      </c>
      <c r="G69" s="1110"/>
      <c r="H69" s="1110"/>
      <c r="I69" s="1110"/>
      <c r="J69" s="1111">
        <f>(E69-F69)*7/100</f>
        <v>0.21672</v>
      </c>
      <c r="K69" s="1112"/>
      <c r="L69" s="1113">
        <f t="shared" si="14"/>
        <v>2.8792800000000001</v>
      </c>
      <c r="M69" s="1111">
        <v>2.879</v>
      </c>
      <c r="N69" s="391">
        <f t="shared" si="15"/>
        <v>2.8000000000005798E-4</v>
      </c>
      <c r="O69" s="394">
        <v>153562</v>
      </c>
      <c r="P69" s="395">
        <v>45101</v>
      </c>
      <c r="Q69" s="71">
        <f t="shared" si="1"/>
        <v>2.8792800000000001</v>
      </c>
      <c r="R69" s="86">
        <f t="shared" si="2"/>
        <v>0</v>
      </c>
    </row>
    <row r="70" spans="1:18" ht="14.25" x14ac:dyDescent="0.25">
      <c r="A70" s="1237"/>
      <c r="B70" s="1243"/>
      <c r="C70" s="1240"/>
      <c r="D70" s="327">
        <v>6</v>
      </c>
      <c r="E70" s="910">
        <v>0.95299999999999996</v>
      </c>
      <c r="F70" s="910">
        <f>E70*5/100</f>
        <v>4.7649999999999998E-2</v>
      </c>
      <c r="G70" s="1110"/>
      <c r="H70" s="1110"/>
      <c r="I70" s="1110"/>
      <c r="J70" s="1111">
        <v>7.1999999999999995E-2</v>
      </c>
      <c r="K70" s="1112"/>
      <c r="L70" s="1113">
        <f t="shared" si="14"/>
        <v>0.83335000000000004</v>
      </c>
      <c r="M70" s="1111">
        <v>0.83299999999999996</v>
      </c>
      <c r="N70" s="391">
        <f t="shared" si="15"/>
        <v>3.5000000000007248E-4</v>
      </c>
      <c r="O70" s="394">
        <v>154451</v>
      </c>
      <c r="P70" s="395">
        <v>45134</v>
      </c>
      <c r="Q70" s="71">
        <f t="shared" si="1"/>
        <v>0.83335000000000004</v>
      </c>
      <c r="R70" s="86">
        <f t="shared" si="2"/>
        <v>0</v>
      </c>
    </row>
    <row r="71" spans="1:18" ht="14.25" x14ac:dyDescent="0.25">
      <c r="A71" s="1237"/>
      <c r="B71" s="1243"/>
      <c r="C71" s="1240"/>
      <c r="D71" s="327">
        <v>7</v>
      </c>
      <c r="E71" s="910">
        <v>0.61399999999999999</v>
      </c>
      <c r="F71" s="910">
        <f>E71*5/100</f>
        <v>3.0699999999999998E-2</v>
      </c>
      <c r="G71" s="1110"/>
      <c r="H71" s="1110"/>
      <c r="I71" s="1110"/>
      <c r="J71" s="1111">
        <v>4.7E-2</v>
      </c>
      <c r="K71" s="1112"/>
      <c r="L71" s="1113">
        <f t="shared" si="14"/>
        <v>0.5363</v>
      </c>
      <c r="M71" s="1111">
        <v>0.53600000000000003</v>
      </c>
      <c r="N71" s="391">
        <f t="shared" si="15"/>
        <v>2.9999999999996696E-4</v>
      </c>
      <c r="O71" s="394">
        <v>157815</v>
      </c>
      <c r="P71" s="395">
        <v>45184</v>
      </c>
      <c r="Q71" s="71">
        <f t="shared" si="1"/>
        <v>0.5363</v>
      </c>
      <c r="R71" s="86">
        <f t="shared" si="2"/>
        <v>0</v>
      </c>
    </row>
    <row r="72" spans="1:18" ht="14.25" x14ac:dyDescent="0.25">
      <c r="A72" s="1237"/>
      <c r="B72" s="1243"/>
      <c r="C72" s="1240"/>
      <c r="D72" s="327" t="s">
        <v>660</v>
      </c>
      <c r="E72" s="910"/>
      <c r="F72" s="910">
        <v>-0.59399999999999997</v>
      </c>
      <c r="G72" s="1110"/>
      <c r="H72" s="1110"/>
      <c r="I72" s="1110"/>
      <c r="J72" s="1111"/>
      <c r="K72" s="1112"/>
      <c r="L72" s="1113">
        <v>0.59399999999999997</v>
      </c>
      <c r="M72" s="1111">
        <v>0.59399999999999997</v>
      </c>
      <c r="N72" s="391"/>
      <c r="O72" s="394">
        <v>165496</v>
      </c>
      <c r="P72" s="395">
        <v>45265</v>
      </c>
      <c r="Q72" s="71">
        <f t="shared" si="1"/>
        <v>0.59399999999999997</v>
      </c>
      <c r="R72" s="86">
        <f t="shared" si="2"/>
        <v>0</v>
      </c>
    </row>
    <row r="73" spans="1:18" ht="14.25" x14ac:dyDescent="0.25">
      <c r="A73" s="1238"/>
      <c r="B73" s="1244"/>
      <c r="C73" s="1241"/>
      <c r="D73" s="327"/>
      <c r="E73" s="316"/>
      <c r="F73" s="316"/>
      <c r="G73" s="317"/>
      <c r="H73" s="317"/>
      <c r="I73" s="317"/>
      <c r="J73" s="391"/>
      <c r="K73" s="392"/>
      <c r="L73" s="393"/>
      <c r="M73" s="391"/>
      <c r="N73" s="391"/>
      <c r="O73" s="394"/>
      <c r="P73" s="395"/>
      <c r="Q73" s="71">
        <f t="shared" si="1"/>
        <v>0</v>
      </c>
      <c r="R73" s="86">
        <f t="shared" si="2"/>
        <v>0</v>
      </c>
    </row>
    <row r="74" spans="1:18" ht="15" x14ac:dyDescent="0.25">
      <c r="A74" s="681"/>
      <c r="B74" s="682"/>
      <c r="C74" s="683"/>
      <c r="D74" s="327"/>
      <c r="E74" s="319">
        <f>SUM(E65:E73)</f>
        <v>11.869</v>
      </c>
      <c r="F74" s="319">
        <f t="shared" ref="F74:N74" si="16">SUM(F65:F73)</f>
        <v>-4.5000000000006146E-4</v>
      </c>
      <c r="G74" s="319">
        <f t="shared" si="16"/>
        <v>0</v>
      </c>
      <c r="H74" s="319">
        <f t="shared" si="16"/>
        <v>0</v>
      </c>
      <c r="I74" s="319">
        <f t="shared" si="16"/>
        <v>0</v>
      </c>
      <c r="J74" s="319">
        <f t="shared" si="16"/>
        <v>0.8040759999999999</v>
      </c>
      <c r="K74" s="319">
        <f t="shared" si="16"/>
        <v>0</v>
      </c>
      <c r="L74" s="319">
        <f t="shared" si="16"/>
        <v>11.065373999999998</v>
      </c>
      <c r="M74" s="1118">
        <f t="shared" si="16"/>
        <v>11.062999999999999</v>
      </c>
      <c r="N74" s="319">
        <f t="shared" si="16"/>
        <v>2.3739999999998762E-3</v>
      </c>
      <c r="O74" s="394"/>
      <c r="P74" s="395"/>
      <c r="Q74" s="71">
        <f t="shared" si="1"/>
        <v>11.065374</v>
      </c>
      <c r="R74" s="86">
        <f t="shared" si="2"/>
        <v>0</v>
      </c>
    </row>
    <row r="75" spans="1:18" ht="17.25" customHeight="1" x14ac:dyDescent="0.25">
      <c r="A75" s="1236">
        <v>11</v>
      </c>
      <c r="B75" s="1242" t="str">
        <f>'Anx E'!C20</f>
        <v>M/s Zaid Waqas Engg &amp; Trading</v>
      </c>
      <c r="C75" s="1239" t="str">
        <f>'Anx E'!B20</f>
        <v>C/2022/P0460/Chahar Bagh/Lhr/Petty-5 (Const of Bdry / Wall Pkg-1 L=5267 Ft</v>
      </c>
      <c r="D75" s="327">
        <v>1</v>
      </c>
      <c r="E75" s="910">
        <v>0.19600000000000001</v>
      </c>
      <c r="F75" s="910">
        <f>E75*5/100</f>
        <v>9.7999999999999997E-3</v>
      </c>
      <c r="G75" s="910"/>
      <c r="H75" s="1110"/>
      <c r="I75" s="1110"/>
      <c r="J75" s="1111">
        <f>(E75-F75)*7/100</f>
        <v>1.3034E-2</v>
      </c>
      <c r="K75" s="1112"/>
      <c r="L75" s="1113">
        <f>E75-F75-G75-H75-I75-J75</f>
        <v>0.17316600000000001</v>
      </c>
      <c r="M75" s="1111">
        <v>0.17299999999999999</v>
      </c>
      <c r="N75" s="391">
        <f>L75-M75</f>
        <v>1.6600000000002724E-4</v>
      </c>
      <c r="O75" s="394">
        <v>153522</v>
      </c>
      <c r="P75" s="395">
        <v>45100</v>
      </c>
      <c r="Q75" s="71">
        <f t="shared" si="1"/>
        <v>0.17316600000000001</v>
      </c>
      <c r="R75" s="86">
        <f t="shared" si="2"/>
        <v>0</v>
      </c>
    </row>
    <row r="76" spans="1:18" ht="14.25" x14ac:dyDescent="0.25">
      <c r="A76" s="1237"/>
      <c r="B76" s="1243"/>
      <c r="C76" s="1240"/>
      <c r="D76" s="327" t="s">
        <v>660</v>
      </c>
      <c r="E76" s="316"/>
      <c r="F76" s="316">
        <v>-1.857</v>
      </c>
      <c r="G76" s="316"/>
      <c r="H76" s="317"/>
      <c r="I76" s="317"/>
      <c r="J76" s="1111">
        <f>(E76-F76)*7/100</f>
        <v>0.12998999999999999</v>
      </c>
      <c r="K76" s="392"/>
      <c r="L76" s="1113">
        <f>E76-F76-G76-H76-I76-J76</f>
        <v>1.7270099999999999</v>
      </c>
      <c r="M76" s="391">
        <v>1.7270000000000001</v>
      </c>
      <c r="N76" s="391">
        <f>L76-M76</f>
        <v>9.9999999998434674E-6</v>
      </c>
      <c r="O76" s="394"/>
      <c r="P76" s="395"/>
      <c r="Q76" s="71">
        <f t="shared" si="1"/>
        <v>1.7270099999999999</v>
      </c>
      <c r="R76" s="86">
        <f t="shared" si="2"/>
        <v>0</v>
      </c>
    </row>
    <row r="77" spans="1:18" ht="20.25" customHeight="1" x14ac:dyDescent="0.25">
      <c r="A77" s="1238"/>
      <c r="B77" s="1244"/>
      <c r="C77" s="1241"/>
      <c r="D77" s="327"/>
      <c r="E77" s="316"/>
      <c r="F77" s="316"/>
      <c r="G77" s="316"/>
      <c r="H77" s="317"/>
      <c r="I77" s="317"/>
      <c r="J77" s="391"/>
      <c r="K77" s="392"/>
      <c r="L77" s="393"/>
      <c r="M77" s="391"/>
      <c r="N77" s="391"/>
      <c r="O77" s="394"/>
      <c r="P77" s="395"/>
      <c r="Q77" s="71">
        <f t="shared" si="1"/>
        <v>0</v>
      </c>
      <c r="R77" s="86">
        <f t="shared" si="2"/>
        <v>0</v>
      </c>
    </row>
    <row r="78" spans="1:18" ht="20.25" customHeight="1" x14ac:dyDescent="0.25">
      <c r="A78" s="681"/>
      <c r="B78" s="682"/>
      <c r="C78" s="683"/>
      <c r="D78" s="327"/>
      <c r="E78" s="319">
        <f>SUM(E75:E77)</f>
        <v>0.19600000000000001</v>
      </c>
      <c r="F78" s="319">
        <f t="shared" ref="F78:N78" si="17">SUM(F75:F77)</f>
        <v>-1.8472</v>
      </c>
      <c r="G78" s="319">
        <f t="shared" si="17"/>
        <v>0</v>
      </c>
      <c r="H78" s="319">
        <f t="shared" si="17"/>
        <v>0</v>
      </c>
      <c r="I78" s="319">
        <f t="shared" si="17"/>
        <v>0</v>
      </c>
      <c r="J78" s="319">
        <f t="shared" si="17"/>
        <v>0.14302399999999998</v>
      </c>
      <c r="K78" s="319">
        <f t="shared" si="17"/>
        <v>0</v>
      </c>
      <c r="L78" s="319">
        <f t="shared" si="17"/>
        <v>1.9001759999999999</v>
      </c>
      <c r="M78" s="1118">
        <f t="shared" si="17"/>
        <v>1.9000000000000001</v>
      </c>
      <c r="N78" s="319">
        <f t="shared" si="17"/>
        <v>1.759999999998707E-4</v>
      </c>
      <c r="O78" s="394"/>
      <c r="P78" s="395"/>
      <c r="Q78" s="71">
        <f t="shared" ref="Q78:Q142" si="18">E78-F78-G78-H78-I78-J78-K78</f>
        <v>1.9001760000000001</v>
      </c>
      <c r="R78" s="86">
        <f t="shared" ref="R78:R142" si="19">Q78-L78</f>
        <v>0</v>
      </c>
    </row>
    <row r="79" spans="1:18" ht="25.5" customHeight="1" x14ac:dyDescent="0.25">
      <c r="A79" s="1245">
        <v>12</v>
      </c>
      <c r="B79" s="1232" t="s">
        <v>516</v>
      </c>
      <c r="C79" s="1258" t="s">
        <v>640</v>
      </c>
      <c r="D79" s="327">
        <v>1</v>
      </c>
      <c r="E79" s="910">
        <v>3.5390000000000001</v>
      </c>
      <c r="F79" s="910">
        <f t="shared" ref="F79:F84" si="20">E79*5/100</f>
        <v>0.17695</v>
      </c>
      <c r="G79" s="910">
        <v>1.401</v>
      </c>
      <c r="H79" s="1110"/>
      <c r="I79" s="1110"/>
      <c r="J79" s="1111">
        <v>0.157</v>
      </c>
      <c r="K79" s="1112"/>
      <c r="L79" s="1113">
        <f t="shared" ref="L79:L84" si="21">E79-F79-G79-H79-I79-J79</f>
        <v>1.8040499999999999</v>
      </c>
      <c r="M79" s="1111">
        <f>1+0.804</f>
        <v>1.804</v>
      </c>
      <c r="N79" s="391">
        <f t="shared" ref="N79:N84" si="22">L79-M79</f>
        <v>4.9999999999883471E-5</v>
      </c>
      <c r="O79" s="394" t="s">
        <v>641</v>
      </c>
      <c r="P79" s="395" t="s">
        <v>642</v>
      </c>
      <c r="Q79" s="71">
        <f t="shared" si="18"/>
        <v>1.8040499999999999</v>
      </c>
      <c r="R79" s="86">
        <f t="shared" si="19"/>
        <v>0</v>
      </c>
    </row>
    <row r="80" spans="1:18" ht="20.25" customHeight="1" x14ac:dyDescent="0.25">
      <c r="A80" s="1246"/>
      <c r="B80" s="1232"/>
      <c r="C80" s="1258"/>
      <c r="D80" s="327">
        <v>2</v>
      </c>
      <c r="E80" s="910">
        <v>3.2709999999999999</v>
      </c>
      <c r="F80" s="910">
        <f t="shared" si="20"/>
        <v>0.16355</v>
      </c>
      <c r="G80" s="910">
        <v>1.026</v>
      </c>
      <c r="H80" s="1110"/>
      <c r="I80" s="1110"/>
      <c r="J80" s="1111">
        <v>0.16600000000000001</v>
      </c>
      <c r="K80" s="1112"/>
      <c r="L80" s="1113">
        <f t="shared" si="21"/>
        <v>1.9154500000000003</v>
      </c>
      <c r="M80" s="1111">
        <v>1.915</v>
      </c>
      <c r="N80" s="391">
        <f t="shared" si="22"/>
        <v>4.5000000000028351E-4</v>
      </c>
      <c r="O80" s="394">
        <v>170894</v>
      </c>
      <c r="P80" s="395">
        <v>45336</v>
      </c>
      <c r="Q80" s="71">
        <f t="shared" si="18"/>
        <v>1.9154500000000003</v>
      </c>
      <c r="R80" s="86">
        <f t="shared" si="19"/>
        <v>0</v>
      </c>
    </row>
    <row r="81" spans="1:18" ht="20.25" customHeight="1" x14ac:dyDescent="0.25">
      <c r="A81" s="1246"/>
      <c r="B81" s="1232"/>
      <c r="C81" s="1258"/>
      <c r="D81" s="764">
        <v>3</v>
      </c>
      <c r="E81" s="910">
        <v>1.6612990000000001</v>
      </c>
      <c r="F81" s="910">
        <f t="shared" si="20"/>
        <v>8.3064949999999999E-2</v>
      </c>
      <c r="G81" s="910">
        <v>0.2626</v>
      </c>
      <c r="H81" s="1110"/>
      <c r="I81" s="1110"/>
      <c r="J81" s="1111">
        <v>0.10524600000000001</v>
      </c>
      <c r="K81" s="1112"/>
      <c r="L81" s="1113">
        <f t="shared" si="21"/>
        <v>1.2103880500000002</v>
      </c>
      <c r="M81" s="1111">
        <v>1.21</v>
      </c>
      <c r="N81" s="391">
        <f t="shared" si="22"/>
        <v>3.8805000000019518E-4</v>
      </c>
      <c r="O81" s="722">
        <v>174727</v>
      </c>
      <c r="P81" s="395">
        <v>45386</v>
      </c>
      <c r="Q81" s="71">
        <f t="shared" si="18"/>
        <v>1.2103880500000002</v>
      </c>
      <c r="R81" s="86">
        <f t="shared" si="19"/>
        <v>0</v>
      </c>
    </row>
    <row r="82" spans="1:18" ht="20.25" customHeight="1" x14ac:dyDescent="0.25">
      <c r="A82" s="1247"/>
      <c r="B82" s="1232"/>
      <c r="C82" s="1258"/>
      <c r="D82" s="327">
        <v>4</v>
      </c>
      <c r="E82" s="910">
        <v>0.71198499999999998</v>
      </c>
      <c r="F82" s="910">
        <f t="shared" si="20"/>
        <v>3.5599249999999999E-2</v>
      </c>
      <c r="G82" s="910">
        <v>0</v>
      </c>
      <c r="H82" s="1110"/>
      <c r="I82" s="1110"/>
      <c r="J82" s="1111">
        <v>5.4110999999999999E-2</v>
      </c>
      <c r="K82" s="1112"/>
      <c r="L82" s="1113">
        <f t="shared" si="21"/>
        <v>0.62227474999999999</v>
      </c>
      <c r="M82" s="1111">
        <v>0.62227699999999997</v>
      </c>
      <c r="N82" s="391">
        <f t="shared" si="22"/>
        <v>-2.2499999999814335E-6</v>
      </c>
      <c r="O82" s="722">
        <v>176300</v>
      </c>
      <c r="P82" s="395">
        <v>45421</v>
      </c>
      <c r="Q82" s="71">
        <f t="shared" si="18"/>
        <v>0.62227474999999999</v>
      </c>
      <c r="R82" s="86">
        <f t="shared" si="19"/>
        <v>0</v>
      </c>
    </row>
    <row r="83" spans="1:18" ht="20.25" customHeight="1" x14ac:dyDescent="0.25">
      <c r="A83" s="712"/>
      <c r="B83" s="1232"/>
      <c r="C83" s="1258"/>
      <c r="D83" s="771">
        <v>5</v>
      </c>
      <c r="E83" s="910">
        <v>1.151904</v>
      </c>
      <c r="F83" s="910">
        <f t="shared" si="20"/>
        <v>5.7595199999999999E-2</v>
      </c>
      <c r="G83" s="910">
        <v>0.621147</v>
      </c>
      <c r="H83" s="1110"/>
      <c r="I83" s="1110"/>
      <c r="J83" s="1111">
        <v>3.7852999999999998E-2</v>
      </c>
      <c r="K83" s="1112"/>
      <c r="L83" s="1113">
        <f t="shared" si="21"/>
        <v>0.43530880000000005</v>
      </c>
      <c r="M83" s="1111">
        <v>0.435309</v>
      </c>
      <c r="N83" s="391">
        <f t="shared" si="22"/>
        <v>-1.9999999995023998E-7</v>
      </c>
      <c r="O83" s="722">
        <v>180357</v>
      </c>
      <c r="P83" s="395">
        <v>45490</v>
      </c>
      <c r="Q83" s="71">
        <f t="shared" si="18"/>
        <v>0.43530880000000005</v>
      </c>
      <c r="R83" s="86">
        <f t="shared" si="19"/>
        <v>0</v>
      </c>
    </row>
    <row r="84" spans="1:18" ht="20.25" customHeight="1" x14ac:dyDescent="0.25">
      <c r="A84" s="712"/>
      <c r="B84" s="1232"/>
      <c r="C84" s="1258"/>
      <c r="D84" s="894">
        <v>6</v>
      </c>
      <c r="E84" s="910">
        <v>1.2729999999999999</v>
      </c>
      <c r="F84" s="910">
        <f t="shared" si="20"/>
        <v>6.3649999999999998E-2</v>
      </c>
      <c r="G84" s="910"/>
      <c r="H84" s="1110"/>
      <c r="I84" s="1110"/>
      <c r="J84" s="1111">
        <v>9.6799999999999997E-2</v>
      </c>
      <c r="K84" s="1112"/>
      <c r="L84" s="1113">
        <f t="shared" si="21"/>
        <v>1.1125499999999999</v>
      </c>
      <c r="M84" s="1111">
        <v>1.113</v>
      </c>
      <c r="N84" s="391">
        <f t="shared" si="22"/>
        <v>-4.5000000000006146E-4</v>
      </c>
      <c r="O84" s="722">
        <v>182185</v>
      </c>
      <c r="P84" s="395">
        <v>45566</v>
      </c>
      <c r="Q84" s="71">
        <f t="shared" si="18"/>
        <v>1.1125499999999999</v>
      </c>
      <c r="R84" s="86">
        <f t="shared" si="19"/>
        <v>0</v>
      </c>
    </row>
    <row r="85" spans="1:18" ht="20.25" customHeight="1" x14ac:dyDescent="0.25">
      <c r="A85" s="1104"/>
      <c r="B85" s="1115"/>
      <c r="C85" s="1102"/>
      <c r="D85" s="1100" t="s">
        <v>660</v>
      </c>
      <c r="E85" s="910"/>
      <c r="F85" s="910"/>
      <c r="G85" s="910"/>
      <c r="H85" s="1110"/>
      <c r="I85" s="1110"/>
      <c r="J85" s="1111"/>
      <c r="K85" s="1112"/>
      <c r="L85" s="1113"/>
      <c r="M85" s="1111"/>
      <c r="N85" s="391"/>
      <c r="O85" s="722"/>
      <c r="P85" s="395"/>
      <c r="Q85" s="71"/>
      <c r="R85" s="86"/>
    </row>
    <row r="86" spans="1:18" ht="20.25" customHeight="1" x14ac:dyDescent="0.25">
      <c r="A86" s="712"/>
      <c r="B86" s="713"/>
      <c r="C86" s="714"/>
      <c r="D86" s="327"/>
      <c r="E86" s="319">
        <f>SUM(E79:E85)</f>
        <v>11.608188</v>
      </c>
      <c r="F86" s="319">
        <f>SUM(F79:F85)</f>
        <v>0.58040939999999996</v>
      </c>
      <c r="G86" s="319">
        <f>SUM(G79:G85)</f>
        <v>3.3107470000000001</v>
      </c>
      <c r="H86" s="319">
        <f t="shared" ref="H86:N86" si="23">SUM(H79:H82)</f>
        <v>0</v>
      </c>
      <c r="I86" s="319">
        <f t="shared" si="23"/>
        <v>0</v>
      </c>
      <c r="J86" s="319">
        <f>SUM(J79:J85)</f>
        <v>0.61701000000000006</v>
      </c>
      <c r="K86" s="319">
        <f t="shared" si="23"/>
        <v>0</v>
      </c>
      <c r="L86" s="319">
        <f>SUM(L79:L85)</f>
        <v>7.1000216000000007</v>
      </c>
      <c r="M86" s="1118">
        <f>SUM(M79:M85)</f>
        <v>7.0995860000000004</v>
      </c>
      <c r="N86" s="319">
        <f t="shared" si="23"/>
        <v>8.8580000000038073E-4</v>
      </c>
      <c r="O86" s="394"/>
      <c r="P86" s="395"/>
      <c r="Q86" s="71">
        <f t="shared" si="18"/>
        <v>7.1000215999999998</v>
      </c>
      <c r="R86" s="86">
        <f t="shared" si="19"/>
        <v>0</v>
      </c>
    </row>
    <row r="87" spans="1:18" ht="20.25" customHeight="1" x14ac:dyDescent="0.25">
      <c r="A87" s="1236">
        <v>13</v>
      </c>
      <c r="B87" s="1242" t="str">
        <f>'Anx E'!C17</f>
        <v>M/s Z.K Builders</v>
      </c>
      <c r="C87" s="1239" t="str">
        <f>'Anx C '!B24</f>
        <v>C/2022/P0460/Chaharbagh Sch-Lhr-01</v>
      </c>
      <c r="D87" s="327">
        <v>1</v>
      </c>
      <c r="E87" s="910">
        <v>11.098000000000001</v>
      </c>
      <c r="F87" s="910">
        <f>E87*5/100</f>
        <v>0.55490000000000006</v>
      </c>
      <c r="G87" s="910">
        <v>8.5540000000000003</v>
      </c>
      <c r="H87" s="1110"/>
      <c r="I87" s="1110"/>
      <c r="J87" s="1111">
        <v>0.14899999999999999</v>
      </c>
      <c r="K87" s="1112"/>
      <c r="L87" s="1113">
        <f t="shared" ref="L87:L92" si="24">E87-F87-G87-H87-I87-J87</f>
        <v>1.8401000000000005</v>
      </c>
      <c r="M87" s="1111">
        <v>1.84</v>
      </c>
      <c r="N87" s="391">
        <f>L87-M87</f>
        <v>1.0000000000043308E-4</v>
      </c>
      <c r="O87" s="394">
        <v>154424</v>
      </c>
      <c r="P87" s="395">
        <v>45132</v>
      </c>
      <c r="Q87" s="71">
        <f t="shared" si="18"/>
        <v>1.8401000000000005</v>
      </c>
      <c r="R87" s="86">
        <f t="shared" si="19"/>
        <v>0</v>
      </c>
    </row>
    <row r="88" spans="1:18" ht="20.25" customHeight="1" x14ac:dyDescent="0.25">
      <c r="A88" s="1237"/>
      <c r="B88" s="1243"/>
      <c r="C88" s="1240"/>
      <c r="D88" s="327">
        <v>2</v>
      </c>
      <c r="E88" s="910">
        <v>5.774</v>
      </c>
      <c r="F88" s="910">
        <f>E88*5/100</f>
        <v>0.28870000000000001</v>
      </c>
      <c r="G88" s="910">
        <v>4.2309999999999999</v>
      </c>
      <c r="H88" s="1110"/>
      <c r="I88" s="1110"/>
      <c r="J88" s="1111">
        <v>9.4E-2</v>
      </c>
      <c r="K88" s="1112"/>
      <c r="L88" s="1113">
        <f t="shared" si="24"/>
        <v>1.1602999999999997</v>
      </c>
      <c r="M88" s="1111">
        <v>1.1599999999999999</v>
      </c>
      <c r="N88" s="391">
        <f>L88-M88</f>
        <v>2.9999999999974492E-4</v>
      </c>
      <c r="O88" s="394">
        <v>163426</v>
      </c>
      <c r="P88" s="395">
        <v>45226</v>
      </c>
      <c r="Q88" s="71">
        <f t="shared" si="18"/>
        <v>1.1602999999999997</v>
      </c>
      <c r="R88" s="86">
        <f t="shared" si="19"/>
        <v>0</v>
      </c>
    </row>
    <row r="89" spans="1:18" ht="20.25" customHeight="1" x14ac:dyDescent="0.25">
      <c r="A89" s="1237"/>
      <c r="B89" s="1243"/>
      <c r="C89" s="1240"/>
      <c r="D89" s="327">
        <v>3</v>
      </c>
      <c r="E89" s="910">
        <v>7.0570000000000004</v>
      </c>
      <c r="F89" s="910">
        <f>E89*5/100</f>
        <v>0.35285000000000005</v>
      </c>
      <c r="G89" s="910">
        <v>4.702</v>
      </c>
      <c r="H89" s="1110"/>
      <c r="I89" s="1110"/>
      <c r="J89" s="1111">
        <v>0.15</v>
      </c>
      <c r="K89" s="1112"/>
      <c r="L89" s="1113">
        <f t="shared" si="24"/>
        <v>1.8521500000000004</v>
      </c>
      <c r="M89" s="1111">
        <v>1.8520000000000001</v>
      </c>
      <c r="N89" s="391">
        <f>L89-M89</f>
        <v>1.5000000000031655E-4</v>
      </c>
      <c r="O89" s="394">
        <v>163613</v>
      </c>
      <c r="P89" s="395">
        <v>45236</v>
      </c>
      <c r="Q89" s="71">
        <f t="shared" si="18"/>
        <v>1.8521500000000004</v>
      </c>
      <c r="R89" s="86">
        <f t="shared" si="19"/>
        <v>0</v>
      </c>
    </row>
    <row r="90" spans="1:18" ht="20.25" customHeight="1" x14ac:dyDescent="0.25">
      <c r="A90" s="1237"/>
      <c r="B90" s="1243"/>
      <c r="C90" s="1240"/>
      <c r="D90" s="327">
        <v>4</v>
      </c>
      <c r="E90" s="910">
        <v>3.0859999999999999</v>
      </c>
      <c r="F90" s="910">
        <f>E90*5/100</f>
        <v>0.15429999999999999</v>
      </c>
      <c r="G90" s="910">
        <f>2.451+0.045</f>
        <v>2.496</v>
      </c>
      <c r="H90" s="1110"/>
      <c r="I90" s="1110"/>
      <c r="J90" s="1111">
        <v>3.27E-2</v>
      </c>
      <c r="K90" s="1112"/>
      <c r="L90" s="1113">
        <f t="shared" si="24"/>
        <v>0.40299999999999975</v>
      </c>
      <c r="M90" s="1111">
        <v>0.40300000000000002</v>
      </c>
      <c r="N90" s="391">
        <f>L90-M90</f>
        <v>0</v>
      </c>
      <c r="O90" s="394">
        <v>169828</v>
      </c>
      <c r="P90" s="395">
        <v>45310</v>
      </c>
      <c r="Q90" s="71">
        <f t="shared" si="18"/>
        <v>0.40299999999999975</v>
      </c>
      <c r="R90" s="86">
        <f t="shared" si="19"/>
        <v>0</v>
      </c>
    </row>
    <row r="91" spans="1:18" ht="20.25" customHeight="1" x14ac:dyDescent="0.25">
      <c r="A91" s="1237"/>
      <c r="B91" s="1243"/>
      <c r="C91" s="1240"/>
      <c r="D91" s="716">
        <v>5</v>
      </c>
      <c r="E91" s="910">
        <v>3.4569999999999999</v>
      </c>
      <c r="F91" s="910">
        <f>E91*5/100</f>
        <v>0.17285</v>
      </c>
      <c r="G91" s="910">
        <v>1.0509999999999999</v>
      </c>
      <c r="H91" s="1110"/>
      <c r="I91" s="1110"/>
      <c r="J91" s="1111">
        <v>0.16750000000000001</v>
      </c>
      <c r="K91" s="1112"/>
      <c r="L91" s="1113">
        <f t="shared" si="24"/>
        <v>2.0656500000000002</v>
      </c>
      <c r="M91" s="1111">
        <v>2.0659999999999998</v>
      </c>
      <c r="N91" s="391">
        <f>L91-M91</f>
        <v>-3.4999999999962839E-4</v>
      </c>
      <c r="O91" s="394">
        <v>170895</v>
      </c>
      <c r="P91" s="395">
        <v>45336</v>
      </c>
      <c r="Q91" s="71">
        <f t="shared" si="18"/>
        <v>2.0656500000000002</v>
      </c>
      <c r="R91" s="86">
        <f t="shared" si="19"/>
        <v>0</v>
      </c>
    </row>
    <row r="92" spans="1:18" ht="20.25" customHeight="1" x14ac:dyDescent="0.25">
      <c r="A92" s="1238"/>
      <c r="B92" s="1244"/>
      <c r="C92" s="1241"/>
      <c r="D92" s="327" t="s">
        <v>660</v>
      </c>
      <c r="E92" s="910"/>
      <c r="F92" s="910">
        <v>-2.75</v>
      </c>
      <c r="G92" s="1110"/>
      <c r="H92" s="1110"/>
      <c r="I92" s="1110"/>
      <c r="J92" s="1111"/>
      <c r="K92" s="1112"/>
      <c r="L92" s="1113">
        <f t="shared" si="24"/>
        <v>2.75</v>
      </c>
      <c r="M92" s="1111">
        <f>L92</f>
        <v>2.75</v>
      </c>
      <c r="N92" s="391"/>
      <c r="O92" s="394"/>
      <c r="P92" s="395"/>
      <c r="Q92" s="71">
        <f t="shared" si="18"/>
        <v>2.75</v>
      </c>
      <c r="R92" s="86">
        <f t="shared" si="19"/>
        <v>0</v>
      </c>
    </row>
    <row r="93" spans="1:18" ht="15" x14ac:dyDescent="0.25">
      <c r="A93" s="681"/>
      <c r="B93" s="682"/>
      <c r="C93" s="683"/>
      <c r="D93" s="327"/>
      <c r="E93" s="319">
        <f>SUM(E87:E92)</f>
        <v>30.472000000000001</v>
      </c>
      <c r="F93" s="319">
        <f t="shared" ref="F93:M93" si="25">SUM(F87:F92)</f>
        <v>-1.2263999999999999</v>
      </c>
      <c r="G93" s="319">
        <f t="shared" si="25"/>
        <v>21.033999999999999</v>
      </c>
      <c r="H93" s="319">
        <f t="shared" si="25"/>
        <v>0</v>
      </c>
      <c r="I93" s="319">
        <f t="shared" si="25"/>
        <v>0</v>
      </c>
      <c r="J93" s="319">
        <f t="shared" si="25"/>
        <v>0.59320000000000006</v>
      </c>
      <c r="K93" s="319">
        <f t="shared" si="25"/>
        <v>0</v>
      </c>
      <c r="L93" s="319">
        <f t="shared" si="25"/>
        <v>10.071200000000001</v>
      </c>
      <c r="M93" s="1118">
        <f t="shared" si="25"/>
        <v>10.071000000000002</v>
      </c>
      <c r="N93" s="319">
        <f>SUM(N87:N92)</f>
        <v>2.0000000000086615E-4</v>
      </c>
      <c r="O93" s="394"/>
      <c r="P93" s="395"/>
      <c r="Q93" s="71">
        <f t="shared" si="18"/>
        <v>10.071200000000001</v>
      </c>
      <c r="R93" s="86">
        <f t="shared" si="19"/>
        <v>0</v>
      </c>
    </row>
    <row r="94" spans="1:18" ht="14.25" x14ac:dyDescent="0.25">
      <c r="A94" s="1236">
        <v>14</v>
      </c>
      <c r="B94" s="1242" t="str">
        <f>'Anx C '!C25</f>
        <v>M/s Bhatti Associates</v>
      </c>
      <c r="C94" s="1239" t="str">
        <f>'Anx C '!B25</f>
        <v>C/2022/P0460/Chaharbagh Sch-Lhr-02</v>
      </c>
      <c r="D94" s="327">
        <v>1</v>
      </c>
      <c r="E94" s="910">
        <v>6.0839999999999996</v>
      </c>
      <c r="F94" s="910">
        <f>E94*5/100</f>
        <v>0.30419999999999997</v>
      </c>
      <c r="G94" s="910">
        <v>4.6539999999999999</v>
      </c>
      <c r="H94" s="1114">
        <v>0.753</v>
      </c>
      <c r="I94" s="1110"/>
      <c r="J94" s="1111">
        <v>2.98E-2</v>
      </c>
      <c r="K94" s="1112"/>
      <c r="L94" s="1113">
        <f>E94-F94-G94-H94-I94-J94</f>
        <v>0.34299999999999992</v>
      </c>
      <c r="M94" s="1111">
        <v>0.34300000000000003</v>
      </c>
      <c r="N94" s="391">
        <f>L94-M94</f>
        <v>0</v>
      </c>
      <c r="O94" s="394" t="s">
        <v>662</v>
      </c>
      <c r="P94" s="395">
        <v>45195</v>
      </c>
      <c r="Q94" s="71">
        <f t="shared" si="18"/>
        <v>0.34299999999999992</v>
      </c>
      <c r="R94" s="86">
        <f t="shared" si="19"/>
        <v>0</v>
      </c>
    </row>
    <row r="95" spans="1:18" ht="20.25" customHeight="1" x14ac:dyDescent="0.25">
      <c r="A95" s="1237"/>
      <c r="B95" s="1243"/>
      <c r="C95" s="1240"/>
      <c r="D95" s="327">
        <v>2</v>
      </c>
      <c r="E95" s="910">
        <v>2.6070000000000002</v>
      </c>
      <c r="F95" s="910">
        <f>E95*5/100</f>
        <v>0.13034999999999999</v>
      </c>
      <c r="G95" s="910">
        <v>1.9950000000000001</v>
      </c>
      <c r="H95" s="1114"/>
      <c r="I95" s="1110"/>
      <c r="J95" s="1111">
        <v>3.7999999999999999E-2</v>
      </c>
      <c r="K95" s="1112"/>
      <c r="L95" s="1113">
        <f>E95-F95-G95-H95-I95-J95</f>
        <v>0.44365000000000016</v>
      </c>
      <c r="M95" s="1111">
        <v>0.44400000000000001</v>
      </c>
      <c r="N95" s="391">
        <f>L95-M95</f>
        <v>-3.4999999999985043E-4</v>
      </c>
      <c r="O95" s="394">
        <v>164653</v>
      </c>
      <c r="P95" s="395">
        <v>45243</v>
      </c>
      <c r="Q95" s="71">
        <f t="shared" si="18"/>
        <v>0.44365000000000016</v>
      </c>
      <c r="R95" s="86">
        <f t="shared" si="19"/>
        <v>0</v>
      </c>
    </row>
    <row r="96" spans="1:18" ht="20.25" customHeight="1" x14ac:dyDescent="0.25">
      <c r="A96" s="1237"/>
      <c r="B96" s="1243"/>
      <c r="C96" s="1240"/>
      <c r="D96" s="327">
        <v>3</v>
      </c>
      <c r="E96" s="910">
        <v>0.93100000000000005</v>
      </c>
      <c r="F96" s="910">
        <f>E96*5/100</f>
        <v>4.6550000000000001E-2</v>
      </c>
      <c r="G96" s="910">
        <v>0.29799999999999999</v>
      </c>
      <c r="H96" s="1114"/>
      <c r="I96" s="1110"/>
      <c r="J96" s="1111">
        <v>4.7E-2</v>
      </c>
      <c r="K96" s="1112"/>
      <c r="L96" s="1113">
        <f>E96-F96-G96-H96-I96-J96</f>
        <v>0.5394500000000001</v>
      </c>
      <c r="M96" s="1111">
        <v>0.53900000000000003</v>
      </c>
      <c r="N96" s="391">
        <f>L96-M96</f>
        <v>4.5000000000006146E-4</v>
      </c>
      <c r="O96" s="394">
        <v>169829</v>
      </c>
      <c r="P96" s="395">
        <v>45310</v>
      </c>
      <c r="Q96" s="71">
        <f t="shared" si="18"/>
        <v>0.5394500000000001</v>
      </c>
      <c r="R96" s="86">
        <f t="shared" si="19"/>
        <v>0</v>
      </c>
    </row>
    <row r="97" spans="1:19" ht="20.25" customHeight="1" x14ac:dyDescent="0.25">
      <c r="A97" s="1237"/>
      <c r="B97" s="1243"/>
      <c r="C97" s="1240"/>
      <c r="D97" s="724">
        <v>4</v>
      </c>
      <c r="E97" s="910">
        <v>2.2029999999999998</v>
      </c>
      <c r="F97" s="910">
        <f>E97*5/100</f>
        <v>0.11014999999999998</v>
      </c>
      <c r="G97" s="910">
        <v>0.79500000000000004</v>
      </c>
      <c r="H97" s="1114"/>
      <c r="I97" s="1110"/>
      <c r="J97" s="1111">
        <v>0.104</v>
      </c>
      <c r="K97" s="1112"/>
      <c r="L97" s="1113">
        <f>E97-F97-G97-H97-I97-J97</f>
        <v>1.1938499999999999</v>
      </c>
      <c r="M97" s="1111">
        <v>1.194</v>
      </c>
      <c r="N97" s="391">
        <f>L97-M97</f>
        <v>-1.500000000000945E-4</v>
      </c>
      <c r="O97" s="394">
        <v>171900</v>
      </c>
      <c r="P97" s="395">
        <v>45351</v>
      </c>
      <c r="Q97" s="71">
        <f t="shared" si="18"/>
        <v>1.1938499999999999</v>
      </c>
      <c r="R97" s="86">
        <f t="shared" si="19"/>
        <v>0</v>
      </c>
    </row>
    <row r="98" spans="1:19" ht="20.25" customHeight="1" x14ac:dyDescent="0.25">
      <c r="A98" s="1238"/>
      <c r="B98" s="1244"/>
      <c r="C98" s="1241"/>
      <c r="D98" s="327"/>
      <c r="E98" s="316"/>
      <c r="F98" s="316">
        <v>-1.956</v>
      </c>
      <c r="G98" s="317"/>
      <c r="H98" s="317"/>
      <c r="I98" s="317"/>
      <c r="J98" s="391"/>
      <c r="K98" s="392"/>
      <c r="L98" s="393">
        <f>E98-F98-G98-H98-I98-J98</f>
        <v>1.956</v>
      </c>
      <c r="M98" s="391"/>
      <c r="N98" s="391">
        <f>L98-M98</f>
        <v>1.956</v>
      </c>
      <c r="O98" s="394"/>
      <c r="P98" s="395"/>
      <c r="Q98" s="71">
        <f t="shared" si="18"/>
        <v>1.956</v>
      </c>
      <c r="R98" s="86">
        <f t="shared" si="19"/>
        <v>0</v>
      </c>
    </row>
    <row r="99" spans="1:19" ht="13.5" customHeight="1" x14ac:dyDescent="0.25">
      <c r="A99" s="1229"/>
      <c r="B99" s="1230"/>
      <c r="C99" s="1231"/>
      <c r="D99" s="327"/>
      <c r="E99" s="319">
        <f>SUM(E94:E98)</f>
        <v>11.824999999999999</v>
      </c>
      <c r="F99" s="319">
        <f t="shared" ref="F99:N99" si="26">SUM(F94:F98)</f>
        <v>-1.3647499999999999</v>
      </c>
      <c r="G99" s="319">
        <f>SUM(G94:G98)</f>
        <v>7.742</v>
      </c>
      <c r="H99" s="319">
        <f>SUM(H94:H98)</f>
        <v>0.753</v>
      </c>
      <c r="I99" s="319">
        <f t="shared" si="26"/>
        <v>0</v>
      </c>
      <c r="J99" s="319">
        <f t="shared" si="26"/>
        <v>0.21879999999999999</v>
      </c>
      <c r="K99" s="319">
        <f t="shared" si="26"/>
        <v>0</v>
      </c>
      <c r="L99" s="319">
        <f t="shared" si="26"/>
        <v>4.4759500000000001</v>
      </c>
      <c r="M99" s="1118">
        <f t="shared" si="26"/>
        <v>2.52</v>
      </c>
      <c r="N99" s="319">
        <f t="shared" si="26"/>
        <v>1.9559500000000001</v>
      </c>
      <c r="O99" s="394"/>
      <c r="P99" s="395"/>
      <c r="Q99" s="71">
        <f t="shared" si="18"/>
        <v>4.4759500000000001</v>
      </c>
      <c r="R99" s="86">
        <f t="shared" si="19"/>
        <v>0</v>
      </c>
    </row>
    <row r="100" spans="1:19" ht="20.25" customHeight="1" x14ac:dyDescent="0.25">
      <c r="A100" s="1236">
        <v>15</v>
      </c>
      <c r="B100" s="1242" t="str">
        <f>'Anx E'!C19</f>
        <v>M/s Bhatti Associates</v>
      </c>
      <c r="C100" s="1239" t="str">
        <f>'Anx E'!B19</f>
        <v>C/2022/P0460/Chaharbagh Sch-Lhr-Petty-23</v>
      </c>
      <c r="D100" s="716">
        <v>1</v>
      </c>
      <c r="E100" s="910">
        <v>0.72199999999999998</v>
      </c>
      <c r="F100" s="910">
        <f>E100*5/100</f>
        <v>3.61E-2</v>
      </c>
      <c r="G100" s="910">
        <v>0.35</v>
      </c>
      <c r="H100" s="910"/>
      <c r="I100" s="910"/>
      <c r="J100" s="910">
        <v>2.7E-2</v>
      </c>
      <c r="K100" s="910"/>
      <c r="L100" s="1113">
        <f>E100-F100-G100-H100-I100-J100</f>
        <v>0.30889999999999995</v>
      </c>
      <c r="M100" s="910">
        <v>0.309</v>
      </c>
      <c r="N100" s="391">
        <f>L100-M100</f>
        <v>-1.000000000000445E-4</v>
      </c>
      <c r="O100" s="394">
        <v>164728</v>
      </c>
      <c r="P100" s="395" t="s">
        <v>651</v>
      </c>
      <c r="Q100" s="71">
        <f t="shared" si="18"/>
        <v>0.30889999999999995</v>
      </c>
      <c r="R100" s="86">
        <f t="shared" si="19"/>
        <v>0</v>
      </c>
      <c r="S100" s="723"/>
    </row>
    <row r="101" spans="1:19" ht="20.25" customHeight="1" x14ac:dyDescent="0.25">
      <c r="A101" s="1237"/>
      <c r="B101" s="1243"/>
      <c r="C101" s="1240"/>
      <c r="D101" s="716">
        <v>2</v>
      </c>
      <c r="E101" s="910">
        <v>6.359</v>
      </c>
      <c r="F101" s="910">
        <f>E101*5/100</f>
        <v>0.31795000000000001</v>
      </c>
      <c r="G101" s="910">
        <v>4.6890000000000001</v>
      </c>
      <c r="H101" s="910"/>
      <c r="I101" s="910"/>
      <c r="J101" s="910">
        <v>0.108</v>
      </c>
      <c r="K101" s="910"/>
      <c r="L101" s="1113">
        <f>E101-F101-G101-H101-I101-J101</f>
        <v>1.2440500000000001</v>
      </c>
      <c r="M101" s="910">
        <v>1.244</v>
      </c>
      <c r="N101" s="391">
        <f>L101-M101</f>
        <v>5.0000000000105516E-5</v>
      </c>
      <c r="O101" s="722">
        <v>169214</v>
      </c>
      <c r="P101" s="721" t="s">
        <v>652</v>
      </c>
      <c r="Q101" s="71">
        <f t="shared" si="18"/>
        <v>1.2440500000000001</v>
      </c>
      <c r="R101" s="86">
        <f t="shared" si="19"/>
        <v>0</v>
      </c>
    </row>
    <row r="102" spans="1:19" ht="20.25" customHeight="1" x14ac:dyDescent="0.25">
      <c r="A102" s="1237"/>
      <c r="B102" s="1243"/>
      <c r="C102" s="1240"/>
      <c r="D102" s="716">
        <v>3</v>
      </c>
      <c r="E102" s="910">
        <v>2.7250000000000001</v>
      </c>
      <c r="F102" s="910">
        <f>E102*5/100</f>
        <v>0.13625000000000001</v>
      </c>
      <c r="G102" s="910">
        <v>2.0099999999999998</v>
      </c>
      <c r="H102" s="910"/>
      <c r="I102" s="910"/>
      <c r="J102" s="910">
        <v>4.5999999999999999E-2</v>
      </c>
      <c r="K102" s="910"/>
      <c r="L102" s="1113">
        <f>E102-F102-G102-H102-I102-J102</f>
        <v>0.53275000000000028</v>
      </c>
      <c r="M102" s="910">
        <v>0.53300000000000003</v>
      </c>
      <c r="N102" s="391">
        <f>L102-M102</f>
        <v>-2.4999999999975042E-4</v>
      </c>
      <c r="O102" s="394">
        <v>171253</v>
      </c>
      <c r="P102" s="395">
        <v>45337</v>
      </c>
      <c r="Q102" s="71">
        <f t="shared" si="18"/>
        <v>0.53275000000000028</v>
      </c>
      <c r="R102" s="86">
        <f t="shared" si="19"/>
        <v>0</v>
      </c>
    </row>
    <row r="103" spans="1:19" ht="20.25" customHeight="1" x14ac:dyDescent="0.25">
      <c r="A103" s="1237"/>
      <c r="B103" s="1243"/>
      <c r="C103" s="1240"/>
      <c r="D103" s="716">
        <v>4</v>
      </c>
      <c r="E103" s="910">
        <v>2.8239999999999998</v>
      </c>
      <c r="F103" s="910">
        <f>E103*5/100</f>
        <v>0.14119999999999999</v>
      </c>
      <c r="G103" s="910">
        <v>1.0820000000000001</v>
      </c>
      <c r="H103" s="910"/>
      <c r="I103" s="910"/>
      <c r="J103" s="910">
        <v>0.128</v>
      </c>
      <c r="K103" s="910"/>
      <c r="L103" s="1113">
        <f>E103-F103-G103-H103-I103-J103</f>
        <v>1.4727999999999999</v>
      </c>
      <c r="M103" s="910">
        <v>1.4730000000000001</v>
      </c>
      <c r="N103" s="391">
        <f>L103-M103</f>
        <v>-2.0000000000020002E-4</v>
      </c>
      <c r="O103" s="394">
        <v>173015</v>
      </c>
      <c r="P103" s="395">
        <v>45378</v>
      </c>
      <c r="Q103" s="71">
        <f t="shared" si="18"/>
        <v>1.4727999999999999</v>
      </c>
      <c r="R103" s="86">
        <f t="shared" si="19"/>
        <v>0</v>
      </c>
    </row>
    <row r="104" spans="1:19" ht="20.25" customHeight="1" x14ac:dyDescent="0.25">
      <c r="A104" s="1238"/>
      <c r="B104" s="1244"/>
      <c r="C104" s="1241"/>
      <c r="D104" s="716" t="s">
        <v>660</v>
      </c>
      <c r="E104" s="910"/>
      <c r="F104" s="910">
        <v>-0.63200000000000001</v>
      </c>
      <c r="G104" s="910"/>
      <c r="H104" s="910"/>
      <c r="I104" s="910"/>
      <c r="J104" s="910">
        <f>0.632*0.08</f>
        <v>5.0560000000000001E-2</v>
      </c>
      <c r="K104" s="910"/>
      <c r="L104" s="1113">
        <f>E104-F104-G104-H104-I104-J104</f>
        <v>0.58143999999999996</v>
      </c>
      <c r="M104" s="910">
        <v>0.58099999999999996</v>
      </c>
      <c r="N104" s="316">
        <f>L104-M104</f>
        <v>4.3999999999999595E-4</v>
      </c>
      <c r="O104" s="394">
        <v>179599</v>
      </c>
      <c r="P104" s="395">
        <v>45478</v>
      </c>
      <c r="Q104" s="71">
        <f t="shared" si="18"/>
        <v>0.58143999999999996</v>
      </c>
      <c r="R104" s="86">
        <f t="shared" si="19"/>
        <v>0</v>
      </c>
    </row>
    <row r="105" spans="1:19" ht="13.5" customHeight="1" x14ac:dyDescent="0.25">
      <c r="A105" s="717"/>
      <c r="B105" s="718"/>
      <c r="C105" s="719"/>
      <c r="D105" s="716"/>
      <c r="E105" s="319">
        <f>SUM(E100:E104)</f>
        <v>12.629999999999999</v>
      </c>
      <c r="F105" s="319">
        <f t="shared" ref="F105:N105" si="27">SUM(F100:F104)</f>
        <v>-4.9999999999994493E-4</v>
      </c>
      <c r="G105" s="319">
        <f t="shared" si="27"/>
        <v>8.1310000000000002</v>
      </c>
      <c r="H105" s="319">
        <f t="shared" si="27"/>
        <v>0</v>
      </c>
      <c r="I105" s="319">
        <f t="shared" si="27"/>
        <v>0</v>
      </c>
      <c r="J105" s="319">
        <f t="shared" si="27"/>
        <v>0.35955999999999999</v>
      </c>
      <c r="K105" s="319">
        <f t="shared" si="27"/>
        <v>0</v>
      </c>
      <c r="L105" s="319">
        <f t="shared" si="27"/>
        <v>4.1399400000000002</v>
      </c>
      <c r="M105" s="1118">
        <f t="shared" si="27"/>
        <v>4.1400000000000006</v>
      </c>
      <c r="N105" s="319">
        <f t="shared" si="27"/>
        <v>-5.9999999999893472E-5</v>
      </c>
      <c r="O105" s="394"/>
      <c r="P105" s="395"/>
      <c r="Q105" s="71">
        <f t="shared" si="18"/>
        <v>4.1399399999999993</v>
      </c>
      <c r="R105" s="86">
        <f t="shared" si="19"/>
        <v>0</v>
      </c>
    </row>
    <row r="106" spans="1:19" ht="25.5" customHeight="1" x14ac:dyDescent="0.25">
      <c r="A106" s="1236">
        <v>16</v>
      </c>
      <c r="B106" s="1232" t="str">
        <f>'Anx E'!C21</f>
        <v>M/s Al-Hafiz Management Works</v>
      </c>
      <c r="C106" s="1233" t="str">
        <f>'Anx E'!B21</f>
        <v>C/2022/P0460/Chahar Bagh/Lhr/Petty-24 (Const of Sewerage</v>
      </c>
      <c r="D106" s="716">
        <v>1</v>
      </c>
      <c r="E106" s="910">
        <v>6.2417999999999996</v>
      </c>
      <c r="F106" s="910">
        <f>E106*5/100</f>
        <v>0.31208999999999998</v>
      </c>
      <c r="G106" s="910">
        <v>0.49049999999999999</v>
      </c>
      <c r="H106" s="910"/>
      <c r="I106" s="910"/>
      <c r="J106" s="910">
        <v>0.435</v>
      </c>
      <c r="K106" s="910"/>
      <c r="L106" s="1113">
        <f>E106-F106-G106-H106-I106-J106</f>
        <v>5.0042100000000005</v>
      </c>
      <c r="M106" s="910">
        <v>5.0039999999999996</v>
      </c>
      <c r="N106" s="391">
        <f>L106-M106</f>
        <v>2.1000000000093166E-4</v>
      </c>
      <c r="O106" s="734" t="s">
        <v>663</v>
      </c>
      <c r="P106" s="395" t="s">
        <v>664</v>
      </c>
      <c r="Q106" s="71">
        <f t="shared" si="18"/>
        <v>5.0042100000000005</v>
      </c>
      <c r="R106" s="86">
        <f t="shared" si="19"/>
        <v>0</v>
      </c>
    </row>
    <row r="107" spans="1:19" ht="13.5" customHeight="1" x14ac:dyDescent="0.25">
      <c r="A107" s="1237"/>
      <c r="B107" s="1232"/>
      <c r="C107" s="1234"/>
      <c r="D107" s="716">
        <v>2</v>
      </c>
      <c r="E107" s="910">
        <v>2.964566</v>
      </c>
      <c r="F107" s="910">
        <f>E107*5/100</f>
        <v>0.14822830000000001</v>
      </c>
      <c r="G107" s="910">
        <v>0.456071</v>
      </c>
      <c r="H107" s="910"/>
      <c r="I107" s="910"/>
      <c r="J107" s="910">
        <v>0.18882099999999999</v>
      </c>
      <c r="K107" s="910"/>
      <c r="L107" s="1113">
        <f>E107-F107-G107-H107-I107-J107</f>
        <v>2.1714457</v>
      </c>
      <c r="M107" s="910">
        <v>2.1709999999999998</v>
      </c>
      <c r="N107" s="391">
        <f>L107-M107</f>
        <v>4.4570000000021537E-4</v>
      </c>
      <c r="O107" s="766" t="s">
        <v>701</v>
      </c>
      <c r="P107" s="721" t="s">
        <v>702</v>
      </c>
      <c r="Q107" s="71">
        <f t="shared" si="18"/>
        <v>2.1714457</v>
      </c>
      <c r="R107" s="86">
        <f t="shared" si="19"/>
        <v>0</v>
      </c>
    </row>
    <row r="108" spans="1:19" ht="14.25" x14ac:dyDescent="0.25">
      <c r="A108" s="1237"/>
      <c r="B108" s="1232"/>
      <c r="C108" s="1234"/>
      <c r="D108" s="716">
        <v>3</v>
      </c>
      <c r="E108" s="910">
        <v>2.8410000000000002</v>
      </c>
      <c r="F108" s="910">
        <f>E108*5/100</f>
        <v>0.14205000000000001</v>
      </c>
      <c r="G108" s="910"/>
      <c r="H108" s="910"/>
      <c r="I108" s="910"/>
      <c r="J108" s="910">
        <v>0.21593000000000001</v>
      </c>
      <c r="K108" s="910"/>
      <c r="L108" s="1113">
        <f>E108-F108-G108-H108-I108-J108</f>
        <v>2.4830199999999998</v>
      </c>
      <c r="M108" s="910">
        <v>2.4830000000000001</v>
      </c>
      <c r="N108" s="391">
        <f>L108-M108</f>
        <v>1.9999999999686935E-5</v>
      </c>
      <c r="O108" s="906" t="s">
        <v>701</v>
      </c>
      <c r="P108" s="395" t="s">
        <v>789</v>
      </c>
      <c r="Q108" s="71">
        <f t="shared" si="18"/>
        <v>2.4830199999999998</v>
      </c>
      <c r="R108" s="86">
        <f t="shared" si="19"/>
        <v>0</v>
      </c>
    </row>
    <row r="109" spans="1:19" ht="13.5" customHeight="1" x14ac:dyDescent="0.25">
      <c r="A109" s="1237"/>
      <c r="B109" s="1232"/>
      <c r="C109" s="1234"/>
      <c r="D109" s="716">
        <v>4</v>
      </c>
      <c r="E109" s="910">
        <v>2.028</v>
      </c>
      <c r="F109" s="910">
        <v>0.101409</v>
      </c>
      <c r="G109" s="910"/>
      <c r="H109" s="910"/>
      <c r="I109" s="910"/>
      <c r="J109" s="910">
        <v>0.154</v>
      </c>
      <c r="K109" s="910"/>
      <c r="L109" s="1113">
        <f>E109-F109-G109-H109-I109-J109</f>
        <v>1.772591</v>
      </c>
      <c r="M109" s="910">
        <v>1.7729999999999999</v>
      </c>
      <c r="N109" s="316">
        <f>L109-M109</f>
        <v>-4.0899999999988168E-4</v>
      </c>
      <c r="O109" s="394">
        <v>184150</v>
      </c>
      <c r="P109" s="395">
        <v>45642</v>
      </c>
      <c r="Q109" s="71">
        <f t="shared" si="18"/>
        <v>1.772591</v>
      </c>
      <c r="R109" s="86">
        <f t="shared" si="19"/>
        <v>0</v>
      </c>
    </row>
    <row r="110" spans="1:19" ht="13.5" customHeight="1" x14ac:dyDescent="0.25">
      <c r="A110" s="1238"/>
      <c r="B110" s="1232"/>
      <c r="C110" s="1235"/>
      <c r="D110" s="894" t="s">
        <v>660</v>
      </c>
      <c r="E110" s="910"/>
      <c r="F110" s="910">
        <v>-0.64700000000000002</v>
      </c>
      <c r="G110" s="910"/>
      <c r="H110" s="910"/>
      <c r="I110" s="910"/>
      <c r="J110" s="910">
        <v>0</v>
      </c>
      <c r="K110" s="910"/>
      <c r="L110" s="1113">
        <f>E110-F110-G110-H110-I110-J110</f>
        <v>0.64700000000000002</v>
      </c>
      <c r="M110" s="910">
        <f>L110</f>
        <v>0.64700000000000002</v>
      </c>
      <c r="N110" s="316">
        <f>L110-M110</f>
        <v>0</v>
      </c>
      <c r="O110" s="394">
        <v>192883</v>
      </c>
      <c r="P110" s="395">
        <v>45673</v>
      </c>
      <c r="Q110" s="71">
        <f t="shared" si="18"/>
        <v>0.64700000000000002</v>
      </c>
      <c r="R110" s="86">
        <f t="shared" si="19"/>
        <v>0</v>
      </c>
    </row>
    <row r="111" spans="1:19" ht="13.5" customHeight="1" x14ac:dyDescent="0.25">
      <c r="A111" s="717"/>
      <c r="B111" s="718"/>
      <c r="C111" s="719"/>
      <c r="D111" s="716"/>
      <c r="E111" s="319">
        <f t="shared" ref="E111:N111" si="28">SUM(E106:E109)</f>
        <v>14.075366000000001</v>
      </c>
      <c r="F111" s="319">
        <f>SUM(F106:F110)</f>
        <v>5.6777299999999919E-2</v>
      </c>
      <c r="G111" s="319">
        <f t="shared" si="28"/>
        <v>0.94657100000000005</v>
      </c>
      <c r="H111" s="319">
        <f t="shared" si="28"/>
        <v>0</v>
      </c>
      <c r="I111" s="319">
        <f t="shared" si="28"/>
        <v>0</v>
      </c>
      <c r="J111" s="319">
        <f>SUM(J106:J110)</f>
        <v>0.99375099999999994</v>
      </c>
      <c r="K111" s="319">
        <f t="shared" si="28"/>
        <v>0</v>
      </c>
      <c r="L111" s="319">
        <f>SUM(L106:L110)</f>
        <v>12.0782667</v>
      </c>
      <c r="M111" s="1118">
        <f>SUM(M106:M110)</f>
        <v>12.077999999999999</v>
      </c>
      <c r="N111" s="319">
        <f t="shared" si="28"/>
        <v>2.6670000000095229E-4</v>
      </c>
      <c r="O111" s="394"/>
      <c r="P111" s="395"/>
      <c r="Q111" s="71">
        <f t="shared" si="18"/>
        <v>12.0782667</v>
      </c>
      <c r="R111" s="86">
        <f t="shared" si="19"/>
        <v>0</v>
      </c>
    </row>
    <row r="112" spans="1:19" ht="25.5" x14ac:dyDescent="0.25">
      <c r="A112" s="1236">
        <v>17</v>
      </c>
      <c r="B112" s="1242" t="str">
        <f>'Anx E'!C23</f>
        <v>M/s The Muhandis</v>
      </c>
      <c r="C112" s="1239" t="str">
        <f>'Anx E'!B23</f>
        <v>C/2022/P0460/Chahar Bagh Sch-Lhr-Petty-26</v>
      </c>
      <c r="D112" s="724">
        <v>1</v>
      </c>
      <c r="E112" s="910">
        <v>2.8450000000000002</v>
      </c>
      <c r="F112" s="910">
        <f>E112*5/100</f>
        <v>0.14225000000000002</v>
      </c>
      <c r="G112" s="910">
        <v>0.42099999999999999</v>
      </c>
      <c r="H112" s="910"/>
      <c r="I112" s="910"/>
      <c r="J112" s="910">
        <v>0.183</v>
      </c>
      <c r="K112" s="910"/>
      <c r="L112" s="1113">
        <f>E112-F112-G112-H112-I112-J112</f>
        <v>2.0987500000000003</v>
      </c>
      <c r="M112" s="910">
        <v>2.0990000000000002</v>
      </c>
      <c r="N112" s="391">
        <f>L112-M112</f>
        <v>-2.4999999999986144E-4</v>
      </c>
      <c r="O112" s="394" t="s">
        <v>665</v>
      </c>
      <c r="P112" s="395" t="s">
        <v>666</v>
      </c>
      <c r="Q112" s="71">
        <f t="shared" si="18"/>
        <v>2.0987500000000003</v>
      </c>
      <c r="R112" s="86">
        <f t="shared" si="19"/>
        <v>0</v>
      </c>
    </row>
    <row r="113" spans="1:18" ht="25.5" x14ac:dyDescent="0.25">
      <c r="A113" s="1237"/>
      <c r="B113" s="1243"/>
      <c r="C113" s="1240"/>
      <c r="D113" s="724">
        <v>2</v>
      </c>
      <c r="E113" s="910">
        <v>5.1455250000000001</v>
      </c>
      <c r="F113" s="910">
        <f>E113*5/100</f>
        <v>0.25727624999999998</v>
      </c>
      <c r="G113" s="910">
        <v>0.359871</v>
      </c>
      <c r="H113" s="910"/>
      <c r="I113" s="910"/>
      <c r="J113" s="910">
        <v>0.36226999999999998</v>
      </c>
      <c r="K113" s="910"/>
      <c r="L113" s="1113">
        <f>E113-F113-G113-H113-I113-J113</f>
        <v>4.1661077500000001</v>
      </c>
      <c r="M113" s="910">
        <v>4.1660000000000004</v>
      </c>
      <c r="N113" s="391">
        <f>L113-M113</f>
        <v>1.0774999999974E-4</v>
      </c>
      <c r="O113" s="765" t="s">
        <v>790</v>
      </c>
      <c r="P113" s="395" t="s">
        <v>791</v>
      </c>
      <c r="Q113" s="71">
        <f t="shared" si="18"/>
        <v>4.1661077500000001</v>
      </c>
      <c r="R113" s="86">
        <f t="shared" si="19"/>
        <v>0</v>
      </c>
    </row>
    <row r="114" spans="1:18" ht="13.5" customHeight="1" x14ac:dyDescent="0.25">
      <c r="A114" s="1237"/>
      <c r="B114" s="1243"/>
      <c r="C114" s="1240"/>
      <c r="D114" s="724">
        <v>3</v>
      </c>
      <c r="E114" s="910">
        <v>4.9429999999999996</v>
      </c>
      <c r="F114" s="910">
        <v>0.247</v>
      </c>
      <c r="G114" s="910">
        <f>0.3667+0.0715</f>
        <v>0.43820000000000003</v>
      </c>
      <c r="H114" s="910"/>
      <c r="I114" s="910"/>
      <c r="J114" s="910">
        <v>0.34060000000000001</v>
      </c>
      <c r="K114" s="910"/>
      <c r="L114" s="1113">
        <f>E114-F114-G114-H114-I114-J114</f>
        <v>3.9171999999999993</v>
      </c>
      <c r="M114" s="910">
        <v>3.9169999999999998</v>
      </c>
      <c r="N114" s="391">
        <f>L114-M114</f>
        <v>1.9999999999953388E-4</v>
      </c>
      <c r="O114" s="394" t="s">
        <v>792</v>
      </c>
      <c r="P114" s="395" t="s">
        <v>793</v>
      </c>
      <c r="Q114" s="71">
        <f t="shared" si="18"/>
        <v>3.9171999999999993</v>
      </c>
      <c r="R114" s="86">
        <f t="shared" si="19"/>
        <v>0</v>
      </c>
    </row>
    <row r="115" spans="1:18" ht="13.5" customHeight="1" x14ac:dyDescent="0.25">
      <c r="A115" s="1238"/>
      <c r="B115" s="1244"/>
      <c r="C115" s="1241"/>
      <c r="D115" s="724">
        <v>4</v>
      </c>
      <c r="E115" s="910">
        <v>1.3889</v>
      </c>
      <c r="F115" s="910">
        <v>6.9000000000000006E-2</v>
      </c>
      <c r="G115" s="910"/>
      <c r="H115" s="910"/>
      <c r="I115" s="910"/>
      <c r="J115" s="910">
        <v>0.1055</v>
      </c>
      <c r="K115" s="910"/>
      <c r="L115" s="1113">
        <f>E115-F115-G115-H115-I115-J115</f>
        <v>1.2144000000000001</v>
      </c>
      <c r="M115" s="910">
        <v>1.214</v>
      </c>
      <c r="N115" s="316"/>
      <c r="O115" s="394">
        <v>193741</v>
      </c>
      <c r="P115" s="395">
        <v>45700</v>
      </c>
      <c r="Q115" s="71">
        <f t="shared" si="18"/>
        <v>1.2144000000000001</v>
      </c>
      <c r="R115" s="86">
        <f t="shared" si="19"/>
        <v>0</v>
      </c>
    </row>
    <row r="116" spans="1:18" ht="13.5" customHeight="1" x14ac:dyDescent="0.25">
      <c r="A116" s="729"/>
      <c r="B116" s="730"/>
      <c r="C116" s="731"/>
      <c r="D116" s="724"/>
      <c r="E116" s="319">
        <f>SUM(E112:E115)</f>
        <v>14.322424999999999</v>
      </c>
      <c r="F116" s="319">
        <f>SUM(F112:F115)</f>
        <v>0.71552624999999992</v>
      </c>
      <c r="G116" s="319">
        <f t="shared" ref="G116:N116" si="29">SUM(G112:G115)</f>
        <v>1.219071</v>
      </c>
      <c r="H116" s="319">
        <f t="shared" si="29"/>
        <v>0</v>
      </c>
      <c r="I116" s="319">
        <f t="shared" si="29"/>
        <v>0</v>
      </c>
      <c r="J116" s="319">
        <f t="shared" si="29"/>
        <v>0.99136999999999997</v>
      </c>
      <c r="K116" s="319">
        <f t="shared" si="29"/>
        <v>0</v>
      </c>
      <c r="L116" s="319">
        <f t="shared" si="29"/>
        <v>11.39645775</v>
      </c>
      <c r="M116" s="1118">
        <f t="shared" si="29"/>
        <v>11.396000000000001</v>
      </c>
      <c r="N116" s="319">
        <f t="shared" si="29"/>
        <v>5.7749999999412438E-5</v>
      </c>
      <c r="O116" s="394"/>
      <c r="P116" s="395"/>
      <c r="Q116" s="71">
        <f t="shared" si="18"/>
        <v>11.39645775</v>
      </c>
      <c r="R116" s="86">
        <f t="shared" si="19"/>
        <v>0</v>
      </c>
    </row>
    <row r="117" spans="1:18" ht="13.5" customHeight="1" x14ac:dyDescent="0.25">
      <c r="A117" s="1236">
        <v>18</v>
      </c>
      <c r="B117" s="1242" t="str">
        <f>'Anx E'!C24</f>
        <v>M/s Integration Builders and Enterprises</v>
      </c>
      <c r="C117" s="1239" t="str">
        <f>'Anx E'!B24</f>
        <v>C/2022/P0460/Chahar Bagh Sch-Lhr-Petty-28</v>
      </c>
      <c r="D117" s="724">
        <v>1</v>
      </c>
      <c r="E117" s="910">
        <v>0.36599999999999999</v>
      </c>
      <c r="F117" s="910">
        <f>E117*5/100</f>
        <v>1.83E-2</v>
      </c>
      <c r="G117" s="910">
        <v>3.6999999999999998E-2</v>
      </c>
      <c r="H117" s="910"/>
      <c r="I117" s="910"/>
      <c r="J117" s="910">
        <v>2.5000000000000001E-2</v>
      </c>
      <c r="K117" s="910"/>
      <c r="L117" s="1113">
        <f>E117-F117-G117-H117-I117-J117</f>
        <v>0.28570000000000001</v>
      </c>
      <c r="M117" s="910">
        <v>0.28599999999999998</v>
      </c>
      <c r="N117" s="391">
        <f>L117-M117</f>
        <v>-2.9999999999996696E-4</v>
      </c>
      <c r="O117" s="394">
        <v>172067</v>
      </c>
      <c r="P117" s="395">
        <v>45365</v>
      </c>
      <c r="Q117" s="71">
        <f t="shared" si="18"/>
        <v>0.28570000000000001</v>
      </c>
      <c r="R117" s="86">
        <f t="shared" si="19"/>
        <v>0</v>
      </c>
    </row>
    <row r="118" spans="1:18" ht="13.5" customHeight="1" x14ac:dyDescent="0.25">
      <c r="A118" s="1237"/>
      <c r="B118" s="1243"/>
      <c r="C118" s="1240"/>
      <c r="D118" s="724">
        <v>2</v>
      </c>
      <c r="E118" s="910">
        <v>3.676126</v>
      </c>
      <c r="F118" s="910">
        <f>E118*5/100</f>
        <v>0.18380630000000001</v>
      </c>
      <c r="G118" s="910">
        <v>0.32876499999999997</v>
      </c>
      <c r="H118" s="910"/>
      <c r="I118" s="910"/>
      <c r="J118" s="910">
        <v>0.25308399999999998</v>
      </c>
      <c r="K118" s="910"/>
      <c r="L118" s="1113">
        <f>E118-F118-G118-H118-I118-J118</f>
        <v>2.9104706999999999</v>
      </c>
      <c r="M118" s="1116">
        <v>2.91</v>
      </c>
      <c r="N118" s="391">
        <f>L118-M118</f>
        <v>4.7069999999971301E-4</v>
      </c>
      <c r="O118" s="722">
        <v>176585</v>
      </c>
      <c r="P118" s="395">
        <v>45435</v>
      </c>
      <c r="Q118" s="71">
        <f t="shared" si="18"/>
        <v>2.9104706999999999</v>
      </c>
      <c r="R118" s="86">
        <f t="shared" si="19"/>
        <v>0</v>
      </c>
    </row>
    <row r="119" spans="1:18" ht="13.5" customHeight="1" x14ac:dyDescent="0.25">
      <c r="A119" s="1237"/>
      <c r="B119" s="1243"/>
      <c r="C119" s="1240"/>
      <c r="D119" s="724">
        <v>3</v>
      </c>
      <c r="E119" s="910">
        <v>2.1120000000000001</v>
      </c>
      <c r="F119" s="910">
        <v>0.105</v>
      </c>
      <c r="G119" s="910"/>
      <c r="H119" s="910"/>
      <c r="I119" s="910"/>
      <c r="J119" s="910">
        <v>0.1605</v>
      </c>
      <c r="K119" s="910"/>
      <c r="L119" s="1113">
        <f>E119-F119-G119-H119-I119-J119</f>
        <v>1.8465</v>
      </c>
      <c r="M119" s="910">
        <v>1.847</v>
      </c>
      <c r="N119" s="391">
        <f>L119-M119</f>
        <v>-4.9999999999994493E-4</v>
      </c>
      <c r="O119" s="394">
        <v>181235</v>
      </c>
      <c r="P119" s="395">
        <v>45520</v>
      </c>
      <c r="Q119" s="71">
        <f t="shared" si="18"/>
        <v>1.8465</v>
      </c>
      <c r="R119" s="86">
        <f t="shared" si="19"/>
        <v>0</v>
      </c>
    </row>
    <row r="120" spans="1:18" ht="13.5" customHeight="1" x14ac:dyDescent="0.25">
      <c r="A120" s="1238"/>
      <c r="B120" s="1244"/>
      <c r="C120" s="1241"/>
      <c r="D120" s="724"/>
      <c r="E120" s="316"/>
      <c r="F120" s="316"/>
      <c r="G120" s="316"/>
      <c r="H120" s="316"/>
      <c r="I120" s="316"/>
      <c r="J120" s="316"/>
      <c r="K120" s="316"/>
      <c r="L120" s="316"/>
      <c r="M120" s="316"/>
      <c r="N120" s="316"/>
      <c r="O120" s="394"/>
      <c r="P120" s="395"/>
      <c r="Q120" s="71">
        <f t="shared" si="18"/>
        <v>0</v>
      </c>
      <c r="R120" s="86">
        <f t="shared" si="19"/>
        <v>0</v>
      </c>
    </row>
    <row r="121" spans="1:18" ht="13.5" customHeight="1" x14ac:dyDescent="0.25">
      <c r="A121" s="729"/>
      <c r="B121" s="730"/>
      <c r="C121" s="731"/>
      <c r="D121" s="724"/>
      <c r="E121" s="319">
        <f>SUM(E117:E120)</f>
        <v>6.1541259999999998</v>
      </c>
      <c r="F121" s="319">
        <f t="shared" ref="F121:N121" si="30">SUM(F117:F120)</f>
        <v>0.3071063</v>
      </c>
      <c r="G121" s="319">
        <f t="shared" si="30"/>
        <v>0.36576499999999995</v>
      </c>
      <c r="H121" s="319">
        <f t="shared" si="30"/>
        <v>0</v>
      </c>
      <c r="I121" s="319">
        <f t="shared" si="30"/>
        <v>0</v>
      </c>
      <c r="J121" s="319">
        <f t="shared" si="30"/>
        <v>0.43858399999999997</v>
      </c>
      <c r="K121" s="319">
        <f t="shared" si="30"/>
        <v>0</v>
      </c>
      <c r="L121" s="319">
        <f t="shared" si="30"/>
        <v>5.0426706999999995</v>
      </c>
      <c r="M121" s="1118">
        <f t="shared" si="30"/>
        <v>5.0430000000000001</v>
      </c>
      <c r="N121" s="319">
        <f t="shared" si="30"/>
        <v>-3.2930000000019888E-4</v>
      </c>
      <c r="O121" s="394"/>
      <c r="P121" s="395"/>
      <c r="Q121" s="71">
        <f t="shared" si="18"/>
        <v>5.0426707000000004</v>
      </c>
      <c r="R121" s="86">
        <f t="shared" si="19"/>
        <v>0</v>
      </c>
    </row>
    <row r="122" spans="1:18" ht="13.5" customHeight="1" x14ac:dyDescent="0.25">
      <c r="A122" s="1236">
        <v>19</v>
      </c>
      <c r="B122" s="1242" t="str">
        <f>'Anx E'!C25</f>
        <v>M/s Ejaz &amp; Co</v>
      </c>
      <c r="C122" s="1239" t="str">
        <f>'Anx E'!B25</f>
        <v>C/2022/P0460/Chahar Bagh Sch-Lhr-Petty-29</v>
      </c>
      <c r="D122" s="724">
        <v>1</v>
      </c>
      <c r="E122" s="910">
        <v>0.63300000000000001</v>
      </c>
      <c r="F122" s="910">
        <f>E122*5/100</f>
        <v>3.1649999999999998E-2</v>
      </c>
      <c r="G122" s="910">
        <v>0.155</v>
      </c>
      <c r="H122" s="910"/>
      <c r="I122" s="910"/>
      <c r="J122" s="910">
        <v>3.5999999999999997E-2</v>
      </c>
      <c r="K122" s="910"/>
      <c r="L122" s="1113">
        <f>E122-F122-G122-H122-I122-J122</f>
        <v>0.41035000000000005</v>
      </c>
      <c r="M122" s="910">
        <v>0.41</v>
      </c>
      <c r="N122" s="391">
        <f>L122-M122</f>
        <v>3.5000000000007248E-4</v>
      </c>
      <c r="O122" s="394">
        <v>172884</v>
      </c>
      <c r="P122" s="395">
        <v>45373</v>
      </c>
      <c r="Q122" s="71">
        <f t="shared" si="18"/>
        <v>0.41035000000000005</v>
      </c>
      <c r="R122" s="86">
        <f t="shared" si="19"/>
        <v>0</v>
      </c>
    </row>
    <row r="123" spans="1:18" ht="13.5" customHeight="1" x14ac:dyDescent="0.25">
      <c r="A123" s="1237"/>
      <c r="B123" s="1243"/>
      <c r="C123" s="1240"/>
      <c r="D123" s="724">
        <v>2</v>
      </c>
      <c r="E123" s="910">
        <v>0.28431299999999998</v>
      </c>
      <c r="F123" s="910">
        <f>E123*5/100</f>
        <v>1.421565E-2</v>
      </c>
      <c r="G123" s="910">
        <v>0</v>
      </c>
      <c r="H123" s="910"/>
      <c r="I123" s="910"/>
      <c r="J123" s="910">
        <v>2.1607999999999999E-2</v>
      </c>
      <c r="K123" s="910"/>
      <c r="L123" s="1113">
        <f>E123-F123-G123-H123-I123-J123</f>
        <v>0.24848934999999997</v>
      </c>
      <c r="M123" s="910">
        <v>0.24848899999999999</v>
      </c>
      <c r="N123" s="391">
        <f>L123-M123</f>
        <v>3.4999999998230891E-7</v>
      </c>
      <c r="O123" s="765">
        <v>177901</v>
      </c>
      <c r="P123" s="395">
        <v>45455</v>
      </c>
      <c r="Q123" s="71">
        <f t="shared" si="18"/>
        <v>0.24848934999999997</v>
      </c>
      <c r="R123" s="86">
        <f t="shared" si="19"/>
        <v>0</v>
      </c>
    </row>
    <row r="124" spans="1:18" ht="13.5" customHeight="1" x14ac:dyDescent="0.25">
      <c r="A124" s="1237"/>
      <c r="B124" s="1243"/>
      <c r="C124" s="1240"/>
      <c r="D124" s="724">
        <v>3</v>
      </c>
      <c r="E124" s="910">
        <v>0.34699999999999998</v>
      </c>
      <c r="F124" s="910">
        <v>1.7299999999999999E-2</v>
      </c>
      <c r="G124" s="910"/>
      <c r="H124" s="910"/>
      <c r="I124" s="910"/>
      <c r="J124" s="910">
        <v>2.64E-2</v>
      </c>
      <c r="K124" s="910"/>
      <c r="L124" s="1113">
        <f>E124-F124-G124-H124-I124-J124</f>
        <v>0.30330000000000001</v>
      </c>
      <c r="M124" s="910">
        <v>0.30299999999999999</v>
      </c>
      <c r="N124" s="391">
        <f>L124-M124</f>
        <v>3.0000000000002247E-4</v>
      </c>
      <c r="O124" s="394">
        <v>181331</v>
      </c>
      <c r="P124" s="395">
        <v>45527</v>
      </c>
      <c r="Q124" s="71">
        <f t="shared" si="18"/>
        <v>0.30330000000000001</v>
      </c>
      <c r="R124" s="86">
        <f t="shared" si="19"/>
        <v>0</v>
      </c>
    </row>
    <row r="125" spans="1:18" ht="13.5" customHeight="1" x14ac:dyDescent="0.25">
      <c r="A125" s="1238"/>
      <c r="B125" s="1244"/>
      <c r="C125" s="1241"/>
      <c r="D125" s="724">
        <v>4</v>
      </c>
      <c r="E125" s="316"/>
      <c r="F125" s="316"/>
      <c r="G125" s="316"/>
      <c r="H125" s="316"/>
      <c r="I125" s="316"/>
      <c r="J125" s="316"/>
      <c r="K125" s="316"/>
      <c r="L125" s="316"/>
      <c r="M125" s="316"/>
      <c r="N125" s="316"/>
      <c r="O125" s="394">
        <v>197868</v>
      </c>
      <c r="P125" s="395">
        <v>45771</v>
      </c>
      <c r="Q125" s="71">
        <f t="shared" si="18"/>
        <v>0</v>
      </c>
      <c r="R125" s="86">
        <f t="shared" si="19"/>
        <v>0</v>
      </c>
    </row>
    <row r="126" spans="1:18" ht="13.5" customHeight="1" x14ac:dyDescent="0.25">
      <c r="A126" s="729"/>
      <c r="B126" s="730"/>
      <c r="C126" s="731"/>
      <c r="D126" s="724"/>
      <c r="E126" s="319">
        <f>SUM(E122:E125)</f>
        <v>1.264313</v>
      </c>
      <c r="F126" s="319">
        <f t="shared" ref="F126:N126" si="31">SUM(F122:F125)</f>
        <v>6.316564999999999E-2</v>
      </c>
      <c r="G126" s="319">
        <f t="shared" si="31"/>
        <v>0.155</v>
      </c>
      <c r="H126" s="319">
        <f t="shared" si="31"/>
        <v>0</v>
      </c>
      <c r="I126" s="319">
        <f t="shared" si="31"/>
        <v>0</v>
      </c>
      <c r="J126" s="319">
        <f t="shared" si="31"/>
        <v>8.4007999999999999E-2</v>
      </c>
      <c r="K126" s="319">
        <f t="shared" si="31"/>
        <v>0</v>
      </c>
      <c r="L126" s="319">
        <f t="shared" si="31"/>
        <v>0.96213935000000006</v>
      </c>
      <c r="M126" s="1118">
        <f>SUM(M122:M125)</f>
        <v>0.96148900000000004</v>
      </c>
      <c r="N126" s="319">
        <f t="shared" si="31"/>
        <v>6.5035000000007726E-4</v>
      </c>
      <c r="O126" s="394"/>
      <c r="P126" s="395"/>
      <c r="Q126" s="71">
        <f t="shared" si="18"/>
        <v>0.96213935000000006</v>
      </c>
      <c r="R126" s="86">
        <f t="shared" si="19"/>
        <v>0</v>
      </c>
    </row>
    <row r="127" spans="1:18" ht="38.25" x14ac:dyDescent="0.25">
      <c r="A127" s="1215">
        <v>20</v>
      </c>
      <c r="B127" s="1259" t="s">
        <v>697</v>
      </c>
      <c r="C127" s="1239" t="s">
        <v>802</v>
      </c>
      <c r="D127" s="894">
        <v>1</v>
      </c>
      <c r="E127" s="910">
        <v>11.85</v>
      </c>
      <c r="F127" s="910">
        <v>0.59199999999999997</v>
      </c>
      <c r="G127" s="910"/>
      <c r="H127" s="910"/>
      <c r="I127" s="910"/>
      <c r="J127" s="910">
        <v>0.90060799999999996</v>
      </c>
      <c r="K127" s="910"/>
      <c r="L127" s="910">
        <f>E127-F127-G127-H127-I127-J127</f>
        <v>10.357391999999999</v>
      </c>
      <c r="M127" s="910">
        <v>10.356999999999999</v>
      </c>
      <c r="N127" s="316">
        <f>L127-M127</f>
        <v>3.919999999997259E-4</v>
      </c>
      <c r="O127" s="395" t="s">
        <v>795</v>
      </c>
      <c r="P127" s="394" t="s">
        <v>794</v>
      </c>
      <c r="Q127" s="71">
        <f t="shared" si="18"/>
        <v>10.357391999999999</v>
      </c>
      <c r="R127" s="86">
        <f t="shared" si="19"/>
        <v>0</v>
      </c>
    </row>
    <row r="128" spans="1:18" ht="13.5" customHeight="1" x14ac:dyDescent="0.25">
      <c r="A128" s="1215"/>
      <c r="B128" s="1259"/>
      <c r="C128" s="1240"/>
      <c r="D128" s="894" t="s">
        <v>660</v>
      </c>
      <c r="E128" s="486"/>
      <c r="F128" s="910">
        <v>-0.59199999999999997</v>
      </c>
      <c r="G128" s="910"/>
      <c r="H128" s="910"/>
      <c r="I128" s="910"/>
      <c r="J128" s="910">
        <v>4.7300000000000002E-2</v>
      </c>
      <c r="K128" s="910"/>
      <c r="L128" s="910">
        <f>E128-F128-G128-H128-I128-J128</f>
        <v>0.54469999999999996</v>
      </c>
      <c r="M128" s="910">
        <v>0.54500000000000004</v>
      </c>
      <c r="N128" s="316">
        <f>L128-M128</f>
        <v>-3.0000000000007798E-4</v>
      </c>
      <c r="O128" s="394">
        <v>183094</v>
      </c>
      <c r="P128" s="395">
        <v>45603</v>
      </c>
      <c r="Q128" s="71">
        <f t="shared" si="18"/>
        <v>0.54469999999999996</v>
      </c>
      <c r="R128" s="86">
        <f t="shared" si="19"/>
        <v>0</v>
      </c>
    </row>
    <row r="129" spans="1:18" ht="13.5" customHeight="1" x14ac:dyDescent="0.25">
      <c r="A129" s="1215"/>
      <c r="B129" s="1259"/>
      <c r="C129" s="1240"/>
      <c r="D129" s="894"/>
      <c r="E129" s="319"/>
      <c r="F129" s="319"/>
      <c r="G129" s="319"/>
      <c r="H129" s="319"/>
      <c r="I129" s="319"/>
      <c r="J129" s="319"/>
      <c r="K129" s="319"/>
      <c r="L129" s="319"/>
      <c r="M129" s="319"/>
      <c r="N129" s="319"/>
      <c r="O129" s="394"/>
      <c r="P129" s="395"/>
      <c r="Q129" s="71">
        <f t="shared" si="18"/>
        <v>0</v>
      </c>
      <c r="R129" s="86">
        <f t="shared" si="19"/>
        <v>0</v>
      </c>
    </row>
    <row r="130" spans="1:18" ht="13.5" customHeight="1" x14ac:dyDescent="0.25">
      <c r="A130" s="1215"/>
      <c r="B130" s="1259"/>
      <c r="C130" s="1241"/>
      <c r="D130" s="894"/>
      <c r="E130" s="319"/>
      <c r="F130" s="319"/>
      <c r="G130" s="319"/>
      <c r="H130" s="319"/>
      <c r="I130" s="319"/>
      <c r="J130" s="319"/>
      <c r="K130" s="319"/>
      <c r="L130" s="319"/>
      <c r="M130" s="319"/>
      <c r="N130" s="319"/>
      <c r="O130" s="394"/>
      <c r="P130" s="395"/>
      <c r="Q130" s="71">
        <f t="shared" si="18"/>
        <v>0</v>
      </c>
      <c r="R130" s="86">
        <f t="shared" si="19"/>
        <v>0</v>
      </c>
    </row>
    <row r="131" spans="1:18" ht="13.5" customHeight="1" x14ac:dyDescent="0.25">
      <c r="A131" s="1229"/>
      <c r="B131" s="1230"/>
      <c r="C131" s="1231"/>
      <c r="D131" s="894"/>
      <c r="E131" s="319">
        <f>SUM(E127:E130)</f>
        <v>11.85</v>
      </c>
      <c r="F131" s="319">
        <f t="shared" ref="F131:N131" si="32">SUM(F127:F130)</f>
        <v>0</v>
      </c>
      <c r="G131" s="319">
        <f t="shared" si="32"/>
        <v>0</v>
      </c>
      <c r="H131" s="319">
        <f t="shared" si="32"/>
        <v>0</v>
      </c>
      <c r="I131" s="319">
        <f t="shared" si="32"/>
        <v>0</v>
      </c>
      <c r="J131" s="319">
        <f t="shared" si="32"/>
        <v>0.94790799999999997</v>
      </c>
      <c r="K131" s="319">
        <f t="shared" si="32"/>
        <v>0</v>
      </c>
      <c r="L131" s="319">
        <f t="shared" si="32"/>
        <v>10.902092</v>
      </c>
      <c r="M131" s="1118">
        <f>SUM(M127:M130)</f>
        <v>10.901999999999999</v>
      </c>
      <c r="N131" s="319">
        <f t="shared" si="32"/>
        <v>9.1999999999647919E-5</v>
      </c>
      <c r="O131" s="394"/>
      <c r="P131" s="395"/>
      <c r="Q131" s="71">
        <f t="shared" si="18"/>
        <v>10.902092</v>
      </c>
      <c r="R131" s="86">
        <f t="shared" si="19"/>
        <v>0</v>
      </c>
    </row>
    <row r="132" spans="1:18" ht="13.5" customHeight="1" x14ac:dyDescent="0.25">
      <c r="A132" s="895"/>
      <c r="B132" s="896"/>
      <c r="C132" s="897"/>
      <c r="D132" s="894"/>
      <c r="E132" s="319"/>
      <c r="F132" s="319"/>
      <c r="G132" s="319"/>
      <c r="H132" s="319"/>
      <c r="I132" s="319"/>
      <c r="J132" s="319"/>
      <c r="K132" s="319"/>
      <c r="L132" s="319"/>
      <c r="M132" s="319"/>
      <c r="N132" s="319"/>
      <c r="O132" s="394"/>
      <c r="P132" s="395"/>
      <c r="Q132" s="71">
        <f t="shared" si="18"/>
        <v>0</v>
      </c>
      <c r="R132" s="86">
        <f t="shared" si="19"/>
        <v>0</v>
      </c>
    </row>
    <row r="133" spans="1:18" ht="13.5" customHeight="1" x14ac:dyDescent="0.25">
      <c r="A133" s="1215">
        <v>21</v>
      </c>
      <c r="B133" s="1259" t="s">
        <v>697</v>
      </c>
      <c r="C133" s="1239" t="s">
        <v>796</v>
      </c>
      <c r="D133" s="894">
        <v>1</v>
      </c>
      <c r="E133" s="910">
        <v>14.276</v>
      </c>
      <c r="F133" s="910">
        <v>0.71379999999999999</v>
      </c>
      <c r="G133" s="910"/>
      <c r="H133" s="910"/>
      <c r="I133" s="910"/>
      <c r="J133" s="910">
        <v>1.0840000000000001</v>
      </c>
      <c r="K133" s="910"/>
      <c r="L133" s="910">
        <f>E133-F133-G133-H133-I133-J133</f>
        <v>12.478200000000001</v>
      </c>
      <c r="M133" s="910">
        <v>12.478</v>
      </c>
      <c r="N133" s="316">
        <f>L133-M133</f>
        <v>2.0000000000131024E-4</v>
      </c>
      <c r="O133" s="395" t="s">
        <v>797</v>
      </c>
      <c r="P133" s="394" t="s">
        <v>798</v>
      </c>
      <c r="Q133" s="71">
        <f t="shared" si="18"/>
        <v>12.478200000000001</v>
      </c>
      <c r="R133" s="86">
        <f t="shared" si="19"/>
        <v>0</v>
      </c>
    </row>
    <row r="134" spans="1:18" ht="13.5" customHeight="1" x14ac:dyDescent="0.25">
      <c r="A134" s="1215"/>
      <c r="B134" s="1259"/>
      <c r="C134" s="1240"/>
      <c r="D134" s="894"/>
      <c r="E134" s="319"/>
      <c r="F134" s="316"/>
      <c r="G134" s="316"/>
      <c r="H134" s="316"/>
      <c r="I134" s="316"/>
      <c r="J134" s="316"/>
      <c r="K134" s="316"/>
      <c r="L134" s="316"/>
      <c r="M134" s="316"/>
      <c r="N134" s="316"/>
      <c r="O134" s="394"/>
      <c r="P134" s="395"/>
      <c r="Q134" s="71">
        <f t="shared" si="18"/>
        <v>0</v>
      </c>
      <c r="R134" s="86">
        <f t="shared" si="19"/>
        <v>0</v>
      </c>
    </row>
    <row r="135" spans="1:18" ht="13.5" customHeight="1" x14ac:dyDescent="0.25">
      <c r="A135" s="1215"/>
      <c r="B135" s="1259"/>
      <c r="C135" s="1240"/>
      <c r="D135" s="894"/>
      <c r="E135" s="319"/>
      <c r="F135" s="319"/>
      <c r="G135" s="319"/>
      <c r="H135" s="319"/>
      <c r="I135" s="319"/>
      <c r="J135" s="319"/>
      <c r="K135" s="319"/>
      <c r="L135" s="319"/>
      <c r="M135" s="319"/>
      <c r="N135" s="319"/>
      <c r="O135" s="394"/>
      <c r="P135" s="395"/>
      <c r="Q135" s="71">
        <f t="shared" si="18"/>
        <v>0</v>
      </c>
      <c r="R135" s="86">
        <f t="shared" si="19"/>
        <v>0</v>
      </c>
    </row>
    <row r="136" spans="1:18" ht="13.5" customHeight="1" x14ac:dyDescent="0.25">
      <c r="A136" s="1215"/>
      <c r="B136" s="1259"/>
      <c r="C136" s="1241"/>
      <c r="D136" s="894"/>
      <c r="E136" s="319"/>
      <c r="F136" s="319"/>
      <c r="G136" s="319"/>
      <c r="H136" s="319"/>
      <c r="I136" s="319"/>
      <c r="J136" s="319"/>
      <c r="K136" s="319"/>
      <c r="L136" s="319"/>
      <c r="M136" s="319"/>
      <c r="N136" s="319"/>
      <c r="O136" s="394"/>
      <c r="P136" s="395"/>
      <c r="Q136" s="71">
        <f t="shared" si="18"/>
        <v>0</v>
      </c>
      <c r="R136" s="86">
        <f t="shared" si="19"/>
        <v>0</v>
      </c>
    </row>
    <row r="137" spans="1:18" ht="13.5" customHeight="1" x14ac:dyDescent="0.25">
      <c r="A137" s="1229"/>
      <c r="B137" s="1230"/>
      <c r="C137" s="1231"/>
      <c r="D137" s="894"/>
      <c r="E137" s="319">
        <f>SUM(E133:E136)</f>
        <v>14.276</v>
      </c>
      <c r="F137" s="319">
        <f t="shared" ref="F137:N137" si="33">SUM(F133:F136)</f>
        <v>0.71379999999999999</v>
      </c>
      <c r="G137" s="319">
        <f t="shared" si="33"/>
        <v>0</v>
      </c>
      <c r="H137" s="319">
        <f t="shared" si="33"/>
        <v>0</v>
      </c>
      <c r="I137" s="319">
        <f t="shared" si="33"/>
        <v>0</v>
      </c>
      <c r="J137" s="319">
        <f t="shared" si="33"/>
        <v>1.0840000000000001</v>
      </c>
      <c r="K137" s="319">
        <f t="shared" si="33"/>
        <v>0</v>
      </c>
      <c r="L137" s="319">
        <f t="shared" si="33"/>
        <v>12.478200000000001</v>
      </c>
      <c r="M137" s="1118">
        <f>SUM(M133:M136)</f>
        <v>12.478</v>
      </c>
      <c r="N137" s="319">
        <f t="shared" si="33"/>
        <v>2.0000000000131024E-4</v>
      </c>
      <c r="O137" s="394"/>
      <c r="P137" s="395"/>
      <c r="Q137" s="71">
        <f t="shared" si="18"/>
        <v>12.478200000000001</v>
      </c>
      <c r="R137" s="86">
        <f t="shared" si="19"/>
        <v>0</v>
      </c>
    </row>
    <row r="138" spans="1:18" ht="13.5" customHeight="1" x14ac:dyDescent="0.25">
      <c r="A138" s="1215">
        <v>22</v>
      </c>
      <c r="B138" s="1259" t="s">
        <v>697</v>
      </c>
      <c r="C138" s="1239" t="s">
        <v>799</v>
      </c>
      <c r="D138" s="894">
        <v>1</v>
      </c>
      <c r="E138" s="910">
        <v>11.02</v>
      </c>
      <c r="F138" s="910">
        <v>0.55100000000000005</v>
      </c>
      <c r="G138" s="910"/>
      <c r="H138" s="910"/>
      <c r="I138" s="910"/>
      <c r="J138" s="910">
        <v>0.83754499999999998</v>
      </c>
      <c r="K138" s="910"/>
      <c r="L138" s="910">
        <f>E138-F138-G138-H138-I138-J138</f>
        <v>9.631454999999999</v>
      </c>
      <c r="M138" s="910">
        <v>9.6310000000000002</v>
      </c>
      <c r="N138" s="316">
        <f>L138-M138</f>
        <v>4.5499999999876195E-4</v>
      </c>
      <c r="O138" s="395" t="s">
        <v>800</v>
      </c>
      <c r="P138" s="394" t="s">
        <v>801</v>
      </c>
      <c r="Q138" s="71">
        <f t="shared" si="18"/>
        <v>9.631454999999999</v>
      </c>
      <c r="R138" s="86">
        <f t="shared" si="19"/>
        <v>0</v>
      </c>
    </row>
    <row r="139" spans="1:18" ht="13.5" customHeight="1" x14ac:dyDescent="0.25">
      <c r="A139" s="1215"/>
      <c r="B139" s="1259"/>
      <c r="C139" s="1240"/>
      <c r="D139" s="894"/>
      <c r="E139" s="319"/>
      <c r="F139" s="316"/>
      <c r="G139" s="316"/>
      <c r="H139" s="316"/>
      <c r="I139" s="316"/>
      <c r="J139" s="316"/>
      <c r="K139" s="316"/>
      <c r="L139" s="316"/>
      <c r="M139" s="316"/>
      <c r="N139" s="316"/>
      <c r="O139" s="394"/>
      <c r="P139" s="395"/>
      <c r="Q139" s="71">
        <f t="shared" si="18"/>
        <v>0</v>
      </c>
      <c r="R139" s="86">
        <f t="shared" si="19"/>
        <v>0</v>
      </c>
    </row>
    <row r="140" spans="1:18" ht="13.5" customHeight="1" x14ac:dyDescent="0.25">
      <c r="A140" s="1215"/>
      <c r="B140" s="1259"/>
      <c r="C140" s="1240"/>
      <c r="D140" s="894"/>
      <c r="E140" s="319"/>
      <c r="F140" s="319"/>
      <c r="G140" s="319"/>
      <c r="H140" s="319"/>
      <c r="I140" s="319"/>
      <c r="J140" s="319"/>
      <c r="K140" s="319"/>
      <c r="L140" s="319"/>
      <c r="M140" s="319"/>
      <c r="N140" s="319"/>
      <c r="O140" s="394"/>
      <c r="P140" s="395"/>
      <c r="Q140" s="71">
        <f t="shared" si="18"/>
        <v>0</v>
      </c>
      <c r="R140" s="86">
        <f t="shared" si="19"/>
        <v>0</v>
      </c>
    </row>
    <row r="141" spans="1:18" ht="13.5" customHeight="1" x14ac:dyDescent="0.25">
      <c r="A141" s="1215"/>
      <c r="B141" s="1259"/>
      <c r="C141" s="1241"/>
      <c r="D141" s="894"/>
      <c r="E141" s="319"/>
      <c r="F141" s="319"/>
      <c r="G141" s="319"/>
      <c r="H141" s="319"/>
      <c r="I141" s="319"/>
      <c r="J141" s="319"/>
      <c r="K141" s="319"/>
      <c r="L141" s="319"/>
      <c r="M141" s="319"/>
      <c r="N141" s="319"/>
      <c r="O141" s="394"/>
      <c r="P141" s="395"/>
      <c r="Q141" s="71">
        <f t="shared" si="18"/>
        <v>0</v>
      </c>
      <c r="R141" s="86">
        <f t="shared" si="19"/>
        <v>0</v>
      </c>
    </row>
    <row r="142" spans="1:18" ht="13.5" customHeight="1" x14ac:dyDescent="0.25">
      <c r="A142" s="1229"/>
      <c r="B142" s="1230"/>
      <c r="C142" s="1231"/>
      <c r="D142" s="894"/>
      <c r="E142" s="319">
        <f>SUM(E138:E141)</f>
        <v>11.02</v>
      </c>
      <c r="F142" s="319">
        <f t="shared" ref="F142:L142" si="34">SUM(F138:F141)</f>
        <v>0.55100000000000005</v>
      </c>
      <c r="G142" s="319">
        <f t="shared" si="34"/>
        <v>0</v>
      </c>
      <c r="H142" s="319">
        <f t="shared" si="34"/>
        <v>0</v>
      </c>
      <c r="I142" s="319">
        <f t="shared" si="34"/>
        <v>0</v>
      </c>
      <c r="J142" s="319">
        <f t="shared" si="34"/>
        <v>0.83754499999999998</v>
      </c>
      <c r="K142" s="319">
        <f t="shared" si="34"/>
        <v>0</v>
      </c>
      <c r="L142" s="319">
        <f t="shared" si="34"/>
        <v>9.631454999999999</v>
      </c>
      <c r="M142" s="1118">
        <f>SUM(M138:M141)</f>
        <v>9.6310000000000002</v>
      </c>
      <c r="N142" s="319">
        <f>SUM(N138:N141)</f>
        <v>4.5499999999876195E-4</v>
      </c>
      <c r="O142" s="394"/>
      <c r="P142" s="395"/>
      <c r="Q142" s="71">
        <f t="shared" si="18"/>
        <v>9.631454999999999</v>
      </c>
      <c r="R142" s="86">
        <f t="shared" si="19"/>
        <v>0</v>
      </c>
    </row>
    <row r="143" spans="1:18" ht="13.5" customHeight="1" x14ac:dyDescent="0.25">
      <c r="A143" s="1215">
        <v>23</v>
      </c>
      <c r="B143" s="1242" t="s">
        <v>655</v>
      </c>
      <c r="C143" s="1239" t="s">
        <v>803</v>
      </c>
      <c r="D143" s="904">
        <v>1</v>
      </c>
      <c r="E143" s="910">
        <v>1.047283</v>
      </c>
      <c r="F143" s="910">
        <v>5.2364000000000001E-2</v>
      </c>
      <c r="G143" s="910">
        <v>0.193083</v>
      </c>
      <c r="H143" s="910"/>
      <c r="I143" s="910"/>
      <c r="J143" s="910">
        <v>6.4146999999999996E-2</v>
      </c>
      <c r="K143" s="910"/>
      <c r="L143" s="910">
        <f>E143-F143-G143-H143-I143-J143</f>
        <v>0.73768900000000004</v>
      </c>
      <c r="M143" s="910">
        <v>0.73799999999999999</v>
      </c>
      <c r="N143" s="316">
        <f>L143-M143</f>
        <v>-3.1099999999995021E-4</v>
      </c>
      <c r="O143" s="394">
        <v>182181</v>
      </c>
      <c r="P143" s="395">
        <v>45566</v>
      </c>
      <c r="Q143" s="71">
        <f t="shared" ref="Q143:Q192" si="35">E143-F143-G143-H143-I143-J143-K143</f>
        <v>0.73768900000000004</v>
      </c>
      <c r="R143" s="86">
        <f t="shared" ref="R143:R192" si="36">Q143-L143</f>
        <v>0</v>
      </c>
    </row>
    <row r="144" spans="1:18" ht="13.5" customHeight="1" x14ac:dyDescent="0.25">
      <c r="A144" s="1215"/>
      <c r="B144" s="1243"/>
      <c r="C144" s="1240"/>
      <c r="D144" s="904">
        <v>2</v>
      </c>
      <c r="E144" s="910">
        <v>2.0940910000000001</v>
      </c>
      <c r="F144" s="910">
        <v>0.10470500000000001</v>
      </c>
      <c r="G144" s="910"/>
      <c r="H144" s="910"/>
      <c r="I144" s="910"/>
      <c r="J144" s="910">
        <v>0.15915099999999999</v>
      </c>
      <c r="K144" s="910"/>
      <c r="L144" s="910">
        <f>E144-F144-G144-H144-I144-J144</f>
        <v>1.8302350000000001</v>
      </c>
      <c r="M144" s="910">
        <v>1.83</v>
      </c>
      <c r="N144" s="316">
        <f>L144-M144</f>
        <v>2.3499999999998522E-4</v>
      </c>
      <c r="O144" s="394">
        <v>193021</v>
      </c>
      <c r="P144" s="395">
        <v>45685</v>
      </c>
      <c r="Q144" s="71">
        <f t="shared" si="35"/>
        <v>1.8302350000000001</v>
      </c>
      <c r="R144" s="86">
        <f t="shared" si="36"/>
        <v>0</v>
      </c>
    </row>
    <row r="145" spans="1:18" ht="13.5" customHeight="1" x14ac:dyDescent="0.25">
      <c r="A145" s="1215"/>
      <c r="B145" s="1243"/>
      <c r="C145" s="1240"/>
      <c r="D145" s="904"/>
      <c r="E145" s="319"/>
      <c r="F145" s="319"/>
      <c r="G145" s="319"/>
      <c r="H145" s="319"/>
      <c r="I145" s="319"/>
      <c r="J145" s="319"/>
      <c r="K145" s="319"/>
      <c r="L145" s="319"/>
      <c r="M145" s="319"/>
      <c r="N145" s="319"/>
      <c r="O145" s="394"/>
      <c r="P145" s="395"/>
      <c r="Q145" s="71">
        <f t="shared" si="35"/>
        <v>0</v>
      </c>
      <c r="R145" s="86">
        <f t="shared" si="36"/>
        <v>0</v>
      </c>
    </row>
    <row r="146" spans="1:18" ht="13.5" customHeight="1" x14ac:dyDescent="0.25">
      <c r="A146" s="1215"/>
      <c r="B146" s="1244"/>
      <c r="C146" s="1241"/>
      <c r="D146" s="904"/>
      <c r="E146" s="319"/>
      <c r="F146" s="319"/>
      <c r="G146" s="319"/>
      <c r="H146" s="319"/>
      <c r="I146" s="319"/>
      <c r="J146" s="319"/>
      <c r="K146" s="319"/>
      <c r="L146" s="319"/>
      <c r="M146" s="319"/>
      <c r="N146" s="319"/>
      <c r="O146" s="394"/>
      <c r="P146" s="395"/>
      <c r="Q146" s="71">
        <f t="shared" si="35"/>
        <v>0</v>
      </c>
      <c r="R146" s="86">
        <f t="shared" si="36"/>
        <v>0</v>
      </c>
    </row>
    <row r="147" spans="1:18" ht="13.5" customHeight="1" x14ac:dyDescent="0.25">
      <c r="A147" s="1229"/>
      <c r="B147" s="1230"/>
      <c r="C147" s="1231"/>
      <c r="D147" s="904"/>
      <c r="E147" s="319">
        <f>SUM(E143:E146)</f>
        <v>3.1413739999999999</v>
      </c>
      <c r="F147" s="319">
        <f t="shared" ref="F147:L147" si="37">SUM(F143:F146)</f>
        <v>0.15706900000000001</v>
      </c>
      <c r="G147" s="319">
        <f t="shared" si="37"/>
        <v>0.193083</v>
      </c>
      <c r="H147" s="319">
        <f t="shared" si="37"/>
        <v>0</v>
      </c>
      <c r="I147" s="319">
        <f t="shared" si="37"/>
        <v>0</v>
      </c>
      <c r="J147" s="319">
        <f t="shared" si="37"/>
        <v>0.223298</v>
      </c>
      <c r="K147" s="319">
        <f t="shared" si="37"/>
        <v>0</v>
      </c>
      <c r="L147" s="319">
        <f t="shared" si="37"/>
        <v>2.5679240000000001</v>
      </c>
      <c r="M147" s="1118">
        <f>SUM(M143:M146)</f>
        <v>2.5680000000000001</v>
      </c>
      <c r="N147" s="319">
        <f>SUM(N143:N146)</f>
        <v>-7.5999999999964984E-5</v>
      </c>
      <c r="O147" s="394"/>
      <c r="P147" s="395"/>
      <c r="Q147" s="71">
        <f t="shared" si="35"/>
        <v>2.5679239999999997</v>
      </c>
      <c r="R147" s="86">
        <f t="shared" si="36"/>
        <v>0</v>
      </c>
    </row>
    <row r="148" spans="1:18" ht="13.5" customHeight="1" x14ac:dyDescent="0.25">
      <c r="A148" s="1229">
        <v>24</v>
      </c>
      <c r="B148" s="1232" t="s">
        <v>804</v>
      </c>
      <c r="C148" s="1233" t="s">
        <v>805</v>
      </c>
      <c r="D148" s="904">
        <v>1</v>
      </c>
      <c r="E148" s="910">
        <v>2.3562080000000001</v>
      </c>
      <c r="F148" s="910">
        <v>0.11781</v>
      </c>
      <c r="G148" s="910"/>
      <c r="H148" s="910"/>
      <c r="I148" s="910"/>
      <c r="J148" s="910">
        <v>0.17907200000000001</v>
      </c>
      <c r="K148" s="910"/>
      <c r="L148" s="910">
        <f t="shared" ref="L148:L153" si="38">E148-F148-G148-H148-I148-J148</f>
        <v>2.059326</v>
      </c>
      <c r="M148" s="910">
        <v>2.0590000000000002</v>
      </c>
      <c r="N148" s="316">
        <f>L148-M148</f>
        <v>3.2599999999982643E-4</v>
      </c>
      <c r="O148" s="394">
        <v>182184</v>
      </c>
      <c r="P148" s="395">
        <v>45566</v>
      </c>
      <c r="Q148" s="71">
        <f t="shared" si="35"/>
        <v>2.059326</v>
      </c>
      <c r="R148" s="86">
        <f t="shared" si="36"/>
        <v>0</v>
      </c>
    </row>
    <row r="149" spans="1:18" ht="13.5" customHeight="1" x14ac:dyDescent="0.25">
      <c r="A149" s="1229"/>
      <c r="B149" s="1232"/>
      <c r="C149" s="1234"/>
      <c r="D149" s="904">
        <v>2</v>
      </c>
      <c r="E149" s="910">
        <v>0.686782</v>
      </c>
      <c r="F149" s="910">
        <v>3.4339000000000001E-2</v>
      </c>
      <c r="G149" s="910"/>
      <c r="H149" s="910"/>
      <c r="I149" s="910"/>
      <c r="J149" s="910">
        <v>5.2194999999999998E-2</v>
      </c>
      <c r="K149" s="910"/>
      <c r="L149" s="910">
        <f t="shared" si="38"/>
        <v>0.600248</v>
      </c>
      <c r="M149" s="910">
        <v>0.6</v>
      </c>
      <c r="N149" s="316">
        <f>L149-M149</f>
        <v>2.4800000000002598E-4</v>
      </c>
      <c r="O149" s="394">
        <v>184236</v>
      </c>
      <c r="P149" s="395">
        <v>45652</v>
      </c>
      <c r="Q149" s="71">
        <f t="shared" si="35"/>
        <v>0.600248</v>
      </c>
      <c r="R149" s="86">
        <f t="shared" si="36"/>
        <v>0</v>
      </c>
    </row>
    <row r="150" spans="1:18" ht="13.5" customHeight="1" x14ac:dyDescent="0.25">
      <c r="A150" s="1229"/>
      <c r="B150" s="1232"/>
      <c r="C150" s="1234"/>
      <c r="D150" s="904">
        <v>3</v>
      </c>
      <c r="E150" s="910">
        <v>0.51323099999999999</v>
      </c>
      <c r="F150" s="910">
        <v>2.5659999999999999E-2</v>
      </c>
      <c r="G150" s="910"/>
      <c r="H150" s="910"/>
      <c r="I150" s="910"/>
      <c r="J150" s="910">
        <v>3.9005999999999999E-2</v>
      </c>
      <c r="K150" s="910"/>
      <c r="L150" s="910">
        <f t="shared" si="38"/>
        <v>0.44856499999999999</v>
      </c>
      <c r="M150" s="910">
        <v>0.44900000000000001</v>
      </c>
      <c r="N150" s="316">
        <f>L150-M150</f>
        <v>-4.3500000000001871E-4</v>
      </c>
      <c r="O150" s="394">
        <v>184102</v>
      </c>
      <c r="P150" s="395">
        <v>45642</v>
      </c>
      <c r="Q150" s="71">
        <f t="shared" si="35"/>
        <v>0.44856499999999999</v>
      </c>
      <c r="R150" s="86">
        <f t="shared" si="36"/>
        <v>0</v>
      </c>
    </row>
    <row r="151" spans="1:18" ht="13.5" customHeight="1" x14ac:dyDescent="0.25">
      <c r="A151" s="1229"/>
      <c r="B151" s="1232"/>
      <c r="C151" s="1234"/>
      <c r="D151" s="904">
        <v>4</v>
      </c>
      <c r="E151" s="910">
        <v>1.9886779999999999</v>
      </c>
      <c r="F151" s="910">
        <v>9.9433999999999995E-2</v>
      </c>
      <c r="G151" s="910">
        <v>1.22387</v>
      </c>
      <c r="H151" s="910"/>
      <c r="I151" s="910"/>
      <c r="J151" s="910">
        <v>5.3199999999999997E-2</v>
      </c>
      <c r="K151" s="910"/>
      <c r="L151" s="910">
        <f t="shared" si="38"/>
        <v>0.61217399999999988</v>
      </c>
      <c r="M151" s="910">
        <v>0.61209999999999998</v>
      </c>
      <c r="N151" s="316">
        <f>L151-M151</f>
        <v>7.3999999999907473E-5</v>
      </c>
      <c r="O151" s="394">
        <v>188022</v>
      </c>
      <c r="P151" s="395">
        <v>45664</v>
      </c>
      <c r="Q151" s="71">
        <f t="shared" si="35"/>
        <v>0.61217399999999988</v>
      </c>
      <c r="R151" s="86">
        <f t="shared" si="36"/>
        <v>0</v>
      </c>
    </row>
    <row r="152" spans="1:18" ht="13.5" customHeight="1" x14ac:dyDescent="0.25">
      <c r="A152" s="905"/>
      <c r="B152" s="1232"/>
      <c r="C152" s="1235"/>
      <c r="D152" s="904">
        <v>5</v>
      </c>
      <c r="E152" s="910">
        <v>5.3897969999999997</v>
      </c>
      <c r="F152" s="910">
        <v>0.26949000000000001</v>
      </c>
      <c r="G152" s="910">
        <v>4.3710849999999999</v>
      </c>
      <c r="H152" s="910"/>
      <c r="I152" s="910"/>
      <c r="J152" s="910">
        <v>5.9937999999999998E-2</v>
      </c>
      <c r="K152" s="910"/>
      <c r="L152" s="910">
        <f t="shared" si="38"/>
        <v>0.68928399999999956</v>
      </c>
      <c r="M152" s="910">
        <v>0.68910000000000005</v>
      </c>
      <c r="N152" s="316">
        <f>L152-M152</f>
        <v>1.8399999999951788E-4</v>
      </c>
      <c r="O152" s="394">
        <v>193938</v>
      </c>
      <c r="P152" s="395">
        <v>45714</v>
      </c>
      <c r="Q152" s="71">
        <f t="shared" si="35"/>
        <v>0.68928399999999956</v>
      </c>
      <c r="R152" s="86">
        <f t="shared" si="36"/>
        <v>0</v>
      </c>
    </row>
    <row r="153" spans="1:18" ht="13.5" customHeight="1" x14ac:dyDescent="0.25">
      <c r="A153" s="1075"/>
      <c r="B153" s="1056"/>
      <c r="C153" s="1077"/>
      <c r="D153" s="1074" t="s">
        <v>660</v>
      </c>
      <c r="E153" s="910">
        <v>0</v>
      </c>
      <c r="F153" s="910">
        <v>-0.54700000000000004</v>
      </c>
      <c r="G153" s="910"/>
      <c r="H153" s="910"/>
      <c r="I153" s="910"/>
      <c r="J153" s="910">
        <v>4.3999999999999997E-2</v>
      </c>
      <c r="K153" s="910"/>
      <c r="L153" s="910">
        <f t="shared" si="38"/>
        <v>0.503</v>
      </c>
      <c r="M153" s="910">
        <f>L153</f>
        <v>0.503</v>
      </c>
      <c r="N153" s="316"/>
      <c r="O153" s="394"/>
      <c r="P153" s="395"/>
      <c r="Q153" s="71"/>
      <c r="R153" s="86"/>
    </row>
    <row r="154" spans="1:18" ht="13.5" customHeight="1" x14ac:dyDescent="0.25">
      <c r="A154" s="1229"/>
      <c r="B154" s="1230"/>
      <c r="C154" s="1231"/>
      <c r="D154" s="904"/>
      <c r="E154" s="319">
        <f>SUM(E148:E153)</f>
        <v>10.934695999999999</v>
      </c>
      <c r="F154" s="319">
        <f>SUM(F148:F153)</f>
        <v>-2.6700000000001722E-4</v>
      </c>
      <c r="G154" s="319">
        <f>SUM(G148:G153)</f>
        <v>5.5949549999999997</v>
      </c>
      <c r="H154" s="319">
        <f t="shared" ref="H154:N154" si="39">SUM(H148:H153)</f>
        <v>0</v>
      </c>
      <c r="I154" s="319">
        <f t="shared" si="39"/>
        <v>0</v>
      </c>
      <c r="J154" s="319">
        <f t="shared" si="39"/>
        <v>0.42741099999999999</v>
      </c>
      <c r="K154" s="319">
        <f t="shared" si="39"/>
        <v>0</v>
      </c>
      <c r="L154" s="319">
        <f t="shared" si="39"/>
        <v>4.9125969999999999</v>
      </c>
      <c r="M154" s="1118">
        <f t="shared" si="39"/>
        <v>4.9122000000000003</v>
      </c>
      <c r="N154" s="319">
        <f t="shared" si="39"/>
        <v>3.9699999999925906E-4</v>
      </c>
      <c r="O154" s="394"/>
      <c r="P154" s="395"/>
      <c r="Q154" s="71">
        <f t="shared" si="35"/>
        <v>4.9125969999999999</v>
      </c>
      <c r="R154" s="86">
        <f t="shared" si="36"/>
        <v>0</v>
      </c>
    </row>
    <row r="155" spans="1:18" ht="13.5" customHeight="1" x14ac:dyDescent="0.25">
      <c r="A155" s="1229">
        <v>25</v>
      </c>
      <c r="B155" s="1232" t="s">
        <v>804</v>
      </c>
      <c r="C155" s="1233" t="s">
        <v>806</v>
      </c>
      <c r="D155" s="904">
        <v>1</v>
      </c>
      <c r="E155" s="910">
        <v>1.4690529999999999</v>
      </c>
      <c r="F155" s="910">
        <v>7.3453000000000004E-2</v>
      </c>
      <c r="G155" s="910"/>
      <c r="H155" s="910"/>
      <c r="I155" s="910"/>
      <c r="J155" s="910">
        <v>0.111648</v>
      </c>
      <c r="K155" s="910"/>
      <c r="L155" s="910">
        <f t="shared" ref="L155:L160" si="40">E155-F155-G155-H155-I155-J155</f>
        <v>1.283952</v>
      </c>
      <c r="M155" s="910">
        <v>1.284</v>
      </c>
      <c r="N155" s="316">
        <f t="shared" ref="N155:N160" si="41">L155-M155</f>
        <v>-4.8000000000048004E-5</v>
      </c>
      <c r="O155" s="394">
        <v>182191</v>
      </c>
      <c r="P155" s="395">
        <v>45566</v>
      </c>
      <c r="Q155" s="71">
        <f t="shared" si="35"/>
        <v>1.283952</v>
      </c>
      <c r="R155" s="86">
        <f t="shared" si="36"/>
        <v>0</v>
      </c>
    </row>
    <row r="156" spans="1:18" ht="13.5" customHeight="1" x14ac:dyDescent="0.25">
      <c r="A156" s="1229"/>
      <c r="B156" s="1232"/>
      <c r="C156" s="1234"/>
      <c r="D156" s="904">
        <v>2</v>
      </c>
      <c r="E156" s="910">
        <v>0.76833399999999996</v>
      </c>
      <c r="F156" s="910">
        <v>3.8417E-2</v>
      </c>
      <c r="G156" s="910"/>
      <c r="H156" s="910"/>
      <c r="I156" s="910"/>
      <c r="J156" s="910">
        <v>5.8393E-2</v>
      </c>
      <c r="K156" s="910"/>
      <c r="L156" s="910">
        <f t="shared" si="40"/>
        <v>0.6715239999999999</v>
      </c>
      <c r="M156" s="910">
        <v>0.67200000000000004</v>
      </c>
      <c r="N156" s="316">
        <f t="shared" si="41"/>
        <v>-4.7600000000014298E-4</v>
      </c>
      <c r="O156" s="394">
        <v>183088</v>
      </c>
      <c r="P156" s="395">
        <v>45603</v>
      </c>
      <c r="Q156" s="71">
        <f t="shared" si="35"/>
        <v>0.6715239999999999</v>
      </c>
      <c r="R156" s="86">
        <f t="shared" si="36"/>
        <v>0</v>
      </c>
    </row>
    <row r="157" spans="1:18" ht="13.5" customHeight="1" x14ac:dyDescent="0.25">
      <c r="A157" s="1229"/>
      <c r="B157" s="1232"/>
      <c r="C157" s="1234"/>
      <c r="D157" s="904">
        <v>3</v>
      </c>
      <c r="E157" s="910">
        <v>0.33342500000000003</v>
      </c>
      <c r="F157" s="910">
        <v>1.6670000000000001E-2</v>
      </c>
      <c r="G157" s="910"/>
      <c r="H157" s="910"/>
      <c r="I157" s="910"/>
      <c r="J157" s="910">
        <v>2.5340000000000001E-2</v>
      </c>
      <c r="K157" s="910"/>
      <c r="L157" s="910">
        <f t="shared" si="40"/>
        <v>0.29141499999999998</v>
      </c>
      <c r="M157" s="910">
        <v>0.29099999999999998</v>
      </c>
      <c r="N157" s="316">
        <f t="shared" si="41"/>
        <v>4.149999999999987E-4</v>
      </c>
      <c r="O157" s="394">
        <v>184240</v>
      </c>
      <c r="P157" s="395">
        <v>45652</v>
      </c>
      <c r="Q157" s="71">
        <f t="shared" si="35"/>
        <v>0.29141499999999998</v>
      </c>
      <c r="R157" s="86">
        <f t="shared" si="36"/>
        <v>0</v>
      </c>
    </row>
    <row r="158" spans="1:18" ht="13.5" customHeight="1" x14ac:dyDescent="0.25">
      <c r="A158" s="1229"/>
      <c r="B158" s="1232"/>
      <c r="C158" s="1234"/>
      <c r="D158" s="904">
        <v>4</v>
      </c>
      <c r="E158" s="910">
        <v>2.0530400000000002</v>
      </c>
      <c r="F158" s="910">
        <v>0.10265000000000001</v>
      </c>
      <c r="G158" s="910">
        <v>1.3622000000000001</v>
      </c>
      <c r="H158" s="910"/>
      <c r="I158" s="910"/>
      <c r="J158" s="910">
        <v>4.7056000000000001E-2</v>
      </c>
      <c r="K158" s="910"/>
      <c r="L158" s="910">
        <f t="shared" si="40"/>
        <v>0.54113400000000023</v>
      </c>
      <c r="M158" s="910">
        <v>0.54100000000000004</v>
      </c>
      <c r="N158" s="316">
        <f t="shared" si="41"/>
        <v>1.3400000000018952E-4</v>
      </c>
      <c r="O158" s="394">
        <v>188021</v>
      </c>
      <c r="P158" s="395">
        <v>45664</v>
      </c>
      <c r="Q158" s="71">
        <f t="shared" si="35"/>
        <v>0.54113400000000023</v>
      </c>
      <c r="R158" s="86">
        <f t="shared" si="36"/>
        <v>0</v>
      </c>
    </row>
    <row r="159" spans="1:18" ht="13.5" customHeight="1" x14ac:dyDescent="0.25">
      <c r="A159" s="905"/>
      <c r="B159" s="1232"/>
      <c r="C159" s="1235"/>
      <c r="D159" s="904">
        <v>5</v>
      </c>
      <c r="E159" s="910">
        <v>6.9668140000000003</v>
      </c>
      <c r="F159" s="910">
        <v>0.34834100000000001</v>
      </c>
      <c r="G159" s="910">
        <v>5.4716820000000004</v>
      </c>
      <c r="H159" s="910"/>
      <c r="I159" s="910"/>
      <c r="J159" s="910">
        <v>9.1743000000000005E-2</v>
      </c>
      <c r="K159" s="910"/>
      <c r="L159" s="910">
        <f t="shared" si="40"/>
        <v>1.0550479999999995</v>
      </c>
      <c r="M159" s="910">
        <v>1.0549999999999999</v>
      </c>
      <c r="N159" s="316">
        <f t="shared" si="41"/>
        <v>4.7999999999603915E-5</v>
      </c>
      <c r="O159" s="394">
        <v>194562</v>
      </c>
      <c r="P159" s="395">
        <v>45726</v>
      </c>
      <c r="Q159" s="71">
        <f t="shared" si="35"/>
        <v>1.0550479999999995</v>
      </c>
      <c r="R159" s="86">
        <f t="shared" si="36"/>
        <v>0</v>
      </c>
    </row>
    <row r="160" spans="1:18" ht="13.5" customHeight="1" x14ac:dyDescent="0.25">
      <c r="A160" s="1045"/>
      <c r="B160" s="1056"/>
      <c r="C160" s="1046"/>
      <c r="D160" s="1044">
        <v>6</v>
      </c>
      <c r="E160" s="910"/>
      <c r="F160" s="910">
        <v>-1.224</v>
      </c>
      <c r="G160" s="910"/>
      <c r="H160" s="910"/>
      <c r="I160" s="910"/>
      <c r="J160" s="910">
        <v>9.8000000000000004E-2</v>
      </c>
      <c r="K160" s="910"/>
      <c r="L160" s="910">
        <f t="shared" si="40"/>
        <v>1.1259999999999999</v>
      </c>
      <c r="M160" s="910">
        <v>1.1259999999999999</v>
      </c>
      <c r="N160" s="316">
        <f t="shared" si="41"/>
        <v>0</v>
      </c>
      <c r="O160" s="394">
        <v>198033</v>
      </c>
      <c r="P160" s="395">
        <v>45779</v>
      </c>
      <c r="Q160" s="71"/>
      <c r="R160" s="86"/>
    </row>
    <row r="161" spans="1:18" ht="13.5" customHeight="1" x14ac:dyDescent="0.25">
      <c r="A161" s="1229"/>
      <c r="B161" s="1230"/>
      <c r="C161" s="1231"/>
      <c r="D161" s="904"/>
      <c r="E161" s="319">
        <f>SUM(E155:E160)</f>
        <v>11.590666000000001</v>
      </c>
      <c r="F161" s="319">
        <f>SUM(F155:F160)</f>
        <v>-0.64446899999999996</v>
      </c>
      <c r="G161" s="319">
        <f>SUM(G155:G160)</f>
        <v>6.8338820000000009</v>
      </c>
      <c r="H161" s="319">
        <f t="shared" ref="H161:N161" si="42">SUM(H155:H160)</f>
        <v>0</v>
      </c>
      <c r="I161" s="319">
        <f t="shared" si="42"/>
        <v>0</v>
      </c>
      <c r="J161" s="319">
        <f t="shared" si="42"/>
        <v>0.43218000000000001</v>
      </c>
      <c r="K161" s="319">
        <f t="shared" si="42"/>
        <v>0</v>
      </c>
      <c r="L161" s="319">
        <f t="shared" si="42"/>
        <v>4.9690729999999999</v>
      </c>
      <c r="M161" s="1118">
        <f t="shared" si="42"/>
        <v>4.9689999999999994</v>
      </c>
      <c r="N161" s="319">
        <f t="shared" si="42"/>
        <v>7.2999999999601162E-5</v>
      </c>
      <c r="O161" s="394"/>
      <c r="P161" s="395"/>
      <c r="Q161" s="71">
        <f t="shared" si="35"/>
        <v>4.969072999999999</v>
      </c>
      <c r="R161" s="86">
        <f t="shared" si="36"/>
        <v>0</v>
      </c>
    </row>
    <row r="162" spans="1:18" ht="13.5" customHeight="1" x14ac:dyDescent="0.25">
      <c r="A162" s="1229">
        <v>26</v>
      </c>
      <c r="B162" s="1232" t="s">
        <v>804</v>
      </c>
      <c r="C162" s="1233" t="s">
        <v>807</v>
      </c>
      <c r="D162" s="904">
        <v>1</v>
      </c>
      <c r="E162" s="910">
        <v>1.8533820000000001</v>
      </c>
      <c r="F162" s="910">
        <v>9.2669000000000001E-2</v>
      </c>
      <c r="G162" s="910">
        <v>0.32578800000000002</v>
      </c>
      <c r="H162" s="910"/>
      <c r="I162" s="910"/>
      <c r="J162" s="910">
        <v>0.11479399999999999</v>
      </c>
      <c r="K162" s="910"/>
      <c r="L162" s="910">
        <f t="shared" ref="L162:L167" si="43">E162-F162-G162-H162-I162-J162</f>
        <v>1.3201309999999999</v>
      </c>
      <c r="M162" s="910">
        <v>1.32</v>
      </c>
      <c r="N162" s="316">
        <f t="shared" ref="N162:N167" si="44">L162-M162</f>
        <v>1.3099999999988121E-4</v>
      </c>
      <c r="O162" s="394">
        <v>182095</v>
      </c>
      <c r="P162" s="395">
        <v>45562</v>
      </c>
      <c r="Q162" s="71">
        <f t="shared" si="35"/>
        <v>1.3201309999999999</v>
      </c>
      <c r="R162" s="86">
        <f t="shared" si="36"/>
        <v>0</v>
      </c>
    </row>
    <row r="163" spans="1:18" ht="13.5" customHeight="1" x14ac:dyDescent="0.25">
      <c r="A163" s="1229"/>
      <c r="B163" s="1232"/>
      <c r="C163" s="1234"/>
      <c r="D163" s="904">
        <v>2</v>
      </c>
      <c r="E163" s="910">
        <v>0.50836899999999996</v>
      </c>
      <c r="F163" s="910">
        <v>2.5415E-2</v>
      </c>
      <c r="G163" s="910"/>
      <c r="H163" s="910"/>
      <c r="I163" s="910"/>
      <c r="J163" s="910">
        <v>3.8600000000000002E-2</v>
      </c>
      <c r="K163" s="910"/>
      <c r="L163" s="910">
        <f t="shared" si="43"/>
        <v>0.44435399999999992</v>
      </c>
      <c r="M163" s="910">
        <v>0.44400000000000001</v>
      </c>
      <c r="N163" s="316">
        <f t="shared" si="44"/>
        <v>3.5399999999990994E-4</v>
      </c>
      <c r="O163" s="394">
        <v>183087</v>
      </c>
      <c r="P163" s="395">
        <v>45603</v>
      </c>
      <c r="Q163" s="71">
        <f t="shared" si="35"/>
        <v>0.44435399999999992</v>
      </c>
      <c r="R163" s="86">
        <f t="shared" si="36"/>
        <v>0</v>
      </c>
    </row>
    <row r="164" spans="1:18" ht="13.5" customHeight="1" x14ac:dyDescent="0.25">
      <c r="A164" s="1229"/>
      <c r="B164" s="1232"/>
      <c r="C164" s="1234"/>
      <c r="D164" s="904">
        <v>3</v>
      </c>
      <c r="E164" s="910">
        <v>1.008526</v>
      </c>
      <c r="F164" s="910">
        <v>5.042E-2</v>
      </c>
      <c r="G164" s="910"/>
      <c r="H164" s="910"/>
      <c r="I164" s="910"/>
      <c r="J164" s="910">
        <v>7.6679999999999998E-2</v>
      </c>
      <c r="K164" s="910"/>
      <c r="L164" s="910">
        <f t="shared" si="43"/>
        <v>0.88142600000000004</v>
      </c>
      <c r="M164" s="910">
        <v>0.88100000000000001</v>
      </c>
      <c r="N164" s="316">
        <f t="shared" si="44"/>
        <v>4.2600000000003746E-4</v>
      </c>
      <c r="O164" s="394">
        <v>184149</v>
      </c>
      <c r="P164" s="395">
        <v>45642</v>
      </c>
      <c r="Q164" s="71">
        <f t="shared" si="35"/>
        <v>0.88142600000000004</v>
      </c>
      <c r="R164" s="86">
        <f t="shared" si="36"/>
        <v>0</v>
      </c>
    </row>
    <row r="165" spans="1:18" ht="13.5" customHeight="1" x14ac:dyDescent="0.25">
      <c r="A165" s="1229"/>
      <c r="B165" s="1232"/>
      <c r="C165" s="1234"/>
      <c r="D165" s="904">
        <v>4</v>
      </c>
      <c r="E165" s="910">
        <v>3.650182</v>
      </c>
      <c r="F165" s="910">
        <v>0.182509</v>
      </c>
      <c r="G165" s="910">
        <v>3.0620349999999998</v>
      </c>
      <c r="H165" s="910"/>
      <c r="I165" s="910"/>
      <c r="J165" s="910">
        <v>3.2414999999999999E-2</v>
      </c>
      <c r="K165" s="910"/>
      <c r="L165" s="910">
        <f t="shared" si="43"/>
        <v>0.37322300000000019</v>
      </c>
      <c r="M165" s="910">
        <v>0.373</v>
      </c>
      <c r="N165" s="316">
        <f t="shared" si="44"/>
        <v>2.2300000000019526E-4</v>
      </c>
      <c r="O165" s="394">
        <v>188020</v>
      </c>
      <c r="P165" s="395">
        <v>45664</v>
      </c>
      <c r="Q165" s="71">
        <f t="shared" si="35"/>
        <v>0.37322300000000019</v>
      </c>
      <c r="R165" s="86">
        <f t="shared" si="36"/>
        <v>0</v>
      </c>
    </row>
    <row r="166" spans="1:18" ht="13.5" customHeight="1" x14ac:dyDescent="0.25">
      <c r="A166" s="905"/>
      <c r="B166" s="1232"/>
      <c r="C166" s="1235"/>
      <c r="D166" s="904">
        <v>5</v>
      </c>
      <c r="E166" s="910">
        <v>7.9664159999999997</v>
      </c>
      <c r="F166" s="910">
        <v>0.39832000000000001</v>
      </c>
      <c r="G166" s="910">
        <v>7.3316299999999996</v>
      </c>
      <c r="H166" s="910"/>
      <c r="I166" s="910"/>
      <c r="J166" s="910">
        <v>1.8970000000000001E-2</v>
      </c>
      <c r="K166" s="910"/>
      <c r="L166" s="910">
        <f t="shared" si="43"/>
        <v>0.21749600000000008</v>
      </c>
      <c r="M166" s="910">
        <v>0.217</v>
      </c>
      <c r="N166" s="316">
        <f t="shared" si="44"/>
        <v>4.9600000000007971E-4</v>
      </c>
      <c r="O166" s="394">
        <v>193937</v>
      </c>
      <c r="P166" s="395">
        <v>45714</v>
      </c>
      <c r="Q166" s="71">
        <f t="shared" si="35"/>
        <v>0.21749600000000008</v>
      </c>
      <c r="R166" s="86">
        <f t="shared" si="36"/>
        <v>0</v>
      </c>
    </row>
    <row r="167" spans="1:18" ht="13.5" customHeight="1" x14ac:dyDescent="0.25">
      <c r="A167" s="1101"/>
      <c r="B167" s="1056"/>
      <c r="C167" s="1103"/>
      <c r="D167" s="1100"/>
      <c r="E167" s="910"/>
      <c r="F167" s="910">
        <v>-0.749</v>
      </c>
      <c r="G167" s="910"/>
      <c r="H167" s="910"/>
      <c r="I167" s="910"/>
      <c r="J167" s="910">
        <v>5.9900000000000002E-2</v>
      </c>
      <c r="K167" s="910"/>
      <c r="L167" s="910">
        <f t="shared" si="43"/>
        <v>0.68910000000000005</v>
      </c>
      <c r="M167" s="910">
        <v>0.68899999999999995</v>
      </c>
      <c r="N167" s="316">
        <f t="shared" si="44"/>
        <v>1.0000000000010001E-4</v>
      </c>
      <c r="O167" s="394">
        <v>200701</v>
      </c>
      <c r="P167" s="395">
        <v>45810</v>
      </c>
      <c r="Q167" s="71"/>
      <c r="R167" s="86"/>
    </row>
    <row r="168" spans="1:18" ht="13.5" customHeight="1" x14ac:dyDescent="0.25">
      <c r="A168" s="1229"/>
      <c r="B168" s="1230"/>
      <c r="C168" s="1231"/>
      <c r="D168" s="904"/>
      <c r="E168" s="319">
        <f>SUM(E162:E167)</f>
        <v>14.986875</v>
      </c>
      <c r="F168" s="319">
        <f>SUM(F162:F167)</f>
        <v>3.3300000000002772E-4</v>
      </c>
      <c r="G168" s="319">
        <f>SUM(G162:G167)</f>
        <v>10.719453</v>
      </c>
      <c r="H168" s="319">
        <f>SUM(H162:H165)</f>
        <v>0</v>
      </c>
      <c r="I168" s="319">
        <f>SUM(I162:I165)</f>
        <v>0</v>
      </c>
      <c r="J168" s="319">
        <f>SUM(J162:J167)</f>
        <v>0.34135899999999997</v>
      </c>
      <c r="K168" s="319">
        <f>SUM(K162:K165)</f>
        <v>0</v>
      </c>
      <c r="L168" s="319">
        <f>SUM(L162:L167)</f>
        <v>3.9257300000000006</v>
      </c>
      <c r="M168" s="1118">
        <f>SUM(M162:M167)</f>
        <v>3.9239999999999999</v>
      </c>
      <c r="N168" s="319">
        <f>SUM(N162:N165)</f>
        <v>1.1340000000000239E-3</v>
      </c>
      <c r="O168" s="394"/>
      <c r="P168" s="395"/>
      <c r="Q168" s="71">
        <f t="shared" si="35"/>
        <v>3.9257300000000006</v>
      </c>
      <c r="R168" s="86">
        <f t="shared" si="36"/>
        <v>0</v>
      </c>
    </row>
    <row r="169" spans="1:18" ht="13.5" customHeight="1" x14ac:dyDescent="0.25">
      <c r="A169" s="1229">
        <v>27</v>
      </c>
      <c r="B169" s="1232" t="s">
        <v>804</v>
      </c>
      <c r="C169" s="1233" t="s">
        <v>808</v>
      </c>
      <c r="D169" s="904">
        <v>1</v>
      </c>
      <c r="E169" s="910">
        <v>0.83901899999999996</v>
      </c>
      <c r="F169" s="910">
        <v>4.1951000000000002E-2</v>
      </c>
      <c r="G169" s="910">
        <v>0.74533000000000005</v>
      </c>
      <c r="H169" s="910"/>
      <c r="I169" s="910"/>
      <c r="J169" s="910">
        <v>4.1390000000000003E-3</v>
      </c>
      <c r="K169" s="910"/>
      <c r="L169" s="910">
        <f>E169-F169-G169-H169-I169-J169</f>
        <v>4.7598999999999947E-2</v>
      </c>
      <c r="M169" s="910">
        <v>4.8000000000000001E-2</v>
      </c>
      <c r="N169" s="316">
        <f>L169-M169</f>
        <v>-4.0100000000005409E-4</v>
      </c>
      <c r="O169" s="394">
        <v>183097</v>
      </c>
      <c r="P169" s="395">
        <v>45603</v>
      </c>
      <c r="Q169" s="71">
        <f t="shared" si="35"/>
        <v>4.7598999999999947E-2</v>
      </c>
      <c r="R169" s="86">
        <f t="shared" si="36"/>
        <v>0</v>
      </c>
    </row>
    <row r="170" spans="1:18" ht="13.5" customHeight="1" x14ac:dyDescent="0.25">
      <c r="A170" s="1229"/>
      <c r="B170" s="1232"/>
      <c r="C170" s="1234"/>
      <c r="D170" s="904">
        <v>2</v>
      </c>
      <c r="E170" s="910">
        <v>0.60560400000000003</v>
      </c>
      <c r="F170" s="910">
        <v>3.0280000000000001E-2</v>
      </c>
      <c r="G170" s="910"/>
      <c r="H170" s="910"/>
      <c r="I170" s="910"/>
      <c r="J170" s="910">
        <v>4.6025999999999997E-2</v>
      </c>
      <c r="K170" s="910"/>
      <c r="L170" s="910">
        <f>E170-F170-G170-H170-I170-J170</f>
        <v>0.52929800000000005</v>
      </c>
      <c r="M170" s="910">
        <v>0.52900000000000003</v>
      </c>
      <c r="N170" s="316">
        <f>L170-M170</f>
        <v>2.9800000000002047E-4</v>
      </c>
      <c r="O170" s="394">
        <v>188102</v>
      </c>
      <c r="P170" s="395">
        <v>45672</v>
      </c>
      <c r="Q170" s="71">
        <f t="shared" si="35"/>
        <v>0.52929800000000005</v>
      </c>
      <c r="R170" s="86">
        <f t="shared" si="36"/>
        <v>0</v>
      </c>
    </row>
    <row r="171" spans="1:18" ht="13.5" customHeight="1" x14ac:dyDescent="0.25">
      <c r="A171" s="1229"/>
      <c r="B171" s="1232"/>
      <c r="C171" s="1234"/>
      <c r="D171" s="904"/>
      <c r="E171" s="316"/>
      <c r="F171" s="316"/>
      <c r="G171" s="316"/>
      <c r="H171" s="316"/>
      <c r="I171" s="316"/>
      <c r="J171" s="316"/>
      <c r="K171" s="316"/>
      <c r="L171" s="316">
        <f>E171-F171-G171-H171-I171-J171</f>
        <v>0</v>
      </c>
      <c r="M171" s="316"/>
      <c r="N171" s="316">
        <f>L171-M171</f>
        <v>0</v>
      </c>
      <c r="O171" s="394"/>
      <c r="P171" s="395"/>
      <c r="Q171" s="71">
        <f t="shared" si="35"/>
        <v>0</v>
      </c>
      <c r="R171" s="86">
        <f t="shared" si="36"/>
        <v>0</v>
      </c>
    </row>
    <row r="172" spans="1:18" ht="13.5" customHeight="1" x14ac:dyDescent="0.25">
      <c r="A172" s="1229"/>
      <c r="B172" s="1232"/>
      <c r="C172" s="1234"/>
      <c r="D172" s="904"/>
      <c r="E172" s="316"/>
      <c r="F172" s="316"/>
      <c r="G172" s="316"/>
      <c r="H172" s="316"/>
      <c r="I172" s="316"/>
      <c r="J172" s="316"/>
      <c r="K172" s="316"/>
      <c r="L172" s="316">
        <f>E172-F172-G172-H172-I172-J172</f>
        <v>0</v>
      </c>
      <c r="M172" s="316"/>
      <c r="N172" s="316">
        <f>L172-M172</f>
        <v>0</v>
      </c>
      <c r="O172" s="394"/>
      <c r="P172" s="395"/>
      <c r="Q172" s="71">
        <f t="shared" si="35"/>
        <v>0</v>
      </c>
      <c r="R172" s="86">
        <f t="shared" si="36"/>
        <v>0</v>
      </c>
    </row>
    <row r="173" spans="1:18" ht="13.5" customHeight="1" x14ac:dyDescent="0.25">
      <c r="A173" s="905"/>
      <c r="B173" s="1232"/>
      <c r="C173" s="1235"/>
      <c r="D173" s="904"/>
      <c r="E173" s="316"/>
      <c r="F173" s="316"/>
      <c r="G173" s="316"/>
      <c r="H173" s="316"/>
      <c r="I173" s="316"/>
      <c r="J173" s="316"/>
      <c r="K173" s="316"/>
      <c r="L173" s="316">
        <f>E173-F173-G173-H173-I173-J173</f>
        <v>0</v>
      </c>
      <c r="M173" s="316"/>
      <c r="N173" s="316">
        <f>L173-M173</f>
        <v>0</v>
      </c>
      <c r="O173" s="394"/>
      <c r="P173" s="395"/>
      <c r="Q173" s="71">
        <f t="shared" si="35"/>
        <v>0</v>
      </c>
      <c r="R173" s="86">
        <f t="shared" si="36"/>
        <v>0</v>
      </c>
    </row>
    <row r="174" spans="1:18" ht="12.75" customHeight="1" x14ac:dyDescent="0.25">
      <c r="A174" s="1229"/>
      <c r="B174" s="1230"/>
      <c r="C174" s="1231"/>
      <c r="D174" s="904"/>
      <c r="E174" s="319">
        <f>SUM(E169:E173)</f>
        <v>1.444623</v>
      </c>
      <c r="F174" s="319">
        <f>SUM(F169:F173)</f>
        <v>7.2231000000000004E-2</v>
      </c>
      <c r="G174" s="319">
        <f>SUM(G169:G173)</f>
        <v>0.74533000000000005</v>
      </c>
      <c r="H174" s="319">
        <f>SUM(H169:H172)</f>
        <v>0</v>
      </c>
      <c r="I174" s="319">
        <f>SUM(I169:I172)</f>
        <v>0</v>
      </c>
      <c r="J174" s="319">
        <f>SUM(J169:J173)</f>
        <v>5.0165000000000001E-2</v>
      </c>
      <c r="K174" s="319">
        <f>SUM(K169:K172)</f>
        <v>0</v>
      </c>
      <c r="L174" s="319">
        <f>SUM(L169:L173)</f>
        <v>0.57689699999999999</v>
      </c>
      <c r="M174" s="1118">
        <f>SUM(M169:M173)</f>
        <v>0.57700000000000007</v>
      </c>
      <c r="N174" s="319">
        <f>SUM(N169:N172)</f>
        <v>-1.0300000000003362E-4</v>
      </c>
      <c r="O174" s="394"/>
      <c r="P174" s="395"/>
      <c r="Q174" s="71">
        <f t="shared" si="35"/>
        <v>0.57689699999999999</v>
      </c>
      <c r="R174" s="86">
        <f t="shared" si="36"/>
        <v>0</v>
      </c>
    </row>
    <row r="175" spans="1:18" ht="12.75" customHeight="1" x14ac:dyDescent="0.25">
      <c r="A175" s="1229">
        <v>28</v>
      </c>
      <c r="B175" s="1232" t="s">
        <v>809</v>
      </c>
      <c r="C175" s="1233" t="s">
        <v>810</v>
      </c>
      <c r="D175" s="904">
        <v>1</v>
      </c>
      <c r="E175" s="910">
        <v>0.14490900000000001</v>
      </c>
      <c r="F175" s="910">
        <v>7.2449999999999997E-3</v>
      </c>
      <c r="G175" s="910"/>
      <c r="H175" s="910"/>
      <c r="I175" s="910"/>
      <c r="J175" s="910">
        <v>1.0999999999999999E-2</v>
      </c>
      <c r="K175" s="910"/>
      <c r="L175" s="910">
        <f>E175-F175-G175-H175-I175-J175</f>
        <v>0.126664</v>
      </c>
      <c r="M175" s="910">
        <v>0.127</v>
      </c>
      <c r="N175" s="316">
        <f>L175-M175</f>
        <v>-3.3600000000000296E-4</v>
      </c>
      <c r="O175" s="394"/>
      <c r="P175" s="395"/>
      <c r="Q175" s="71">
        <f t="shared" si="35"/>
        <v>0.126664</v>
      </c>
      <c r="R175" s="86">
        <f t="shared" si="36"/>
        <v>0</v>
      </c>
    </row>
    <row r="176" spans="1:18" ht="12.75" customHeight="1" x14ac:dyDescent="0.25">
      <c r="A176" s="1229"/>
      <c r="B176" s="1232"/>
      <c r="C176" s="1234"/>
      <c r="D176" s="904">
        <v>2</v>
      </c>
      <c r="E176" s="910">
        <v>0.93250699999999997</v>
      </c>
      <c r="F176" s="910">
        <v>4.6249999999999999E-2</v>
      </c>
      <c r="G176" s="910"/>
      <c r="H176" s="910"/>
      <c r="I176" s="910"/>
      <c r="J176" s="910">
        <v>7.0800000000000002E-2</v>
      </c>
      <c r="K176" s="910"/>
      <c r="L176" s="910">
        <f>E176-F176-G176-H176-I176-J176</f>
        <v>0.81545699999999999</v>
      </c>
      <c r="M176" s="910">
        <v>0.81499999999999995</v>
      </c>
      <c r="N176" s="316">
        <f>L176-M176</f>
        <v>4.5700000000004071E-4</v>
      </c>
      <c r="O176" s="394">
        <v>192971</v>
      </c>
      <c r="P176" s="395">
        <v>45680</v>
      </c>
      <c r="Q176" s="71">
        <f t="shared" si="35"/>
        <v>0.81545699999999999</v>
      </c>
      <c r="R176" s="86">
        <f t="shared" si="36"/>
        <v>0</v>
      </c>
    </row>
    <row r="177" spans="1:18" ht="12.75" customHeight="1" x14ac:dyDescent="0.25">
      <c r="A177" s="1229"/>
      <c r="B177" s="1232"/>
      <c r="C177" s="1234"/>
      <c r="D177" s="904">
        <v>3</v>
      </c>
      <c r="E177" s="910">
        <v>0.32200000000000001</v>
      </c>
      <c r="F177" s="910">
        <v>1.6E-2</v>
      </c>
      <c r="G177" s="910"/>
      <c r="H177" s="910"/>
      <c r="I177" s="910"/>
      <c r="J177" s="910">
        <v>2.4E-2</v>
      </c>
      <c r="K177" s="910"/>
      <c r="L177" s="910">
        <f>E177-F177-G177-H177-I177-J177</f>
        <v>0.28199999999999997</v>
      </c>
      <c r="M177" s="910">
        <f>L177</f>
        <v>0.28199999999999997</v>
      </c>
      <c r="N177" s="316">
        <f>L177-M177</f>
        <v>0</v>
      </c>
      <c r="O177" s="394">
        <v>196574</v>
      </c>
      <c r="P177" s="395">
        <v>45757</v>
      </c>
      <c r="Q177" s="71">
        <f t="shared" si="35"/>
        <v>0.28199999999999997</v>
      </c>
      <c r="R177" s="86">
        <f t="shared" si="36"/>
        <v>0</v>
      </c>
    </row>
    <row r="178" spans="1:18" ht="12.75" customHeight="1" x14ac:dyDescent="0.25">
      <c r="A178" s="1229"/>
      <c r="B178" s="1232"/>
      <c r="C178" s="1234"/>
      <c r="D178" s="904"/>
      <c r="E178" s="316"/>
      <c r="F178" s="316"/>
      <c r="G178" s="316"/>
      <c r="H178" s="316"/>
      <c r="I178" s="316"/>
      <c r="J178" s="316"/>
      <c r="K178" s="316"/>
      <c r="L178" s="316">
        <f>E178-F178-G178-H178-I178-J178</f>
        <v>0</v>
      </c>
      <c r="M178" s="316"/>
      <c r="N178" s="316">
        <f>L178-M178</f>
        <v>0</v>
      </c>
      <c r="O178" s="394"/>
      <c r="P178" s="395"/>
      <c r="Q178" s="71">
        <f t="shared" si="35"/>
        <v>0</v>
      </c>
      <c r="R178" s="86">
        <f t="shared" si="36"/>
        <v>0</v>
      </c>
    </row>
    <row r="179" spans="1:18" ht="12.75" customHeight="1" x14ac:dyDescent="0.25">
      <c r="A179" s="905"/>
      <c r="B179" s="1232"/>
      <c r="C179" s="1235"/>
      <c r="D179" s="904"/>
      <c r="E179" s="316"/>
      <c r="F179" s="316"/>
      <c r="G179" s="316"/>
      <c r="H179" s="316"/>
      <c r="I179" s="316"/>
      <c r="J179" s="316"/>
      <c r="K179" s="316"/>
      <c r="L179" s="316">
        <f>E179-F179-G179-H179-I179-J179</f>
        <v>0</v>
      </c>
      <c r="M179" s="316"/>
      <c r="N179" s="316">
        <f>L179-M179</f>
        <v>0</v>
      </c>
      <c r="O179" s="394"/>
      <c r="P179" s="395"/>
      <c r="Q179" s="71">
        <f t="shared" si="35"/>
        <v>0</v>
      </c>
      <c r="R179" s="86">
        <f t="shared" si="36"/>
        <v>0</v>
      </c>
    </row>
    <row r="180" spans="1:18" ht="12.75" customHeight="1" x14ac:dyDescent="0.25">
      <c r="A180" s="1229"/>
      <c r="B180" s="1230"/>
      <c r="C180" s="1231"/>
      <c r="D180" s="904"/>
      <c r="E180" s="319">
        <v>1.3985000000000001</v>
      </c>
      <c r="F180" s="319">
        <v>7.0555499999999993E-2</v>
      </c>
      <c r="G180" s="319">
        <f>SUM(G175:G179)</f>
        <v>0</v>
      </c>
      <c r="H180" s="319">
        <f>SUM(H175:H178)</f>
        <v>0</v>
      </c>
      <c r="I180" s="319">
        <f>SUM(I175:I178)</f>
        <v>0</v>
      </c>
      <c r="J180" s="319">
        <v>0.10639999999999999</v>
      </c>
      <c r="K180" s="319">
        <f>SUM(K175:K178)</f>
        <v>0</v>
      </c>
      <c r="L180" s="319">
        <f>SUM(L175:L179)</f>
        <v>1.224121</v>
      </c>
      <c r="M180" s="1118">
        <f>SUM(M175:M179)</f>
        <v>1.224</v>
      </c>
      <c r="N180" s="319">
        <f>SUM(N175:N178)</f>
        <v>1.2100000000003774E-4</v>
      </c>
      <c r="O180" s="394"/>
      <c r="P180" s="395"/>
      <c r="Q180" s="71">
        <f t="shared" si="35"/>
        <v>1.2215445</v>
      </c>
      <c r="R180" s="86">
        <f t="shared" si="36"/>
        <v>-2.5764999999999816E-3</v>
      </c>
    </row>
    <row r="181" spans="1:18" ht="12.75" customHeight="1" x14ac:dyDescent="0.25">
      <c r="A181" s="1229">
        <v>29</v>
      </c>
      <c r="B181" s="1232" t="s">
        <v>809</v>
      </c>
      <c r="C181" s="1233" t="s">
        <v>811</v>
      </c>
      <c r="D181" s="904">
        <v>1</v>
      </c>
      <c r="E181" s="910">
        <v>0.75241899999999995</v>
      </c>
      <c r="F181" s="910">
        <v>3.7621000000000002E-2</v>
      </c>
      <c r="G181" s="910"/>
      <c r="H181" s="910"/>
      <c r="I181" s="910"/>
      <c r="J181" s="910">
        <v>5.7183999999999999E-2</v>
      </c>
      <c r="K181" s="910"/>
      <c r="L181" s="910">
        <f>E181-F181-G181-H181-I181-J181</f>
        <v>0.65761399999999992</v>
      </c>
      <c r="M181" s="910">
        <v>0.65800000000000003</v>
      </c>
      <c r="N181" s="316">
        <f>L181-M181</f>
        <v>-3.8600000000010848E-4</v>
      </c>
      <c r="O181" s="394">
        <v>192972</v>
      </c>
      <c r="P181" s="395">
        <v>45680</v>
      </c>
      <c r="Q181" s="71">
        <f t="shared" si="35"/>
        <v>0.65761399999999992</v>
      </c>
      <c r="R181" s="86">
        <f t="shared" si="36"/>
        <v>0</v>
      </c>
    </row>
    <row r="182" spans="1:18" ht="12.75" customHeight="1" x14ac:dyDescent="0.25">
      <c r="A182" s="1229"/>
      <c r="B182" s="1232"/>
      <c r="C182" s="1234"/>
      <c r="D182" s="904">
        <v>2</v>
      </c>
      <c r="E182" s="910">
        <v>4.7975469999999998</v>
      </c>
      <c r="F182" s="910">
        <v>0.23987700000000001</v>
      </c>
      <c r="G182" s="910"/>
      <c r="H182" s="910"/>
      <c r="I182" s="910"/>
      <c r="J182" s="910">
        <v>0.36461399999999999</v>
      </c>
      <c r="K182" s="910"/>
      <c r="L182" s="910">
        <f>E182-F182-G182-H182-I182-J182</f>
        <v>4.1930560000000003</v>
      </c>
      <c r="M182" s="910">
        <v>4.1929999999999996</v>
      </c>
      <c r="N182" s="316">
        <f>L182-M182</f>
        <v>5.6000000000722139E-5</v>
      </c>
      <c r="O182" s="394">
        <v>192970</v>
      </c>
      <c r="P182" s="395">
        <v>45680</v>
      </c>
      <c r="Q182" s="71">
        <f t="shared" si="35"/>
        <v>4.1930560000000003</v>
      </c>
      <c r="R182" s="86">
        <f t="shared" si="36"/>
        <v>0</v>
      </c>
    </row>
    <row r="183" spans="1:18" ht="12.75" customHeight="1" x14ac:dyDescent="0.25">
      <c r="A183" s="1229"/>
      <c r="B183" s="1232"/>
      <c r="C183" s="1234"/>
      <c r="D183" s="904">
        <v>3</v>
      </c>
      <c r="E183" s="910">
        <v>1.72</v>
      </c>
      <c r="F183" s="910">
        <v>8.5999999999999993E-2</v>
      </c>
      <c r="G183" s="910"/>
      <c r="H183" s="910"/>
      <c r="I183" s="910"/>
      <c r="J183" s="910">
        <v>0.13072</v>
      </c>
      <c r="K183" s="910"/>
      <c r="L183" s="910">
        <f>E183-F183-G183-H183-I183-J183</f>
        <v>1.5032799999999999</v>
      </c>
      <c r="M183" s="910">
        <v>1.5029999999999999</v>
      </c>
      <c r="N183" s="316">
        <f>L183-M183</f>
        <v>2.8000000000005798E-4</v>
      </c>
      <c r="O183" s="394">
        <v>196484</v>
      </c>
      <c r="P183" s="395">
        <v>45744</v>
      </c>
      <c r="Q183" s="71">
        <f t="shared" si="35"/>
        <v>1.5032799999999999</v>
      </c>
      <c r="R183" s="86">
        <f t="shared" si="36"/>
        <v>0</v>
      </c>
    </row>
    <row r="184" spans="1:18" ht="12.75" customHeight="1" x14ac:dyDescent="0.25">
      <c r="A184" s="1229"/>
      <c r="B184" s="1232"/>
      <c r="C184" s="1234"/>
      <c r="D184" s="904"/>
      <c r="E184" s="316"/>
      <c r="F184" s="316"/>
      <c r="G184" s="316"/>
      <c r="H184" s="316"/>
      <c r="I184" s="316"/>
      <c r="J184" s="316"/>
      <c r="K184" s="316"/>
      <c r="L184" s="316">
        <f>E184-F184-G184-H184-I184-J184</f>
        <v>0</v>
      </c>
      <c r="M184" s="316"/>
      <c r="N184" s="316">
        <f>L184-M184</f>
        <v>0</v>
      </c>
      <c r="O184" s="394"/>
      <c r="P184" s="395"/>
      <c r="Q184" s="71">
        <f t="shared" si="35"/>
        <v>0</v>
      </c>
      <c r="R184" s="86">
        <f t="shared" si="36"/>
        <v>0</v>
      </c>
    </row>
    <row r="185" spans="1:18" ht="12.75" customHeight="1" x14ac:dyDescent="0.25">
      <c r="A185" s="905"/>
      <c r="B185" s="1232"/>
      <c r="C185" s="1235"/>
      <c r="D185" s="904"/>
      <c r="E185" s="316"/>
      <c r="F185" s="316"/>
      <c r="G185" s="316"/>
      <c r="H185" s="316"/>
      <c r="I185" s="316"/>
      <c r="J185" s="316"/>
      <c r="K185" s="316"/>
      <c r="L185" s="316">
        <f>E185-F185-G185-H185-I185-J185</f>
        <v>0</v>
      </c>
      <c r="M185" s="316"/>
      <c r="N185" s="316">
        <f>L185-M185</f>
        <v>0</v>
      </c>
      <c r="O185" s="394"/>
      <c r="P185" s="395"/>
      <c r="Q185" s="71">
        <f t="shared" si="35"/>
        <v>0</v>
      </c>
      <c r="R185" s="86">
        <f t="shared" si="36"/>
        <v>0</v>
      </c>
    </row>
    <row r="186" spans="1:18" ht="12.75" customHeight="1" x14ac:dyDescent="0.25">
      <c r="A186" s="1229"/>
      <c r="B186" s="1230"/>
      <c r="C186" s="1231"/>
      <c r="D186" s="904"/>
      <c r="E186" s="319">
        <f>SUM(E181:E185)</f>
        <v>7.2699659999999993</v>
      </c>
      <c r="F186" s="319">
        <f>SUM(F181:F185)</f>
        <v>0.36349799999999999</v>
      </c>
      <c r="G186" s="319">
        <f>SUM(G181:G185)</f>
        <v>0</v>
      </c>
      <c r="H186" s="319">
        <f>SUM(H181:H184)</f>
        <v>0</v>
      </c>
      <c r="I186" s="319">
        <f>SUM(I181:I184)</f>
        <v>0</v>
      </c>
      <c r="J186" s="319">
        <f>SUM(J181:J185)</f>
        <v>0.55251800000000006</v>
      </c>
      <c r="K186" s="319">
        <f>SUM(K181:K184)</f>
        <v>0</v>
      </c>
      <c r="L186" s="319">
        <f>SUM(L181:L185)</f>
        <v>6.3539500000000002</v>
      </c>
      <c r="M186" s="1118">
        <f>SUM(M181:M185)</f>
        <v>6.3540000000000001</v>
      </c>
      <c r="N186" s="319">
        <f>SUM(N181:N184)</f>
        <v>-4.9999999999328359E-5</v>
      </c>
      <c r="O186" s="394"/>
      <c r="P186" s="395"/>
      <c r="Q186" s="71">
        <f t="shared" si="35"/>
        <v>6.3539499999999993</v>
      </c>
      <c r="R186" s="86">
        <f t="shared" si="36"/>
        <v>0</v>
      </c>
    </row>
    <row r="187" spans="1:18" ht="12.75" customHeight="1" x14ac:dyDescent="0.25">
      <c r="A187" s="1229">
        <v>30</v>
      </c>
      <c r="B187" s="1232" t="s">
        <v>812</v>
      </c>
      <c r="C187" s="1233" t="s">
        <v>813</v>
      </c>
      <c r="D187" s="904">
        <v>1</v>
      </c>
      <c r="E187" s="910">
        <v>2.976896</v>
      </c>
      <c r="F187" s="910">
        <v>0.14884500000000001</v>
      </c>
      <c r="G187" s="910">
        <v>0.28161000000000003</v>
      </c>
      <c r="H187" s="910"/>
      <c r="I187" s="910"/>
      <c r="J187" s="910">
        <v>0.20371500000000001</v>
      </c>
      <c r="K187" s="910"/>
      <c r="L187" s="910">
        <f>E187-F187-G187-H187-I187-J187</f>
        <v>2.3427259999999999</v>
      </c>
      <c r="M187" s="910">
        <v>2.343</v>
      </c>
      <c r="N187" s="316">
        <f>L187-M187</f>
        <v>-2.7400000000010749E-4</v>
      </c>
      <c r="O187" s="394">
        <v>184138</v>
      </c>
      <c r="P187" s="395">
        <v>45642</v>
      </c>
      <c r="Q187" s="71">
        <f t="shared" si="35"/>
        <v>2.3427259999999999</v>
      </c>
      <c r="R187" s="86">
        <f t="shared" si="36"/>
        <v>0</v>
      </c>
    </row>
    <row r="188" spans="1:18" ht="12.75" customHeight="1" x14ac:dyDescent="0.25">
      <c r="A188" s="1229"/>
      <c r="B188" s="1232"/>
      <c r="C188" s="1234"/>
      <c r="D188" s="904">
        <v>2</v>
      </c>
      <c r="E188" s="910">
        <v>1.9956039999999999</v>
      </c>
      <c r="F188" s="910">
        <v>9.9779999999999994E-2</v>
      </c>
      <c r="G188" s="910">
        <v>0.77981999999999996</v>
      </c>
      <c r="H188" s="910"/>
      <c r="I188" s="910"/>
      <c r="J188" s="910">
        <v>8.9280999999999999E-2</v>
      </c>
      <c r="K188" s="910"/>
      <c r="L188" s="910">
        <f>E188-F188-G188-H188-I188-J188</f>
        <v>1.0267230000000001</v>
      </c>
      <c r="M188" s="910">
        <v>1.0269999999999999</v>
      </c>
      <c r="N188" s="316">
        <f>L188-M188</f>
        <v>-2.7699999999986069E-4</v>
      </c>
      <c r="O188" s="394">
        <v>193018</v>
      </c>
      <c r="P188" s="395">
        <v>45685</v>
      </c>
      <c r="Q188" s="71">
        <f t="shared" si="35"/>
        <v>1.0267230000000001</v>
      </c>
      <c r="R188" s="86">
        <f t="shared" si="36"/>
        <v>0</v>
      </c>
    </row>
    <row r="189" spans="1:18" ht="12.75" customHeight="1" x14ac:dyDescent="0.25">
      <c r="A189" s="1229"/>
      <c r="B189" s="1232"/>
      <c r="C189" s="1234"/>
      <c r="D189" s="904">
        <v>3</v>
      </c>
      <c r="E189" s="910">
        <v>1.053172</v>
      </c>
      <c r="F189" s="910">
        <v>5.2658999999999997E-2</v>
      </c>
      <c r="G189" s="910">
        <v>5.3225000000000001E-2</v>
      </c>
      <c r="H189" s="910"/>
      <c r="I189" s="910"/>
      <c r="J189" s="910">
        <v>7.5783000000000003E-2</v>
      </c>
      <c r="K189" s="910"/>
      <c r="L189" s="910">
        <f>E189-F189-G189-H189-I189-J189</f>
        <v>0.87150499999999997</v>
      </c>
      <c r="M189" s="910">
        <v>0.872</v>
      </c>
      <c r="N189" s="316">
        <f>L189-M189</f>
        <v>-4.950000000000232E-4</v>
      </c>
      <c r="O189" s="394">
        <v>194736</v>
      </c>
      <c r="P189" s="395">
        <v>45741</v>
      </c>
      <c r="Q189" s="71">
        <f t="shared" si="35"/>
        <v>0.87150499999999997</v>
      </c>
      <c r="R189" s="86">
        <f t="shared" si="36"/>
        <v>0</v>
      </c>
    </row>
    <row r="190" spans="1:18" ht="12.75" customHeight="1" x14ac:dyDescent="0.25">
      <c r="A190" s="1229"/>
      <c r="B190" s="1232"/>
      <c r="C190" s="1234"/>
      <c r="D190" s="904">
        <v>4</v>
      </c>
      <c r="E190" s="910">
        <v>2.1070000000000002</v>
      </c>
      <c r="F190" s="910">
        <v>0.105</v>
      </c>
      <c r="G190" s="910"/>
      <c r="H190" s="910"/>
      <c r="I190" s="910"/>
      <c r="J190" s="910">
        <v>0.16</v>
      </c>
      <c r="K190" s="910"/>
      <c r="L190" s="910">
        <f>E190-F190-G190-H190-I190-J190</f>
        <v>1.8420000000000003</v>
      </c>
      <c r="M190" s="910">
        <f>L190</f>
        <v>1.8420000000000003</v>
      </c>
      <c r="N190" s="316">
        <f>L190-M190</f>
        <v>0</v>
      </c>
      <c r="O190" s="394">
        <v>200840</v>
      </c>
      <c r="P190" s="395">
        <v>45812</v>
      </c>
      <c r="Q190" s="71">
        <f t="shared" si="35"/>
        <v>1.8420000000000003</v>
      </c>
      <c r="R190" s="86">
        <f t="shared" si="36"/>
        <v>0</v>
      </c>
    </row>
    <row r="191" spans="1:18" ht="12.75" customHeight="1" x14ac:dyDescent="0.25">
      <c r="A191" s="905"/>
      <c r="B191" s="1232"/>
      <c r="C191" s="1235"/>
      <c r="D191" s="904"/>
      <c r="E191" s="316"/>
      <c r="F191" s="316"/>
      <c r="G191" s="316"/>
      <c r="H191" s="316"/>
      <c r="I191" s="316"/>
      <c r="J191" s="316"/>
      <c r="K191" s="316"/>
      <c r="L191" s="316">
        <f>E191-F191-G191-H191-I191-J191</f>
        <v>0</v>
      </c>
      <c r="M191" s="316"/>
      <c r="N191" s="316">
        <f>L191-M191</f>
        <v>0</v>
      </c>
      <c r="O191" s="394"/>
      <c r="P191" s="395"/>
      <c r="Q191" s="71">
        <f t="shared" si="35"/>
        <v>0</v>
      </c>
      <c r="R191" s="86">
        <f t="shared" si="36"/>
        <v>0</v>
      </c>
    </row>
    <row r="192" spans="1:18" ht="12.75" customHeight="1" x14ac:dyDescent="0.25">
      <c r="A192" s="1229"/>
      <c r="B192" s="1230"/>
      <c r="C192" s="1231"/>
      <c r="D192" s="904"/>
      <c r="E192" s="319">
        <f>SUM(E187:E191)</f>
        <v>8.1326719999999995</v>
      </c>
      <c r="F192" s="319">
        <f>SUM(F187:F191)</f>
        <v>0.40628399999999998</v>
      </c>
      <c r="G192" s="319">
        <f>SUM(G187:G191)</f>
        <v>1.1146550000000002</v>
      </c>
      <c r="H192" s="319">
        <f>SUM(H187:H190)</f>
        <v>0</v>
      </c>
      <c r="I192" s="319">
        <f>SUM(I187:I190)</f>
        <v>0</v>
      </c>
      <c r="J192" s="319">
        <f>SUM(J187:J191)</f>
        <v>0.528779</v>
      </c>
      <c r="K192" s="319">
        <f>SUM(K187:K190)</f>
        <v>0</v>
      </c>
      <c r="L192" s="319">
        <f>SUM(L187:L191)</f>
        <v>6.0829540000000009</v>
      </c>
      <c r="M192" s="1118">
        <f>SUM(M187:M191)</f>
        <v>6.0840000000000005</v>
      </c>
      <c r="N192" s="319">
        <f>SUM(N187:N190)</f>
        <v>-1.0459999999999914E-3</v>
      </c>
      <c r="O192" s="394"/>
      <c r="P192" s="395"/>
      <c r="Q192" s="71">
        <f t="shared" si="35"/>
        <v>6.0829539999999991</v>
      </c>
      <c r="R192" s="86">
        <f t="shared" si="36"/>
        <v>0</v>
      </c>
    </row>
    <row r="193" spans="1:19" ht="12.75" customHeight="1" x14ac:dyDescent="0.25">
      <c r="A193" s="1229">
        <v>31</v>
      </c>
      <c r="B193" s="1232" t="s">
        <v>815</v>
      </c>
      <c r="C193" s="1233" t="s">
        <v>814</v>
      </c>
      <c r="D193" s="904">
        <v>1</v>
      </c>
      <c r="E193" s="910">
        <v>2.6502599999999998</v>
      </c>
      <c r="F193" s="910">
        <v>0.13251299999999999</v>
      </c>
      <c r="G193" s="910">
        <v>0.14899999999999999</v>
      </c>
      <c r="H193" s="910"/>
      <c r="I193" s="910"/>
      <c r="J193" s="910">
        <v>0.1895</v>
      </c>
      <c r="K193" s="910"/>
      <c r="L193" s="910">
        <f>E193-F193-G193-H193-I193-J193</f>
        <v>2.1792470000000002</v>
      </c>
      <c r="M193" s="910">
        <v>2.1789999999999998</v>
      </c>
      <c r="N193" s="316">
        <f>L193-M193</f>
        <v>2.4700000000033029E-4</v>
      </c>
      <c r="O193" s="394">
        <v>183096</v>
      </c>
      <c r="P193" s="395">
        <v>45603</v>
      </c>
      <c r="Q193" s="71"/>
      <c r="R193" s="86"/>
    </row>
    <row r="194" spans="1:19" ht="12.75" customHeight="1" x14ac:dyDescent="0.25">
      <c r="A194" s="1229"/>
      <c r="B194" s="1232"/>
      <c r="C194" s="1234"/>
      <c r="D194" s="904">
        <v>2</v>
      </c>
      <c r="E194" s="910">
        <v>0.90880799999999995</v>
      </c>
      <c r="F194" s="910">
        <v>4.5440000000000001E-2</v>
      </c>
      <c r="G194" s="910"/>
      <c r="H194" s="910"/>
      <c r="I194" s="910"/>
      <c r="J194" s="910">
        <v>6.9069000000000005E-2</v>
      </c>
      <c r="K194" s="910"/>
      <c r="L194" s="910">
        <f>E194-F194-G194-H194-I194-J194</f>
        <v>0.79429899999999987</v>
      </c>
      <c r="M194" s="910">
        <v>0.79400000000000004</v>
      </c>
      <c r="N194" s="316">
        <f>L194-M194</f>
        <v>2.9899999999982718E-4</v>
      </c>
      <c r="O194" s="394">
        <v>192879</v>
      </c>
      <c r="P194" s="395">
        <v>45673</v>
      </c>
      <c r="Q194" s="71"/>
      <c r="R194" s="86"/>
    </row>
    <row r="195" spans="1:19" ht="12.75" customHeight="1" x14ac:dyDescent="0.25">
      <c r="A195" s="1229"/>
      <c r="B195" s="1232"/>
      <c r="C195" s="1234"/>
      <c r="D195" s="904">
        <v>3</v>
      </c>
      <c r="E195" s="910">
        <v>0.79076000000000002</v>
      </c>
      <c r="F195" s="910">
        <v>3.9503999999999997E-2</v>
      </c>
      <c r="G195" s="910"/>
      <c r="H195" s="910"/>
      <c r="I195" s="910"/>
      <c r="J195" s="910">
        <v>6.0040000000000003E-2</v>
      </c>
      <c r="K195" s="910"/>
      <c r="L195" s="910">
        <f>E195-F195-G195-H195-I195-J195</f>
        <v>0.69121600000000005</v>
      </c>
      <c r="M195" s="910">
        <v>0.69099999999999995</v>
      </c>
      <c r="N195" s="316">
        <f>L195-M195</f>
        <v>2.16000000000105E-4</v>
      </c>
      <c r="O195" s="394">
        <v>188099</v>
      </c>
      <c r="P195" s="395">
        <v>45672</v>
      </c>
      <c r="Q195" s="71"/>
      <c r="R195" s="86"/>
    </row>
    <row r="196" spans="1:19" ht="12.75" customHeight="1" x14ac:dyDescent="0.25">
      <c r="A196" s="1229"/>
      <c r="B196" s="1232"/>
      <c r="C196" s="1234"/>
      <c r="D196" s="904">
        <v>4</v>
      </c>
      <c r="E196" s="910">
        <v>0.6855</v>
      </c>
      <c r="F196" s="910">
        <v>3.5000000000000003E-2</v>
      </c>
      <c r="G196" s="910"/>
      <c r="H196" s="910"/>
      <c r="I196" s="910"/>
      <c r="J196" s="910">
        <f>(E196-F196-G196)*0.08</f>
        <v>5.2039999999999996E-2</v>
      </c>
      <c r="K196" s="910"/>
      <c r="L196" s="910">
        <f>E196-F196-G196-H196-I196-J196</f>
        <v>0.59845999999999999</v>
      </c>
      <c r="M196" s="910">
        <v>0.59899999999999998</v>
      </c>
      <c r="N196" s="316">
        <f>L196-M196</f>
        <v>-5.3999999999998494E-4</v>
      </c>
      <c r="O196" s="394">
        <v>198924</v>
      </c>
      <c r="P196" s="395">
        <v>45792</v>
      </c>
      <c r="Q196" s="71"/>
      <c r="R196" s="86"/>
    </row>
    <row r="197" spans="1:19" ht="12.75" customHeight="1" x14ac:dyDescent="0.25">
      <c r="A197" s="905"/>
      <c r="B197" s="1232"/>
      <c r="C197" s="1235"/>
      <c r="D197" s="904"/>
      <c r="E197" s="910">
        <v>0.58699999999999997</v>
      </c>
      <c r="F197" s="910">
        <v>2.9399999999999999E-2</v>
      </c>
      <c r="G197" s="910">
        <v>4.4400000000000002E-2</v>
      </c>
      <c r="H197" s="910"/>
      <c r="I197" s="910"/>
      <c r="J197" s="910">
        <v>0.04</v>
      </c>
      <c r="K197" s="910"/>
      <c r="L197" s="910">
        <f>E197-F197-G197-H197-I197-J197</f>
        <v>0.47320000000000001</v>
      </c>
      <c r="M197" s="910">
        <f>L197</f>
        <v>0.47320000000000001</v>
      </c>
      <c r="N197" s="316">
        <f>L197-M197</f>
        <v>0</v>
      </c>
      <c r="O197" s="394"/>
      <c r="P197" s="395"/>
      <c r="Q197" s="71"/>
      <c r="R197" s="86"/>
    </row>
    <row r="198" spans="1:19" ht="12.75" customHeight="1" x14ac:dyDescent="0.25">
      <c r="A198" s="1229"/>
      <c r="B198" s="1230"/>
      <c r="C198" s="1231"/>
      <c r="D198" s="904"/>
      <c r="E198" s="319">
        <f>SUM(E193:E197)</f>
        <v>5.6223279999999995</v>
      </c>
      <c r="F198" s="319">
        <f>SUM(F193:F197)</f>
        <v>0.28185700000000002</v>
      </c>
      <c r="G198" s="319">
        <f>SUM(G193:G197)</f>
        <v>0.19339999999999999</v>
      </c>
      <c r="H198" s="319">
        <f>SUM(H193:H196)</f>
        <v>0</v>
      </c>
      <c r="I198" s="319">
        <f>SUM(I193:I196)</f>
        <v>0</v>
      </c>
      <c r="J198" s="319">
        <f>SUM(J193:J197)</f>
        <v>0.41064899999999993</v>
      </c>
      <c r="K198" s="319">
        <f>SUM(K193:K196)</f>
        <v>0</v>
      </c>
      <c r="L198" s="319">
        <f>SUM(L193:L197)</f>
        <v>4.7364220000000001</v>
      </c>
      <c r="M198" s="1118">
        <f>SUM(M193:M197)</f>
        <v>4.7362000000000002</v>
      </c>
      <c r="N198" s="319">
        <f>SUM(N193:N196)</f>
        <v>2.2200000000027753E-4</v>
      </c>
      <c r="O198" s="394"/>
      <c r="P198" s="395"/>
      <c r="Q198" s="71"/>
      <c r="R198" s="86"/>
    </row>
    <row r="199" spans="1:19" ht="12.75" customHeight="1" x14ac:dyDescent="0.25">
      <c r="A199" s="1229">
        <v>32</v>
      </c>
      <c r="B199" s="1232" t="s">
        <v>815</v>
      </c>
      <c r="C199" s="1233" t="s">
        <v>816</v>
      </c>
      <c r="D199" s="904">
        <v>1</v>
      </c>
      <c r="E199" s="910">
        <v>2.9824700000000002</v>
      </c>
      <c r="F199" s="910">
        <v>0.14912300000000001</v>
      </c>
      <c r="G199" s="910"/>
      <c r="H199" s="910"/>
      <c r="I199" s="910"/>
      <c r="J199" s="910">
        <v>0.22666800000000001</v>
      </c>
      <c r="K199" s="910"/>
      <c r="L199" s="910">
        <f>E199-F199-G199-H199-I199-J199</f>
        <v>2.6066790000000002</v>
      </c>
      <c r="M199" s="910">
        <v>2.6070000000000002</v>
      </c>
      <c r="N199" s="316">
        <f>L199-M199</f>
        <v>-3.2100000000001572E-4</v>
      </c>
      <c r="O199" s="394">
        <v>193826</v>
      </c>
      <c r="P199" s="395">
        <v>45705</v>
      </c>
      <c r="Q199" s="71"/>
      <c r="R199" s="86"/>
      <c r="S199" s="67">
        <f>0.491+1.256477+0.415636+1.18+0.195+4.199+0.91438+0.2+0.167</f>
        <v>9.0184929999999977</v>
      </c>
    </row>
    <row r="200" spans="1:19" ht="12.75" customHeight="1" x14ac:dyDescent="0.25">
      <c r="A200" s="1229"/>
      <c r="B200" s="1232"/>
      <c r="C200" s="1234"/>
      <c r="D200" s="904">
        <v>2</v>
      </c>
      <c r="E200" s="910">
        <v>2.0899839999999998</v>
      </c>
      <c r="F200" s="910">
        <v>0.104</v>
      </c>
      <c r="G200" s="910"/>
      <c r="H200" s="910"/>
      <c r="I200" s="910"/>
      <c r="J200" s="910">
        <v>0.15883900000000001</v>
      </c>
      <c r="K200" s="910"/>
      <c r="L200" s="910">
        <f>E200-F200-G200-H200-I200-J200</f>
        <v>1.8271449999999998</v>
      </c>
      <c r="M200" s="910">
        <v>1.827</v>
      </c>
      <c r="N200" s="316">
        <f>L200-M200</f>
        <v>1.449999999998397E-4</v>
      </c>
      <c r="O200" s="394">
        <v>196374</v>
      </c>
      <c r="P200" s="395">
        <v>45741</v>
      </c>
      <c r="Q200" s="71"/>
      <c r="R200" s="86"/>
    </row>
    <row r="201" spans="1:19" ht="12.75" customHeight="1" x14ac:dyDescent="0.25">
      <c r="A201" s="1229"/>
      <c r="B201" s="1232"/>
      <c r="C201" s="1234"/>
      <c r="D201" s="904">
        <v>3</v>
      </c>
      <c r="E201" s="910">
        <v>1.4910000000000001</v>
      </c>
      <c r="F201" s="910">
        <v>7.4999999999999997E-2</v>
      </c>
      <c r="G201" s="910"/>
      <c r="H201" s="910"/>
      <c r="I201" s="910"/>
      <c r="J201" s="910">
        <v>0.113</v>
      </c>
      <c r="K201" s="910"/>
      <c r="L201" s="910">
        <f>E201-F201-G201-H201-I201-J201</f>
        <v>1.3030000000000002</v>
      </c>
      <c r="M201" s="910">
        <v>1.3029999999999999</v>
      </c>
      <c r="N201" s="316">
        <f>L201-M201</f>
        <v>0</v>
      </c>
      <c r="O201" s="394">
        <v>198034</v>
      </c>
      <c r="P201" s="395">
        <v>45779</v>
      </c>
      <c r="Q201" s="71"/>
      <c r="R201" s="86"/>
    </row>
    <row r="202" spans="1:19" ht="12.75" customHeight="1" x14ac:dyDescent="0.25">
      <c r="A202" s="1229"/>
      <c r="B202" s="1232"/>
      <c r="C202" s="1234"/>
      <c r="D202" s="904">
        <v>4</v>
      </c>
      <c r="E202" s="910">
        <v>1.1819999999999999</v>
      </c>
      <c r="F202" s="910">
        <v>5.8999999999999997E-2</v>
      </c>
      <c r="G202" s="910"/>
      <c r="H202" s="910"/>
      <c r="I202" s="910"/>
      <c r="J202" s="910">
        <v>0.09</v>
      </c>
      <c r="K202" s="910"/>
      <c r="L202" s="910">
        <f>E202-F202-G202-H202-I202-J202</f>
        <v>1.0329999999999999</v>
      </c>
      <c r="M202" s="910">
        <f>L202</f>
        <v>1.0329999999999999</v>
      </c>
      <c r="N202" s="316">
        <f>L202-M202</f>
        <v>0</v>
      </c>
      <c r="O202" s="394"/>
      <c r="P202" s="395"/>
      <c r="Q202" s="71"/>
      <c r="R202" s="86"/>
    </row>
    <row r="203" spans="1:19" ht="12.75" customHeight="1" x14ac:dyDescent="0.25">
      <c r="A203" s="905"/>
      <c r="B203" s="1232"/>
      <c r="C203" s="1235"/>
      <c r="D203" s="1105">
        <v>5</v>
      </c>
      <c r="E203" s="910">
        <v>2.851</v>
      </c>
      <c r="F203" s="910">
        <v>0.14299999999999999</v>
      </c>
      <c r="G203" s="910"/>
      <c r="H203" s="910"/>
      <c r="I203" s="910"/>
      <c r="J203" s="910">
        <v>0.217</v>
      </c>
      <c r="K203" s="910"/>
      <c r="L203" s="910">
        <f>E203-F203-G203-H203-I203-J203</f>
        <v>2.4910000000000001</v>
      </c>
      <c r="M203" s="910">
        <v>2</v>
      </c>
      <c r="N203" s="910">
        <f>L203-M203</f>
        <v>0.4910000000000001</v>
      </c>
      <c r="O203" s="1106">
        <v>201774</v>
      </c>
      <c r="P203" s="1107">
        <v>45856</v>
      </c>
      <c r="Q203" s="71"/>
      <c r="R203" s="86"/>
    </row>
    <row r="204" spans="1:19" ht="12.75" customHeight="1" x14ac:dyDescent="0.25">
      <c r="A204" s="1229"/>
      <c r="B204" s="1230"/>
      <c r="C204" s="1231"/>
      <c r="D204" s="904"/>
      <c r="E204" s="319">
        <f>SUM(E199:E203)</f>
        <v>10.596454000000001</v>
      </c>
      <c r="F204" s="319">
        <f>SUM(F199:F203)</f>
        <v>0.53012300000000001</v>
      </c>
      <c r="G204" s="319">
        <f>SUM(G199:G203)</f>
        <v>0</v>
      </c>
      <c r="H204" s="319">
        <f>SUM(H199:H202)</f>
        <v>0</v>
      </c>
      <c r="I204" s="319">
        <f>SUM(I199:I202)</f>
        <v>0</v>
      </c>
      <c r="J204" s="319">
        <f>SUM(J199:J203)</f>
        <v>0.80550699999999997</v>
      </c>
      <c r="K204" s="319">
        <f>SUM(K199:K202)</f>
        <v>0</v>
      </c>
      <c r="L204" s="319">
        <f>SUM(L199:L203)</f>
        <v>9.2608239999999995</v>
      </c>
      <c r="M204" s="1118">
        <f>SUM(M199:M203)</f>
        <v>8.77</v>
      </c>
      <c r="N204" s="319">
        <f>SUM(N199:N203)</f>
        <v>0.49082399999999993</v>
      </c>
      <c r="O204" s="394"/>
      <c r="P204" s="395"/>
      <c r="Q204" s="71"/>
      <c r="R204" s="86"/>
    </row>
    <row r="205" spans="1:19" ht="12.75" customHeight="1" x14ac:dyDescent="0.25">
      <c r="A205" s="1229">
        <v>33</v>
      </c>
      <c r="B205" s="1232" t="s">
        <v>815</v>
      </c>
      <c r="C205" s="1233" t="s">
        <v>817</v>
      </c>
      <c r="D205" s="904">
        <v>1</v>
      </c>
      <c r="E205" s="910">
        <v>1.3159259999999999</v>
      </c>
      <c r="F205" s="910">
        <v>6.5795999999999993E-2</v>
      </c>
      <c r="G205" s="910"/>
      <c r="H205" s="910"/>
      <c r="I205" s="910"/>
      <c r="J205" s="910">
        <v>0.10009999999999999</v>
      </c>
      <c r="K205" s="910"/>
      <c r="L205" s="910">
        <f>E205-F205-G205-H205-I205-J205</f>
        <v>1.1500299999999999</v>
      </c>
      <c r="M205" s="910">
        <v>1.1499999999999999</v>
      </c>
      <c r="N205" s="316">
        <f>L205-M205</f>
        <v>2.9999999999974492E-5</v>
      </c>
      <c r="O205" s="394">
        <v>193745</v>
      </c>
      <c r="P205" s="395">
        <v>45700</v>
      </c>
      <c r="Q205" s="71"/>
      <c r="R205" s="86"/>
    </row>
    <row r="206" spans="1:19" ht="12.75" customHeight="1" x14ac:dyDescent="0.25">
      <c r="A206" s="1229"/>
      <c r="B206" s="1232"/>
      <c r="C206" s="1234"/>
      <c r="D206" s="904">
        <v>2</v>
      </c>
      <c r="E206" s="910">
        <v>1.0405709999999999</v>
      </c>
      <c r="F206" s="910">
        <v>5.2019999999999997E-2</v>
      </c>
      <c r="G206" s="910"/>
      <c r="H206" s="910"/>
      <c r="I206" s="910"/>
      <c r="J206" s="910">
        <v>7.9119999999999996E-2</v>
      </c>
      <c r="K206" s="910"/>
      <c r="L206" s="910">
        <f>E206-F206-G206-H206-I206-J206</f>
        <v>0.90943099999999999</v>
      </c>
      <c r="M206" s="910">
        <v>0.90900000000000003</v>
      </c>
      <c r="N206" s="316">
        <f>L206-M206</f>
        <v>4.3099999999995919E-4</v>
      </c>
      <c r="O206" s="394">
        <v>197768</v>
      </c>
      <c r="P206" s="395">
        <v>45763</v>
      </c>
      <c r="Q206" s="71"/>
      <c r="R206" s="86"/>
    </row>
    <row r="207" spans="1:19" ht="12.75" customHeight="1" x14ac:dyDescent="0.25">
      <c r="A207" s="1229"/>
      <c r="B207" s="1232"/>
      <c r="C207" s="1234"/>
      <c r="D207" s="904">
        <v>3</v>
      </c>
      <c r="E207" s="910">
        <v>0.34517300000000001</v>
      </c>
      <c r="F207" s="910">
        <v>1.7259E-2</v>
      </c>
      <c r="G207" s="910"/>
      <c r="H207" s="910"/>
      <c r="I207" s="910"/>
      <c r="J207" s="910">
        <v>2.6424E-2</v>
      </c>
      <c r="K207" s="910"/>
      <c r="L207" s="910">
        <f>E207-F207-G207-H207-I207-J207</f>
        <v>0.30148999999999998</v>
      </c>
      <c r="M207" s="910">
        <v>0.30099999999999999</v>
      </c>
      <c r="N207" s="316">
        <f>L207-M207</f>
        <v>4.8999999999999044E-4</v>
      </c>
      <c r="O207" s="394">
        <v>197871</v>
      </c>
      <c r="P207" s="395">
        <v>45771</v>
      </c>
      <c r="Q207" s="71"/>
      <c r="R207" s="86"/>
    </row>
    <row r="208" spans="1:19" ht="12.75" customHeight="1" x14ac:dyDescent="0.25">
      <c r="A208" s="1229"/>
      <c r="B208" s="1232"/>
      <c r="C208" s="1234"/>
      <c r="D208" s="904">
        <v>4</v>
      </c>
      <c r="E208" s="316">
        <v>0.34799999999999998</v>
      </c>
      <c r="F208" s="316">
        <v>1.7000000000000001E-2</v>
      </c>
      <c r="G208" s="316"/>
      <c r="H208" s="316"/>
      <c r="I208" s="316"/>
      <c r="J208" s="316">
        <v>2.5999999999999999E-2</v>
      </c>
      <c r="K208" s="316"/>
      <c r="L208" s="316">
        <f>E208-F208-G208-H208-I208-J208</f>
        <v>0.30499999999999994</v>
      </c>
      <c r="M208" s="316">
        <f>L208</f>
        <v>0.30499999999999994</v>
      </c>
      <c r="N208" s="316">
        <f>L208-M208</f>
        <v>0</v>
      </c>
      <c r="O208" s="394">
        <v>200815</v>
      </c>
      <c r="P208" s="395">
        <v>45812</v>
      </c>
      <c r="Q208" s="71"/>
      <c r="R208" s="86"/>
    </row>
    <row r="209" spans="1:19" ht="12.75" customHeight="1" x14ac:dyDescent="0.25">
      <c r="A209" s="905"/>
      <c r="B209" s="1232"/>
      <c r="C209" s="1235"/>
      <c r="D209" s="1105">
        <v>5</v>
      </c>
      <c r="E209" s="910">
        <v>1.4370000000000001</v>
      </c>
      <c r="F209" s="316">
        <v>7.1800000000000003E-2</v>
      </c>
      <c r="G209" s="910"/>
      <c r="H209" s="910"/>
      <c r="I209" s="910"/>
      <c r="J209" s="316">
        <v>0.10920000000000001</v>
      </c>
      <c r="K209" s="910"/>
      <c r="L209" s="910">
        <f>E209-F209-G209-H209-I209-J209</f>
        <v>1.256</v>
      </c>
      <c r="M209" s="910"/>
      <c r="N209" s="910">
        <f>L209-M209</f>
        <v>1.256</v>
      </c>
      <c r="O209" s="1106"/>
      <c r="P209" s="395"/>
      <c r="Q209" s="71"/>
      <c r="R209" s="86"/>
    </row>
    <row r="210" spans="1:19" ht="12.75" customHeight="1" x14ac:dyDescent="0.25">
      <c r="A210" s="1229"/>
      <c r="B210" s="1230"/>
      <c r="C210" s="1231"/>
      <c r="D210" s="904"/>
      <c r="E210" s="319">
        <f>SUM(E205:E209)</f>
        <v>4.4866700000000002</v>
      </c>
      <c r="F210" s="319">
        <f>SUM(F205:F209)</f>
        <v>0.22387500000000002</v>
      </c>
      <c r="G210" s="319">
        <f>SUM(G205:G209)</f>
        <v>0</v>
      </c>
      <c r="H210" s="319">
        <f>SUM(H205:H208)</f>
        <v>0</v>
      </c>
      <c r="I210" s="319">
        <f>SUM(I205:I208)</f>
        <v>0</v>
      </c>
      <c r="J210" s="319">
        <f>SUM(J205:J209)</f>
        <v>0.34084399999999998</v>
      </c>
      <c r="K210" s="319">
        <f>SUM(K205:K208)</f>
        <v>0</v>
      </c>
      <c r="L210" s="319">
        <f>SUM(L205:L209)</f>
        <v>3.921951</v>
      </c>
      <c r="M210" s="1118">
        <f>SUM(M205:M209)</f>
        <v>2.665</v>
      </c>
      <c r="N210" s="319">
        <f>SUM(N205:N208)</f>
        <v>9.5099999999992413E-4</v>
      </c>
      <c r="O210" s="394"/>
      <c r="P210" s="395"/>
      <c r="Q210" s="71"/>
      <c r="R210" s="86"/>
      <c r="S210" s="67">
        <f>1.365*0.08</f>
        <v>0.10920000000000001</v>
      </c>
    </row>
    <row r="211" spans="1:19" ht="12.75" customHeight="1" x14ac:dyDescent="0.25">
      <c r="A211" s="1229">
        <v>34</v>
      </c>
      <c r="B211" s="1232" t="s">
        <v>815</v>
      </c>
      <c r="C211" s="1233" t="s">
        <v>818</v>
      </c>
      <c r="D211" s="904">
        <v>1</v>
      </c>
      <c r="E211" s="910">
        <v>6.1585999999999999</v>
      </c>
      <c r="F211" s="910">
        <v>0.30792999999999998</v>
      </c>
      <c r="G211" s="910"/>
      <c r="H211" s="910"/>
      <c r="I211" s="910"/>
      <c r="J211" s="910">
        <v>0.46805400000000003</v>
      </c>
      <c r="K211" s="910"/>
      <c r="L211" s="910">
        <f>E211-F211-G211-H211-I211-J211</f>
        <v>5.3826159999999996</v>
      </c>
      <c r="M211" s="910">
        <v>5.383</v>
      </c>
      <c r="N211" s="316">
        <f>L211-M211</f>
        <v>-3.8400000000038403E-4</v>
      </c>
      <c r="O211" s="394" t="s">
        <v>819</v>
      </c>
      <c r="P211" s="395" t="s">
        <v>820</v>
      </c>
      <c r="Q211" s="71"/>
      <c r="R211" s="86"/>
    </row>
    <row r="212" spans="1:19" ht="12.75" customHeight="1" x14ac:dyDescent="0.25">
      <c r="A212" s="1229"/>
      <c r="B212" s="1232"/>
      <c r="C212" s="1234"/>
      <c r="D212" s="904">
        <v>2</v>
      </c>
      <c r="E212" s="910">
        <v>8.8199500000000004</v>
      </c>
      <c r="F212" s="910">
        <v>0.441</v>
      </c>
      <c r="G212" s="910"/>
      <c r="H212" s="910"/>
      <c r="I212" s="910"/>
      <c r="J212" s="910">
        <v>0.67031960000000002</v>
      </c>
      <c r="K212" s="910"/>
      <c r="L212" s="910">
        <f>E212-F212-G212-H212-I212-J212</f>
        <v>7.7086303999999997</v>
      </c>
      <c r="M212" s="910">
        <f>5+1+1.709</f>
        <v>7.7089999999999996</v>
      </c>
      <c r="N212" s="316">
        <f>L212-M212</f>
        <v>-3.6959999999996995E-4</v>
      </c>
      <c r="O212" s="394" t="s">
        <v>865</v>
      </c>
      <c r="P212" s="395" t="s">
        <v>866</v>
      </c>
      <c r="Q212" s="71"/>
      <c r="R212" s="86"/>
    </row>
    <row r="213" spans="1:19" ht="12.75" customHeight="1" x14ac:dyDescent="0.25">
      <c r="A213" s="1229"/>
      <c r="B213" s="1232"/>
      <c r="C213" s="1234"/>
      <c r="D213" s="904"/>
      <c r="E213" s="316"/>
      <c r="F213" s="316"/>
      <c r="G213" s="316"/>
      <c r="H213" s="316"/>
      <c r="I213" s="316"/>
      <c r="J213" s="316"/>
      <c r="K213" s="316"/>
      <c r="L213" s="316">
        <f>E213-F213-G213-H213-I213-J213</f>
        <v>0</v>
      </c>
      <c r="M213" s="316"/>
      <c r="N213" s="316">
        <f>L213-M213</f>
        <v>0</v>
      </c>
      <c r="O213" s="394"/>
      <c r="P213" s="395"/>
      <c r="Q213" s="71"/>
      <c r="R213" s="86"/>
    </row>
    <row r="214" spans="1:19" ht="12.75" customHeight="1" x14ac:dyDescent="0.25">
      <c r="A214" s="1229"/>
      <c r="B214" s="1232"/>
      <c r="C214" s="1234"/>
      <c r="D214" s="904"/>
      <c r="E214" s="316"/>
      <c r="F214" s="316"/>
      <c r="G214" s="316"/>
      <c r="H214" s="316"/>
      <c r="I214" s="316"/>
      <c r="J214" s="316"/>
      <c r="K214" s="316"/>
      <c r="L214" s="316">
        <f>E214-F214-G214-H214-I214-J214</f>
        <v>0</v>
      </c>
      <c r="M214" s="316"/>
      <c r="N214" s="316">
        <f>L214-M214</f>
        <v>0</v>
      </c>
      <c r="O214" s="394"/>
      <c r="P214" s="395"/>
      <c r="Q214" s="71"/>
      <c r="R214" s="86"/>
    </row>
    <row r="215" spans="1:19" ht="12.75" customHeight="1" x14ac:dyDescent="0.25">
      <c r="A215" s="905"/>
      <c r="B215" s="1232"/>
      <c r="C215" s="1235"/>
      <c r="D215" s="904"/>
      <c r="E215" s="316"/>
      <c r="F215" s="316"/>
      <c r="G215" s="316"/>
      <c r="H215" s="316"/>
      <c r="I215" s="316"/>
      <c r="J215" s="316"/>
      <c r="K215" s="316"/>
      <c r="L215" s="316">
        <f>E215-F215-G215-H215-I215-J215</f>
        <v>0</v>
      </c>
      <c r="M215" s="316"/>
      <c r="N215" s="316">
        <f>L215-M215</f>
        <v>0</v>
      </c>
      <c r="O215" s="394"/>
      <c r="P215" s="395"/>
      <c r="Q215" s="71"/>
      <c r="R215" s="86"/>
    </row>
    <row r="216" spans="1:19" ht="12.75" customHeight="1" x14ac:dyDescent="0.25">
      <c r="A216" s="1229"/>
      <c r="B216" s="1230"/>
      <c r="C216" s="1231"/>
      <c r="D216" s="904"/>
      <c r="E216" s="319">
        <f>SUM(E211:E215)</f>
        <v>14.97855</v>
      </c>
      <c r="F216" s="319">
        <f>SUM(F211:F215)</f>
        <v>0.74892999999999998</v>
      </c>
      <c r="G216" s="319">
        <f>SUM(G211:G215)</f>
        <v>0</v>
      </c>
      <c r="H216" s="319">
        <f>SUM(H211:H214)</f>
        <v>0</v>
      </c>
      <c r="I216" s="319">
        <f>SUM(I211:I214)</f>
        <v>0</v>
      </c>
      <c r="J216" s="319">
        <f>SUM(J211:J215)</f>
        <v>1.1383736</v>
      </c>
      <c r="K216" s="319">
        <f>SUM(K211:K214)</f>
        <v>0</v>
      </c>
      <c r="L216" s="319">
        <f>SUM(L211:L215)</f>
        <v>13.091246399999999</v>
      </c>
      <c r="M216" s="1118">
        <f>SUM(M211:M215)</f>
        <v>13.091999999999999</v>
      </c>
      <c r="N216" s="319">
        <f>SUM(N211:N214)</f>
        <v>-7.5360000000035399E-4</v>
      </c>
      <c r="O216" s="394"/>
      <c r="P216" s="395"/>
      <c r="Q216" s="71"/>
      <c r="R216" s="86"/>
    </row>
    <row r="217" spans="1:19" ht="12.75" customHeight="1" x14ac:dyDescent="0.25">
      <c r="A217" s="1229">
        <v>35</v>
      </c>
      <c r="B217" s="1232" t="s">
        <v>463</v>
      </c>
      <c r="C217" s="1233" t="s">
        <v>821</v>
      </c>
      <c r="D217" s="904">
        <v>1</v>
      </c>
      <c r="E217" s="910">
        <v>13.054391000000001</v>
      </c>
      <c r="F217" s="910">
        <v>0.65271999999999997</v>
      </c>
      <c r="G217" s="910"/>
      <c r="H217" s="910"/>
      <c r="I217" s="910"/>
      <c r="J217" s="910">
        <v>0.99213399999999996</v>
      </c>
      <c r="K217" s="910"/>
      <c r="L217" s="910">
        <f>E217-F217-G217-H217-I217-J217</f>
        <v>11.409537</v>
      </c>
      <c r="M217" s="910">
        <f>10.4+1.01</f>
        <v>11.41</v>
      </c>
      <c r="N217" s="316">
        <f>L217-M217</f>
        <v>-4.6299999999988017E-4</v>
      </c>
      <c r="O217" s="394" t="s">
        <v>863</v>
      </c>
      <c r="P217" s="395" t="s">
        <v>864</v>
      </c>
      <c r="Q217" s="71"/>
      <c r="R217" s="86"/>
    </row>
    <row r="218" spans="1:19" ht="12.75" customHeight="1" x14ac:dyDescent="0.25">
      <c r="A218" s="1229"/>
      <c r="B218" s="1232"/>
      <c r="C218" s="1234"/>
      <c r="D218" s="904">
        <v>2</v>
      </c>
      <c r="E218" s="910">
        <v>1.8620000000000001</v>
      </c>
      <c r="F218" s="910">
        <v>9.2999999999999999E-2</v>
      </c>
      <c r="G218" s="910"/>
      <c r="H218" s="910"/>
      <c r="I218" s="910"/>
      <c r="J218" s="910">
        <v>0.14149999999999999</v>
      </c>
      <c r="K218" s="910"/>
      <c r="L218" s="910">
        <f>E218-F218-G218-H218-I218-J218</f>
        <v>1.6275000000000002</v>
      </c>
      <c r="M218" s="910">
        <f>L218</f>
        <v>1.6275000000000002</v>
      </c>
      <c r="N218" s="316">
        <f>L218-M218</f>
        <v>0</v>
      </c>
      <c r="O218" s="394">
        <v>200813</v>
      </c>
      <c r="P218" s="395">
        <v>45812</v>
      </c>
      <c r="Q218" s="71"/>
      <c r="R218" s="86"/>
    </row>
    <row r="219" spans="1:19" ht="12.75" customHeight="1" x14ac:dyDescent="0.25">
      <c r="A219" s="1229"/>
      <c r="B219" s="1232"/>
      <c r="C219" s="1234"/>
      <c r="D219" s="904"/>
      <c r="E219" s="316"/>
      <c r="F219" s="316"/>
      <c r="G219" s="316"/>
      <c r="H219" s="316"/>
      <c r="I219" s="316"/>
      <c r="J219" s="316"/>
      <c r="K219" s="316"/>
      <c r="L219" s="316">
        <f>E219-F219-G219-H219-I219-J219</f>
        <v>0</v>
      </c>
      <c r="M219" s="316"/>
      <c r="N219" s="316">
        <f>L219-M219</f>
        <v>0</v>
      </c>
      <c r="O219" s="394"/>
      <c r="P219" s="395"/>
      <c r="Q219" s="71"/>
      <c r="R219" s="86"/>
    </row>
    <row r="220" spans="1:19" ht="12.75" customHeight="1" x14ac:dyDescent="0.25">
      <c r="A220" s="1229"/>
      <c r="B220" s="1232"/>
      <c r="C220" s="1234"/>
      <c r="D220" s="904"/>
      <c r="E220" s="316"/>
      <c r="F220" s="316"/>
      <c r="G220" s="316"/>
      <c r="H220" s="316"/>
      <c r="I220" s="316"/>
      <c r="J220" s="316"/>
      <c r="K220" s="316"/>
      <c r="L220" s="316">
        <f>E220-F220-G220-H220-I220-J220</f>
        <v>0</v>
      </c>
      <c r="M220" s="316"/>
      <c r="N220" s="316">
        <f>L220-M220</f>
        <v>0</v>
      </c>
      <c r="O220" s="394"/>
      <c r="P220" s="395"/>
      <c r="Q220" s="71"/>
      <c r="R220" s="86"/>
    </row>
    <row r="221" spans="1:19" ht="12.75" customHeight="1" x14ac:dyDescent="0.25">
      <c r="A221" s="905"/>
      <c r="B221" s="1232"/>
      <c r="C221" s="1235"/>
      <c r="D221" s="904"/>
      <c r="E221" s="316"/>
      <c r="F221" s="316"/>
      <c r="G221" s="316"/>
      <c r="H221" s="316"/>
      <c r="I221" s="316"/>
      <c r="J221" s="316"/>
      <c r="K221" s="316"/>
      <c r="L221" s="316">
        <f>E221-F221-G221-H221-I221-J221</f>
        <v>0</v>
      </c>
      <c r="M221" s="316"/>
      <c r="N221" s="316">
        <f>L221-M221</f>
        <v>0</v>
      </c>
      <c r="O221" s="394"/>
      <c r="P221" s="395"/>
      <c r="Q221" s="71"/>
      <c r="R221" s="86"/>
    </row>
    <row r="222" spans="1:19" ht="12.75" customHeight="1" x14ac:dyDescent="0.25">
      <c r="A222" s="1229"/>
      <c r="B222" s="1230"/>
      <c r="C222" s="1231"/>
      <c r="D222" s="904"/>
      <c r="E222" s="319">
        <f>SUM(E217:E221)</f>
        <v>14.916391000000001</v>
      </c>
      <c r="F222" s="319">
        <f>SUM(F217:F221)</f>
        <v>0.74571999999999994</v>
      </c>
      <c r="G222" s="319">
        <f>SUM(G217:G221)</f>
        <v>0</v>
      </c>
      <c r="H222" s="319">
        <f>SUM(H217:H220)</f>
        <v>0</v>
      </c>
      <c r="I222" s="319">
        <f>SUM(I217:I220)</f>
        <v>0</v>
      </c>
      <c r="J222" s="319">
        <f>SUM(J217:J221)</f>
        <v>1.133634</v>
      </c>
      <c r="K222" s="319">
        <f>SUM(K217:K220)</f>
        <v>0</v>
      </c>
      <c r="L222" s="319">
        <f>SUM(L217:L221)</f>
        <v>13.037037</v>
      </c>
      <c r="M222" s="1118">
        <f>SUM(M217:M221)</f>
        <v>13.0375</v>
      </c>
      <c r="N222" s="319">
        <f>SUM(N217:N220)</f>
        <v>-4.6299999999988017E-4</v>
      </c>
      <c r="O222" s="394"/>
      <c r="P222" s="395"/>
      <c r="Q222" s="71"/>
      <c r="R222" s="86"/>
    </row>
    <row r="223" spans="1:19" ht="12.75" customHeight="1" x14ac:dyDescent="0.25">
      <c r="A223" s="1229">
        <v>36</v>
      </c>
      <c r="B223" s="1232" t="s">
        <v>815</v>
      </c>
      <c r="C223" s="1233" t="s">
        <v>822</v>
      </c>
      <c r="D223" s="904">
        <v>1</v>
      </c>
      <c r="E223" s="910">
        <v>3.393354</v>
      </c>
      <c r="F223" s="910">
        <v>0.16966700000000001</v>
      </c>
      <c r="G223" s="910"/>
      <c r="H223" s="910"/>
      <c r="I223" s="910"/>
      <c r="J223" s="910">
        <v>0.25789499999999999</v>
      </c>
      <c r="K223" s="910"/>
      <c r="L223" s="910">
        <f>E223-F223-G223-H223-I223-J223</f>
        <v>2.965792</v>
      </c>
      <c r="M223" s="910">
        <v>2.9660000000000002</v>
      </c>
      <c r="N223" s="316">
        <f>L223-M223</f>
        <v>-2.0800000000020802E-4</v>
      </c>
      <c r="O223" s="394">
        <v>196486</v>
      </c>
      <c r="P223" s="395">
        <v>45744</v>
      </c>
      <c r="Q223" s="71"/>
      <c r="R223" s="86"/>
    </row>
    <row r="224" spans="1:19" ht="12.75" customHeight="1" x14ac:dyDescent="0.25">
      <c r="A224" s="1229"/>
      <c r="B224" s="1232"/>
      <c r="C224" s="1234"/>
      <c r="D224" s="904">
        <v>2</v>
      </c>
      <c r="E224" s="910">
        <v>1.278</v>
      </c>
      <c r="F224" s="910">
        <f>E224*0.05</f>
        <v>6.3899999999999998E-2</v>
      </c>
      <c r="G224" s="910"/>
      <c r="H224" s="910"/>
      <c r="I224" s="910"/>
      <c r="J224" s="910">
        <v>9.7000000000000003E-2</v>
      </c>
      <c r="K224" s="910"/>
      <c r="L224" s="910">
        <f>E224-F224-G224-H224-I224-J224</f>
        <v>1.1171</v>
      </c>
      <c r="M224" s="910">
        <v>1.117</v>
      </c>
      <c r="N224" s="316">
        <f>L224-M224</f>
        <v>9.9999999999988987E-5</v>
      </c>
      <c r="O224" s="394">
        <v>198974</v>
      </c>
      <c r="P224" s="395">
        <v>45796</v>
      </c>
      <c r="Q224" s="71"/>
      <c r="R224" s="86"/>
    </row>
    <row r="225" spans="1:18" ht="12.75" customHeight="1" x14ac:dyDescent="0.25">
      <c r="A225" s="1229"/>
      <c r="B225" s="1232"/>
      <c r="C225" s="1234"/>
      <c r="D225" s="904">
        <v>3</v>
      </c>
      <c r="E225" s="910">
        <v>0.21740000000000001</v>
      </c>
      <c r="F225" s="910">
        <v>1.0999999999999999E-2</v>
      </c>
      <c r="G225" s="910"/>
      <c r="H225" s="910"/>
      <c r="I225" s="910"/>
      <c r="J225" s="910">
        <v>1.6E-2</v>
      </c>
      <c r="K225" s="910"/>
      <c r="L225" s="910">
        <f>E225-F225-G225-H225-I225-J225</f>
        <v>0.19040000000000001</v>
      </c>
      <c r="M225" s="910">
        <f>L225</f>
        <v>0.19040000000000001</v>
      </c>
      <c r="N225" s="316">
        <f>L225-M225</f>
        <v>0</v>
      </c>
      <c r="O225" s="394">
        <v>200814</v>
      </c>
      <c r="P225" s="395">
        <v>45812</v>
      </c>
      <c r="Q225" s="71"/>
      <c r="R225" s="86"/>
    </row>
    <row r="226" spans="1:18" ht="12.75" customHeight="1" x14ac:dyDescent="0.25">
      <c r="A226" s="1229"/>
      <c r="B226" s="1232"/>
      <c r="C226" s="1234"/>
      <c r="D226" s="904"/>
      <c r="E226" s="316"/>
      <c r="F226" s="316"/>
      <c r="G226" s="316"/>
      <c r="H226" s="316"/>
      <c r="I226" s="316"/>
      <c r="J226" s="316"/>
      <c r="K226" s="316"/>
      <c r="L226" s="316">
        <f>E226-F226-G226-H226-I226-J226</f>
        <v>0</v>
      </c>
      <c r="M226" s="316"/>
      <c r="N226" s="316">
        <f>L226-M226</f>
        <v>0</v>
      </c>
      <c r="O226" s="394"/>
      <c r="P226" s="395"/>
      <c r="Q226" s="71"/>
      <c r="R226" s="86"/>
    </row>
    <row r="227" spans="1:18" ht="12.75" customHeight="1" x14ac:dyDescent="0.25">
      <c r="A227" s="905"/>
      <c r="B227" s="1232"/>
      <c r="C227" s="1235"/>
      <c r="D227" s="904"/>
      <c r="E227" s="316"/>
      <c r="F227" s="316"/>
      <c r="G227" s="316"/>
      <c r="H227" s="316"/>
      <c r="I227" s="316"/>
      <c r="J227" s="316"/>
      <c r="K227" s="316"/>
      <c r="L227" s="316">
        <f>E227-F227-G227-H227-I227-J227</f>
        <v>0</v>
      </c>
      <c r="M227" s="316"/>
      <c r="N227" s="316">
        <f>L227-M227</f>
        <v>0</v>
      </c>
      <c r="O227" s="394"/>
      <c r="P227" s="395"/>
      <c r="Q227" s="71"/>
      <c r="R227" s="86"/>
    </row>
    <row r="228" spans="1:18" ht="12.75" customHeight="1" x14ac:dyDescent="0.25">
      <c r="A228" s="1229"/>
      <c r="B228" s="1230"/>
      <c r="C228" s="1231"/>
      <c r="D228" s="904"/>
      <c r="E228" s="319">
        <f>SUM(E223:E227)</f>
        <v>4.8887539999999996</v>
      </c>
      <c r="F228" s="319">
        <f>SUM(F223:F227)</f>
        <v>0.24456700000000003</v>
      </c>
      <c r="G228" s="319">
        <f>SUM(G223:G227)</f>
        <v>0</v>
      </c>
      <c r="H228" s="319">
        <f>SUM(H223:H226)</f>
        <v>0</v>
      </c>
      <c r="I228" s="319">
        <f>SUM(I223:I226)</f>
        <v>0</v>
      </c>
      <c r="J228" s="319">
        <f>SUM(J223:J227)</f>
        <v>0.37089499999999997</v>
      </c>
      <c r="K228" s="319">
        <f>SUM(K223:K226)</f>
        <v>0</v>
      </c>
      <c r="L228" s="319">
        <f>SUM(L223:L227)</f>
        <v>4.2732920000000005</v>
      </c>
      <c r="M228" s="1118">
        <f>SUM(M223:M227)</f>
        <v>4.2734000000000005</v>
      </c>
      <c r="N228" s="319">
        <f>SUM(N223:N226)</f>
        <v>-1.0800000000021903E-4</v>
      </c>
      <c r="O228" s="394"/>
      <c r="P228" s="395"/>
      <c r="Q228" s="71"/>
      <c r="R228" s="86"/>
    </row>
    <row r="229" spans="1:18" ht="12.75" customHeight="1" x14ac:dyDescent="0.25">
      <c r="A229" s="1229">
        <v>37</v>
      </c>
      <c r="B229" s="1232" t="s">
        <v>655</v>
      </c>
      <c r="C229" s="1233" t="s">
        <v>823</v>
      </c>
      <c r="D229" s="904">
        <v>1</v>
      </c>
      <c r="E229" s="910">
        <v>3.2230310000000002</v>
      </c>
      <c r="F229" s="910">
        <v>0.16115199999999999</v>
      </c>
      <c r="G229" s="910"/>
      <c r="H229" s="910"/>
      <c r="I229" s="910"/>
      <c r="J229" s="910">
        <v>0.24459</v>
      </c>
      <c r="K229" s="910"/>
      <c r="L229" s="910">
        <f>E229-F229-G229-H229-I229-J229</f>
        <v>2.8172890000000002</v>
      </c>
      <c r="M229" s="910">
        <f>L229</f>
        <v>2.8172890000000002</v>
      </c>
      <c r="N229" s="910">
        <f>L229-M229</f>
        <v>0</v>
      </c>
      <c r="O229" s="394">
        <v>196487</v>
      </c>
      <c r="P229" s="395">
        <v>45744</v>
      </c>
      <c r="Q229" s="71"/>
      <c r="R229" s="86"/>
    </row>
    <row r="230" spans="1:18" ht="12.75" customHeight="1" x14ac:dyDescent="0.25">
      <c r="A230" s="1229"/>
      <c r="B230" s="1232"/>
      <c r="C230" s="1234"/>
      <c r="D230" s="1105">
        <v>2</v>
      </c>
      <c r="E230" s="910">
        <v>2.6269999999999998</v>
      </c>
      <c r="F230" s="910">
        <v>0.13100000000000001</v>
      </c>
      <c r="G230" s="910"/>
      <c r="H230" s="910"/>
      <c r="I230" s="910"/>
      <c r="J230" s="910">
        <v>0.2</v>
      </c>
      <c r="K230" s="910"/>
      <c r="L230" s="910">
        <f>E230-F230-G230-H230-I230-J230</f>
        <v>2.2959999999999994</v>
      </c>
      <c r="M230" s="910">
        <v>2</v>
      </c>
      <c r="N230" s="910">
        <f>L230-M230</f>
        <v>0.29599999999999937</v>
      </c>
      <c r="O230" s="1106" t="s">
        <v>931</v>
      </c>
      <c r="P230" s="1107">
        <v>45856</v>
      </c>
      <c r="Q230" s="71"/>
      <c r="R230" s="86"/>
    </row>
    <row r="231" spans="1:18" ht="12.75" customHeight="1" x14ac:dyDescent="0.25">
      <c r="A231" s="1229"/>
      <c r="B231" s="1232"/>
      <c r="C231" s="1234"/>
      <c r="D231" s="904"/>
      <c r="E231" s="316"/>
      <c r="F231" s="316"/>
      <c r="G231" s="316"/>
      <c r="H231" s="316"/>
      <c r="I231" s="316"/>
      <c r="J231" s="316"/>
      <c r="K231" s="316"/>
      <c r="L231" s="316">
        <f>E231-F231-G231-H231-I231-J231</f>
        <v>0</v>
      </c>
      <c r="M231" s="316"/>
      <c r="N231" s="316">
        <f>L231-M231</f>
        <v>0</v>
      </c>
      <c r="O231" s="394"/>
      <c r="P231" s="395"/>
      <c r="Q231" s="71"/>
      <c r="R231" s="86"/>
    </row>
    <row r="232" spans="1:18" ht="12.75" customHeight="1" x14ac:dyDescent="0.25">
      <c r="A232" s="1229"/>
      <c r="B232" s="1232"/>
      <c r="C232" s="1234"/>
      <c r="D232" s="904"/>
      <c r="E232" s="316"/>
      <c r="F232" s="316"/>
      <c r="G232" s="316"/>
      <c r="H232" s="316"/>
      <c r="I232" s="316"/>
      <c r="J232" s="316"/>
      <c r="K232" s="316"/>
      <c r="L232" s="316">
        <f>E232-F232-G232-H232-I232-J232</f>
        <v>0</v>
      </c>
      <c r="M232" s="316"/>
      <c r="N232" s="316">
        <f>L232-M232</f>
        <v>0</v>
      </c>
      <c r="O232" s="394"/>
      <c r="P232" s="395"/>
      <c r="Q232" s="71"/>
      <c r="R232" s="86"/>
    </row>
    <row r="233" spans="1:18" ht="12.75" customHeight="1" x14ac:dyDescent="0.25">
      <c r="A233" s="905"/>
      <c r="B233" s="1232"/>
      <c r="C233" s="1235"/>
      <c r="D233" s="904"/>
      <c r="E233" s="316"/>
      <c r="F233" s="316"/>
      <c r="G233" s="316"/>
      <c r="H233" s="316"/>
      <c r="I233" s="316"/>
      <c r="J233" s="316"/>
      <c r="K233" s="316"/>
      <c r="L233" s="316">
        <f>E233-F233-G233-H233-I233-J233</f>
        <v>0</v>
      </c>
      <c r="M233" s="316"/>
      <c r="N233" s="316">
        <f>L233-M233</f>
        <v>0</v>
      </c>
      <c r="O233" s="394"/>
      <c r="P233" s="395"/>
      <c r="Q233" s="71"/>
      <c r="R233" s="86"/>
    </row>
    <row r="234" spans="1:18" ht="12.75" customHeight="1" x14ac:dyDescent="0.25">
      <c r="A234" s="1229"/>
      <c r="B234" s="1230"/>
      <c r="C234" s="1231"/>
      <c r="D234" s="904"/>
      <c r="E234" s="319">
        <f>SUM(E229:E233)</f>
        <v>5.8500309999999995</v>
      </c>
      <c r="F234" s="319">
        <f>SUM(F229:F233)</f>
        <v>0.29215199999999997</v>
      </c>
      <c r="G234" s="319">
        <f>SUM(G229:G233)</f>
        <v>0</v>
      </c>
      <c r="H234" s="319">
        <f>SUM(H229:H232)</f>
        <v>0</v>
      </c>
      <c r="I234" s="319">
        <f>SUM(I229:I232)</f>
        <v>0</v>
      </c>
      <c r="J234" s="319">
        <f>SUM(J229:J233)</f>
        <v>0.44459000000000004</v>
      </c>
      <c r="K234" s="319">
        <f>SUM(K229:K232)</f>
        <v>0</v>
      </c>
      <c r="L234" s="319">
        <f>SUM(L229:L233)</f>
        <v>5.113289</v>
      </c>
      <c r="M234" s="1118">
        <f>SUM(M229:M233)</f>
        <v>4.8172890000000006</v>
      </c>
      <c r="N234" s="486">
        <f>SUM(N229:N232)</f>
        <v>0.29599999999999937</v>
      </c>
      <c r="O234" s="394"/>
      <c r="P234" s="395"/>
      <c r="Q234" s="71"/>
      <c r="R234" s="86"/>
    </row>
    <row r="235" spans="1:18" ht="12.75" customHeight="1" x14ac:dyDescent="0.25">
      <c r="A235" s="1229">
        <v>38</v>
      </c>
      <c r="B235" s="1232" t="s">
        <v>825</v>
      </c>
      <c r="C235" s="1233" t="s">
        <v>824</v>
      </c>
      <c r="D235" s="904">
        <v>1</v>
      </c>
      <c r="E235" s="910">
        <v>1.8376140000000001</v>
      </c>
      <c r="F235" s="910">
        <v>9.1881000000000004E-2</v>
      </c>
      <c r="G235" s="910"/>
      <c r="H235" s="910"/>
      <c r="I235" s="910"/>
      <c r="J235" s="910">
        <v>0.139658</v>
      </c>
      <c r="K235" s="910"/>
      <c r="L235" s="910">
        <f>E235-F235-G235-H235-I235-J235</f>
        <v>1.6060749999999999</v>
      </c>
      <c r="M235" s="910">
        <v>1.6060000000000001</v>
      </c>
      <c r="N235" s="316">
        <f>L235-M235</f>
        <v>7.4999999999825206E-5</v>
      </c>
      <c r="O235" s="394">
        <v>196642</v>
      </c>
      <c r="P235" s="395">
        <v>45761</v>
      </c>
      <c r="Q235" s="71"/>
      <c r="R235" s="86"/>
    </row>
    <row r="236" spans="1:18" ht="12.75" customHeight="1" x14ac:dyDescent="0.25">
      <c r="A236" s="1229"/>
      <c r="B236" s="1232"/>
      <c r="C236" s="1234"/>
      <c r="D236" s="904">
        <v>2</v>
      </c>
      <c r="E236" s="910">
        <v>1.6114999999999999</v>
      </c>
      <c r="F236" s="910">
        <v>8.1449999999999995E-2</v>
      </c>
      <c r="G236" s="910"/>
      <c r="H236" s="910"/>
      <c r="I236" s="910"/>
      <c r="J236" s="910">
        <v>0.12239999999999999</v>
      </c>
      <c r="K236" s="910"/>
      <c r="L236" s="910">
        <f>E236-F236-G236-H236-I236-J236</f>
        <v>1.4076499999999998</v>
      </c>
      <c r="M236" s="910">
        <f>L236</f>
        <v>1.4076499999999998</v>
      </c>
      <c r="N236" s="316">
        <f>L236-M236</f>
        <v>0</v>
      </c>
      <c r="O236" s="394">
        <v>200856</v>
      </c>
      <c r="P236" s="395">
        <v>45813</v>
      </c>
      <c r="Q236" s="71"/>
      <c r="R236" s="86"/>
    </row>
    <row r="237" spans="1:18" ht="12.75" customHeight="1" x14ac:dyDescent="0.25">
      <c r="A237" s="1229"/>
      <c r="B237" s="1232"/>
      <c r="C237" s="1234"/>
      <c r="D237" s="904"/>
      <c r="E237" s="316"/>
      <c r="F237" s="316"/>
      <c r="G237" s="316"/>
      <c r="H237" s="316"/>
      <c r="I237" s="316"/>
      <c r="J237" s="316"/>
      <c r="K237" s="316"/>
      <c r="L237" s="316">
        <f>E237-F237-G237-H237-I237-J237</f>
        <v>0</v>
      </c>
      <c r="M237" s="316"/>
      <c r="N237" s="316">
        <f>L237-M237</f>
        <v>0</v>
      </c>
      <c r="O237" s="394"/>
      <c r="P237" s="395"/>
      <c r="Q237" s="71"/>
      <c r="R237" s="86"/>
    </row>
    <row r="238" spans="1:18" ht="12.75" customHeight="1" x14ac:dyDescent="0.25">
      <c r="A238" s="1229"/>
      <c r="B238" s="1232"/>
      <c r="C238" s="1234"/>
      <c r="D238" s="904"/>
      <c r="E238" s="316"/>
      <c r="F238" s="316"/>
      <c r="G238" s="316"/>
      <c r="H238" s="316"/>
      <c r="I238" s="316"/>
      <c r="J238" s="316"/>
      <c r="K238" s="316"/>
      <c r="L238" s="316">
        <f>E238-F238-G238-H238-I238-J238</f>
        <v>0</v>
      </c>
      <c r="M238" s="316"/>
      <c r="N238" s="316">
        <f>L238-M238</f>
        <v>0</v>
      </c>
      <c r="O238" s="394"/>
      <c r="P238" s="395"/>
      <c r="Q238" s="71"/>
      <c r="R238" s="86"/>
    </row>
    <row r="239" spans="1:18" ht="12.75" customHeight="1" x14ac:dyDescent="0.25">
      <c r="A239" s="905"/>
      <c r="B239" s="1232"/>
      <c r="C239" s="1235"/>
      <c r="D239" s="904"/>
      <c r="E239" s="316"/>
      <c r="F239" s="316"/>
      <c r="G239" s="316"/>
      <c r="H239" s="316"/>
      <c r="I239" s="316"/>
      <c r="J239" s="316"/>
      <c r="K239" s="316"/>
      <c r="L239" s="316">
        <f>E239-F239-G239-H239-I239-J239</f>
        <v>0</v>
      </c>
      <c r="M239" s="316"/>
      <c r="N239" s="316">
        <f>L239-M239</f>
        <v>0</v>
      </c>
      <c r="O239" s="394"/>
      <c r="P239" s="395"/>
      <c r="Q239" s="71"/>
      <c r="R239" s="86"/>
    </row>
    <row r="240" spans="1:18" ht="12.75" customHeight="1" x14ac:dyDescent="0.25">
      <c r="A240" s="1229"/>
      <c r="B240" s="1230"/>
      <c r="C240" s="1231"/>
      <c r="D240" s="904"/>
      <c r="E240" s="319">
        <f>SUM(E235:E239)</f>
        <v>3.4491139999999998</v>
      </c>
      <c r="F240" s="319">
        <f>SUM(F235:F239)</f>
        <v>0.17333100000000001</v>
      </c>
      <c r="G240" s="319">
        <f>SUM(G235:G239)</f>
        <v>0</v>
      </c>
      <c r="H240" s="319">
        <f>SUM(H235:H238)</f>
        <v>0</v>
      </c>
      <c r="I240" s="319">
        <f>SUM(I235:I238)</f>
        <v>0</v>
      </c>
      <c r="J240" s="319">
        <f>SUM(J235:J239)</f>
        <v>0.26205800000000001</v>
      </c>
      <c r="K240" s="319">
        <f>SUM(K235:K238)</f>
        <v>0</v>
      </c>
      <c r="L240" s="319">
        <f>SUM(L235:L239)</f>
        <v>3.013725</v>
      </c>
      <c r="M240" s="1118">
        <f>SUM(M235:M239)</f>
        <v>3.0136500000000002</v>
      </c>
      <c r="N240" s="319">
        <f>SUM(N235:N238)</f>
        <v>7.4999999999825206E-5</v>
      </c>
      <c r="O240" s="394"/>
      <c r="P240" s="395"/>
      <c r="Q240" s="71"/>
      <c r="R240" s="86"/>
    </row>
    <row r="241" spans="1:18" ht="12.75" customHeight="1" x14ac:dyDescent="0.25">
      <c r="A241" s="1229">
        <v>39</v>
      </c>
      <c r="B241" s="1232" t="s">
        <v>826</v>
      </c>
      <c r="C241" s="1233" t="s">
        <v>827</v>
      </c>
      <c r="D241" s="904">
        <v>1</v>
      </c>
      <c r="E241" s="910">
        <v>1.4133770000000001</v>
      </c>
      <c r="F241" s="910">
        <v>7.0667999999999995E-2</v>
      </c>
      <c r="G241" s="910">
        <v>0.24083399999999999</v>
      </c>
      <c r="H241" s="910"/>
      <c r="I241" s="910"/>
      <c r="J241" s="910">
        <v>8.8149000000000005E-2</v>
      </c>
      <c r="K241" s="910"/>
      <c r="L241" s="910">
        <f>E241-F241-G241-H241-I241-J241</f>
        <v>1.0137260000000001</v>
      </c>
      <c r="M241" s="910">
        <f>L241</f>
        <v>1.0137260000000001</v>
      </c>
      <c r="N241" s="910">
        <f>L241-M241</f>
        <v>0</v>
      </c>
      <c r="O241" s="394">
        <v>198964</v>
      </c>
      <c r="P241" s="395">
        <v>45793</v>
      </c>
      <c r="Q241" s="71"/>
      <c r="R241" s="86"/>
    </row>
    <row r="242" spans="1:18" ht="12.75" customHeight="1" x14ac:dyDescent="0.25">
      <c r="A242" s="1229"/>
      <c r="B242" s="1232"/>
      <c r="C242" s="1234"/>
      <c r="D242" s="1105">
        <v>2</v>
      </c>
      <c r="E242" s="910">
        <v>5.9930000000000003</v>
      </c>
      <c r="F242" s="910">
        <v>0.3</v>
      </c>
      <c r="G242" s="910">
        <v>1.8080000000000001</v>
      </c>
      <c r="H242" s="910"/>
      <c r="I242" s="910"/>
      <c r="J242" s="910">
        <v>0.311</v>
      </c>
      <c r="K242" s="910"/>
      <c r="L242" s="910">
        <f>E242-F242-G242-H242-I242-J242</f>
        <v>3.5740000000000007</v>
      </c>
      <c r="M242" s="910">
        <f>1+2</f>
        <v>3</v>
      </c>
      <c r="N242" s="910">
        <f>L242-M242</f>
        <v>0.57400000000000073</v>
      </c>
      <c r="O242" s="1106" t="s">
        <v>932</v>
      </c>
      <c r="P242" s="395">
        <v>45856</v>
      </c>
      <c r="Q242" s="71"/>
      <c r="R242" s="86"/>
    </row>
    <row r="243" spans="1:18" ht="12.75" customHeight="1" x14ac:dyDescent="0.25">
      <c r="A243" s="1229"/>
      <c r="B243" s="1232"/>
      <c r="C243" s="1234"/>
      <c r="D243" s="904"/>
      <c r="E243" s="316"/>
      <c r="F243" s="316"/>
      <c r="G243" s="316"/>
      <c r="H243" s="316"/>
      <c r="I243" s="316"/>
      <c r="J243" s="316"/>
      <c r="K243" s="316"/>
      <c r="L243" s="316">
        <f>E243-F243-G243-H243-I243-J243</f>
        <v>0</v>
      </c>
      <c r="M243" s="316"/>
      <c r="N243" s="316">
        <f>L243-M243</f>
        <v>0</v>
      </c>
      <c r="O243" s="394"/>
      <c r="P243" s="395"/>
      <c r="Q243" s="71"/>
      <c r="R243" s="86"/>
    </row>
    <row r="244" spans="1:18" ht="12.75" customHeight="1" x14ac:dyDescent="0.25">
      <c r="A244" s="1229"/>
      <c r="B244" s="1232"/>
      <c r="C244" s="1234"/>
      <c r="D244" s="904"/>
      <c r="E244" s="316"/>
      <c r="F244" s="316"/>
      <c r="G244" s="316"/>
      <c r="H244" s="316"/>
      <c r="I244" s="316"/>
      <c r="J244" s="316"/>
      <c r="K244" s="316"/>
      <c r="L244" s="316">
        <f>E244-F244-G244-H244-I244-J244</f>
        <v>0</v>
      </c>
      <c r="M244" s="316"/>
      <c r="N244" s="316">
        <f>L244-M244</f>
        <v>0</v>
      </c>
      <c r="O244" s="394"/>
      <c r="P244" s="395"/>
      <c r="Q244" s="71"/>
      <c r="R244" s="86"/>
    </row>
    <row r="245" spans="1:18" ht="12.75" customHeight="1" x14ac:dyDescent="0.25">
      <c r="A245" s="905"/>
      <c r="B245" s="1232"/>
      <c r="C245" s="1235"/>
      <c r="D245" s="904"/>
      <c r="E245" s="316"/>
      <c r="F245" s="316"/>
      <c r="G245" s="316"/>
      <c r="H245" s="316"/>
      <c r="I245" s="316"/>
      <c r="J245" s="316"/>
      <c r="K245" s="316"/>
      <c r="L245" s="316">
        <f>E245-F245-G245-H245-I245-J245</f>
        <v>0</v>
      </c>
      <c r="M245" s="316"/>
      <c r="N245" s="316">
        <f>L245-M245</f>
        <v>0</v>
      </c>
      <c r="O245" s="394"/>
      <c r="P245" s="395"/>
      <c r="Q245" s="71"/>
      <c r="R245" s="86"/>
    </row>
    <row r="246" spans="1:18" ht="12.75" customHeight="1" x14ac:dyDescent="0.25">
      <c r="A246" s="1229"/>
      <c r="B246" s="1230"/>
      <c r="C246" s="1231"/>
      <c r="D246" s="904"/>
      <c r="E246" s="319">
        <f>SUM(E241:E245)</f>
        <v>7.4063770000000009</v>
      </c>
      <c r="F246" s="319">
        <f>SUM(F241:F245)</f>
        <v>0.370668</v>
      </c>
      <c r="G246" s="319">
        <f>SUM(G241:G245)</f>
        <v>2.0488340000000003</v>
      </c>
      <c r="H246" s="319">
        <f>SUM(H241:H244)</f>
        <v>0</v>
      </c>
      <c r="I246" s="319">
        <f>SUM(I241:I244)</f>
        <v>0</v>
      </c>
      <c r="J246" s="319">
        <f>SUM(J241:J245)</f>
        <v>0.39914899999999998</v>
      </c>
      <c r="K246" s="319">
        <f>SUM(K241:K244)</f>
        <v>0</v>
      </c>
      <c r="L246" s="319">
        <f>SUM(L241:L245)</f>
        <v>4.5877260000000009</v>
      </c>
      <c r="M246" s="1118">
        <f>SUM(M241:M245)</f>
        <v>4.0137260000000001</v>
      </c>
      <c r="N246" s="486">
        <f>SUM(N241:N244)</f>
        <v>0.57400000000000073</v>
      </c>
      <c r="O246" s="394"/>
      <c r="P246" s="395"/>
      <c r="Q246" s="71"/>
      <c r="R246" s="86"/>
    </row>
    <row r="247" spans="1:18" ht="12.75" customHeight="1" x14ac:dyDescent="0.25">
      <c r="A247" s="1229">
        <v>40</v>
      </c>
      <c r="B247" s="1232" t="s">
        <v>829</v>
      </c>
      <c r="C247" s="1233" t="s">
        <v>828</v>
      </c>
      <c r="D247" s="904">
        <v>1</v>
      </c>
      <c r="E247" s="910">
        <v>1.610811</v>
      </c>
      <c r="F247" s="910">
        <v>8.054E-2</v>
      </c>
      <c r="G247" s="910"/>
      <c r="H247" s="910"/>
      <c r="I247" s="910"/>
      <c r="J247" s="910">
        <v>0.12242</v>
      </c>
      <c r="K247" s="910"/>
      <c r="L247" s="910">
        <f>E247-F247-G247-H247-I247-J247</f>
        <v>1.407851</v>
      </c>
      <c r="M247" s="910">
        <v>1.4079999999999999</v>
      </c>
      <c r="N247" s="910">
        <f>L247-M247</f>
        <v>-1.4899999999995472E-4</v>
      </c>
      <c r="O247" s="394">
        <v>197830</v>
      </c>
      <c r="P247" s="395">
        <v>45769</v>
      </c>
      <c r="Q247" s="71"/>
      <c r="R247" s="86"/>
    </row>
    <row r="248" spans="1:18" ht="12.75" customHeight="1" x14ac:dyDescent="0.25">
      <c r="A248" s="1229"/>
      <c r="B248" s="1232"/>
      <c r="C248" s="1234"/>
      <c r="D248" s="904">
        <v>2</v>
      </c>
      <c r="E248" s="910">
        <v>0.90300000000000002</v>
      </c>
      <c r="F248" s="910">
        <v>4.4999999999999998E-2</v>
      </c>
      <c r="G248" s="910"/>
      <c r="H248" s="910"/>
      <c r="I248" s="910"/>
      <c r="J248" s="910">
        <v>6.9000000000000006E-2</v>
      </c>
      <c r="K248" s="910"/>
      <c r="L248" s="910">
        <f>E248-F248-G248-H248-I248-J248</f>
        <v>0.78899999999999992</v>
      </c>
      <c r="M248" s="910"/>
      <c r="N248" s="910">
        <f>L248-M248</f>
        <v>0.78899999999999992</v>
      </c>
      <c r="O248" s="394"/>
      <c r="P248" s="395"/>
      <c r="Q248" s="71"/>
      <c r="R248" s="86"/>
    </row>
    <row r="249" spans="1:18" ht="12.75" customHeight="1" x14ac:dyDescent="0.25">
      <c r="A249" s="1229"/>
      <c r="B249" s="1232"/>
      <c r="C249" s="1234"/>
      <c r="D249" s="904"/>
      <c r="E249" s="316"/>
      <c r="F249" s="316"/>
      <c r="G249" s="316"/>
      <c r="H249" s="316"/>
      <c r="I249" s="316"/>
      <c r="J249" s="316"/>
      <c r="K249" s="316"/>
      <c r="L249" s="316">
        <f>E249-F249-G249-H249-I249-J249</f>
        <v>0</v>
      </c>
      <c r="M249" s="316"/>
      <c r="N249" s="316">
        <f>L249-M249</f>
        <v>0</v>
      </c>
      <c r="O249" s="394"/>
      <c r="P249" s="395"/>
      <c r="Q249" s="71"/>
      <c r="R249" s="86"/>
    </row>
    <row r="250" spans="1:18" ht="12.75" customHeight="1" x14ac:dyDescent="0.25">
      <c r="A250" s="1229"/>
      <c r="B250" s="1232"/>
      <c r="C250" s="1234"/>
      <c r="D250" s="904"/>
      <c r="E250" s="316"/>
      <c r="F250" s="316"/>
      <c r="G250" s="316"/>
      <c r="H250" s="316"/>
      <c r="I250" s="316"/>
      <c r="J250" s="316"/>
      <c r="K250" s="316"/>
      <c r="L250" s="316">
        <f>E250-F250-G250-H250-I250-J250</f>
        <v>0</v>
      </c>
      <c r="M250" s="316"/>
      <c r="N250" s="316">
        <f>L250-M250</f>
        <v>0</v>
      </c>
      <c r="O250" s="394"/>
      <c r="P250" s="395"/>
      <c r="Q250" s="71"/>
      <c r="R250" s="86"/>
    </row>
    <row r="251" spans="1:18" ht="12.75" customHeight="1" x14ac:dyDescent="0.25">
      <c r="A251" s="905"/>
      <c r="B251" s="1232"/>
      <c r="C251" s="1235"/>
      <c r="D251" s="904"/>
      <c r="E251" s="316"/>
      <c r="F251" s="316"/>
      <c r="G251" s="316"/>
      <c r="H251" s="316"/>
      <c r="I251" s="316"/>
      <c r="J251" s="316"/>
      <c r="K251" s="316"/>
      <c r="L251" s="316">
        <f>E251-F251-G251-H251-I251-J251</f>
        <v>0</v>
      </c>
      <c r="M251" s="316"/>
      <c r="N251" s="316">
        <f>L251-M251</f>
        <v>0</v>
      </c>
      <c r="O251" s="394"/>
      <c r="P251" s="395"/>
      <c r="Q251" s="71"/>
      <c r="R251" s="86"/>
    </row>
    <row r="252" spans="1:18" ht="12.75" customHeight="1" x14ac:dyDescent="0.25">
      <c r="A252" s="1229"/>
      <c r="B252" s="1230"/>
      <c r="C252" s="1231"/>
      <c r="D252" s="904"/>
      <c r="E252" s="319">
        <f>SUM(E247:E251)</f>
        <v>2.513811</v>
      </c>
      <c r="F252" s="319">
        <f>SUM(F247:F251)</f>
        <v>0.12553999999999998</v>
      </c>
      <c r="G252" s="319">
        <f>SUM(G247:G251)</f>
        <v>0</v>
      </c>
      <c r="H252" s="319">
        <f>SUM(H247:H250)</f>
        <v>0</v>
      </c>
      <c r="I252" s="319">
        <f>SUM(I247:I250)</f>
        <v>0</v>
      </c>
      <c r="J252" s="319">
        <f>SUM(J247:J251)</f>
        <v>0.19142000000000001</v>
      </c>
      <c r="K252" s="319">
        <f>SUM(K247:K250)</f>
        <v>0</v>
      </c>
      <c r="L252" s="319">
        <f>SUM(L247:L251)</f>
        <v>2.1968509999999997</v>
      </c>
      <c r="M252" s="1118">
        <f>SUM(M247:M251)</f>
        <v>1.4079999999999999</v>
      </c>
      <c r="N252" s="486">
        <f>SUM(N247:N250)</f>
        <v>0.78885099999999997</v>
      </c>
      <c r="O252" s="394"/>
      <c r="P252" s="395"/>
      <c r="Q252" s="71"/>
      <c r="R252" s="86"/>
    </row>
    <row r="253" spans="1:18" ht="12.75" customHeight="1" x14ac:dyDescent="0.25">
      <c r="A253" s="1229">
        <v>41</v>
      </c>
      <c r="B253" s="1232" t="s">
        <v>830</v>
      </c>
      <c r="C253" s="1233" t="s">
        <v>831</v>
      </c>
      <c r="D253" s="904">
        <v>1</v>
      </c>
      <c r="E253" s="910">
        <v>8.4113100000000003</v>
      </c>
      <c r="F253" s="910">
        <f>E253*0.05</f>
        <v>0.42056550000000004</v>
      </c>
      <c r="G253" s="910"/>
      <c r="H253" s="910"/>
      <c r="I253" s="910"/>
      <c r="J253" s="910">
        <v>0.63925900000000002</v>
      </c>
      <c r="K253" s="910"/>
      <c r="L253" s="910">
        <f>E253-F253-G253-H253-I253-J253</f>
        <v>7.3514854999999999</v>
      </c>
      <c r="M253" s="910">
        <v>5</v>
      </c>
      <c r="N253" s="316">
        <f>L253-M253</f>
        <v>2.3514854999999999</v>
      </c>
      <c r="O253" s="394">
        <v>200772</v>
      </c>
      <c r="P253" s="395">
        <v>45810</v>
      </c>
      <c r="Q253" s="71"/>
      <c r="R253" s="86"/>
    </row>
    <row r="254" spans="1:18" ht="12.75" customHeight="1" x14ac:dyDescent="0.25">
      <c r="A254" s="1229"/>
      <c r="B254" s="1232"/>
      <c r="C254" s="1234"/>
      <c r="D254" s="904"/>
      <c r="E254" s="316"/>
      <c r="F254" s="316"/>
      <c r="G254" s="316"/>
      <c r="H254" s="316"/>
      <c r="I254" s="316"/>
      <c r="J254" s="316"/>
      <c r="K254" s="316"/>
      <c r="L254" s="316">
        <f>E254-F254-G254-H254-I254-J254</f>
        <v>0</v>
      </c>
      <c r="M254" s="316"/>
      <c r="N254" s="316">
        <f>L254-M254</f>
        <v>0</v>
      </c>
      <c r="O254" s="394"/>
      <c r="P254" s="395"/>
      <c r="Q254" s="71"/>
      <c r="R254" s="86"/>
    </row>
    <row r="255" spans="1:18" ht="12.75" customHeight="1" x14ac:dyDescent="0.25">
      <c r="A255" s="1229"/>
      <c r="B255" s="1232"/>
      <c r="C255" s="1234"/>
      <c r="D255" s="904"/>
      <c r="E255" s="316"/>
      <c r="F255" s="316"/>
      <c r="G255" s="316"/>
      <c r="H255" s="316"/>
      <c r="I255" s="316"/>
      <c r="J255" s="316"/>
      <c r="K255" s="316"/>
      <c r="L255" s="316">
        <f>E255-F255-G255-H255-I255-J255</f>
        <v>0</v>
      </c>
      <c r="M255" s="316"/>
      <c r="N255" s="316">
        <f>L255-M255</f>
        <v>0</v>
      </c>
      <c r="O255" s="394"/>
      <c r="P255" s="395"/>
      <c r="Q255" s="71"/>
      <c r="R255" s="86"/>
    </row>
    <row r="256" spans="1:18" ht="12.75" customHeight="1" x14ac:dyDescent="0.25">
      <c r="A256" s="1229"/>
      <c r="B256" s="1232"/>
      <c r="C256" s="1234"/>
      <c r="D256" s="904"/>
      <c r="E256" s="316"/>
      <c r="F256" s="316"/>
      <c r="G256" s="316"/>
      <c r="H256" s="316"/>
      <c r="I256" s="316"/>
      <c r="J256" s="316"/>
      <c r="K256" s="316"/>
      <c r="L256" s="316">
        <f>E256-F256-G256-H256-I256-J256</f>
        <v>0</v>
      </c>
      <c r="M256" s="316"/>
      <c r="N256" s="316">
        <f>L256-M256</f>
        <v>0</v>
      </c>
      <c r="O256" s="394"/>
      <c r="P256" s="395"/>
      <c r="Q256" s="71"/>
      <c r="R256" s="86"/>
    </row>
    <row r="257" spans="1:18" ht="12.75" customHeight="1" x14ac:dyDescent="0.25">
      <c r="A257" s="905"/>
      <c r="B257" s="1232"/>
      <c r="C257" s="1235"/>
      <c r="D257" s="904"/>
      <c r="E257" s="316"/>
      <c r="F257" s="316"/>
      <c r="G257" s="316"/>
      <c r="H257" s="316"/>
      <c r="I257" s="316"/>
      <c r="J257" s="316"/>
      <c r="K257" s="316"/>
      <c r="L257" s="316">
        <f>E257-F257-G257-H257-I257-J257</f>
        <v>0</v>
      </c>
      <c r="M257" s="316"/>
      <c r="N257" s="316">
        <f>L257-M257</f>
        <v>0</v>
      </c>
      <c r="O257" s="394"/>
      <c r="P257" s="395"/>
      <c r="Q257" s="71"/>
      <c r="R257" s="86"/>
    </row>
    <row r="258" spans="1:18" ht="12.75" customHeight="1" x14ac:dyDescent="0.25">
      <c r="A258" s="1229"/>
      <c r="B258" s="1230"/>
      <c r="C258" s="1231"/>
      <c r="D258" s="904"/>
      <c r="E258" s="319">
        <f>SUM(E253:E257)</f>
        <v>8.4113100000000003</v>
      </c>
      <c r="F258" s="319">
        <f>SUM(F253:F257)</f>
        <v>0.42056550000000004</v>
      </c>
      <c r="G258" s="319">
        <f>SUM(G253:G257)</f>
        <v>0</v>
      </c>
      <c r="H258" s="319">
        <f>SUM(H253:H256)</f>
        <v>0</v>
      </c>
      <c r="I258" s="319">
        <f>SUM(I253:I256)</f>
        <v>0</v>
      </c>
      <c r="J258" s="319">
        <f>SUM(J253:J257)</f>
        <v>0.63925900000000002</v>
      </c>
      <c r="K258" s="319">
        <f>SUM(K253:K256)</f>
        <v>0</v>
      </c>
      <c r="L258" s="319">
        <f>SUM(L253:L257)</f>
        <v>7.3514854999999999</v>
      </c>
      <c r="M258" s="1118">
        <f>SUM(M253:M257)</f>
        <v>5</v>
      </c>
      <c r="N258" s="486">
        <f>SUM(N253:N256)</f>
        <v>2.3514854999999999</v>
      </c>
      <c r="O258" s="394"/>
      <c r="P258" s="395"/>
      <c r="Q258" s="71"/>
      <c r="R258" s="86"/>
    </row>
    <row r="259" spans="1:18" ht="12.75" customHeight="1" x14ac:dyDescent="0.25">
      <c r="A259" s="1229">
        <v>42</v>
      </c>
      <c r="B259" s="1232" t="s">
        <v>830</v>
      </c>
      <c r="C259" s="1233" t="s">
        <v>832</v>
      </c>
      <c r="D259" s="904">
        <v>1</v>
      </c>
      <c r="E259" s="910">
        <v>6.2058439999999999</v>
      </c>
      <c r="F259" s="910">
        <f>E259*0.05</f>
        <v>0.31029220000000002</v>
      </c>
      <c r="G259" s="910"/>
      <c r="H259" s="910"/>
      <c r="I259" s="910"/>
      <c r="J259" s="910">
        <v>0.47164400000000001</v>
      </c>
      <c r="K259" s="910"/>
      <c r="L259" s="910">
        <f>E259-F259-G259-H259-I259-J259</f>
        <v>5.4239077999999994</v>
      </c>
      <c r="M259" s="910">
        <v>5.4240000000000004</v>
      </c>
      <c r="N259" s="316">
        <f>L259-M259</f>
        <v>-9.2200000000985938E-5</v>
      </c>
      <c r="O259" s="394" t="s">
        <v>861</v>
      </c>
      <c r="P259" s="395" t="s">
        <v>862</v>
      </c>
      <c r="Q259" s="71"/>
      <c r="R259" s="86"/>
    </row>
    <row r="260" spans="1:18" ht="12.75" customHeight="1" x14ac:dyDescent="0.25">
      <c r="A260" s="1229"/>
      <c r="B260" s="1232"/>
      <c r="C260" s="1234"/>
      <c r="D260" s="904"/>
      <c r="E260" s="316"/>
      <c r="F260" s="316"/>
      <c r="G260" s="316"/>
      <c r="H260" s="316"/>
      <c r="I260" s="316"/>
      <c r="J260" s="316"/>
      <c r="K260" s="316"/>
      <c r="L260" s="316">
        <f>E260-F260-G260-H260-I260-J260</f>
        <v>0</v>
      </c>
      <c r="M260" s="316"/>
      <c r="N260" s="316">
        <f>L260-M260</f>
        <v>0</v>
      </c>
      <c r="O260" s="394"/>
      <c r="P260" s="395"/>
      <c r="Q260" s="71"/>
      <c r="R260" s="86"/>
    </row>
    <row r="261" spans="1:18" ht="12.75" customHeight="1" x14ac:dyDescent="0.25">
      <c r="A261" s="1229"/>
      <c r="B261" s="1232"/>
      <c r="C261" s="1234"/>
      <c r="D261" s="904"/>
      <c r="E261" s="316"/>
      <c r="F261" s="316"/>
      <c r="G261" s="316"/>
      <c r="H261" s="316"/>
      <c r="I261" s="316"/>
      <c r="J261" s="316"/>
      <c r="K261" s="316"/>
      <c r="L261" s="316">
        <f>E261-F261-G261-H261-I261-J261</f>
        <v>0</v>
      </c>
      <c r="M261" s="316"/>
      <c r="N261" s="316">
        <f>L261-M261</f>
        <v>0</v>
      </c>
      <c r="O261" s="394"/>
      <c r="P261" s="395"/>
      <c r="Q261" s="71"/>
      <c r="R261" s="86"/>
    </row>
    <row r="262" spans="1:18" ht="12.75" customHeight="1" x14ac:dyDescent="0.25">
      <c r="A262" s="1229"/>
      <c r="B262" s="1232"/>
      <c r="C262" s="1234"/>
      <c r="D262" s="904"/>
      <c r="E262" s="316"/>
      <c r="F262" s="316"/>
      <c r="G262" s="316"/>
      <c r="H262" s="316"/>
      <c r="I262" s="316"/>
      <c r="J262" s="316"/>
      <c r="K262" s="316"/>
      <c r="L262" s="316">
        <f>E262-F262-G262-H262-I262-J262</f>
        <v>0</v>
      </c>
      <c r="M262" s="316"/>
      <c r="N262" s="316">
        <f>L262-M262</f>
        <v>0</v>
      </c>
      <c r="O262" s="394"/>
      <c r="P262" s="395"/>
      <c r="Q262" s="71"/>
      <c r="R262" s="86"/>
    </row>
    <row r="263" spans="1:18" ht="12.75" customHeight="1" x14ac:dyDescent="0.25">
      <c r="A263" s="905"/>
      <c r="B263" s="1232"/>
      <c r="C263" s="1235"/>
      <c r="D263" s="904"/>
      <c r="E263" s="316"/>
      <c r="F263" s="316"/>
      <c r="G263" s="316"/>
      <c r="H263" s="316"/>
      <c r="I263" s="316"/>
      <c r="J263" s="316"/>
      <c r="K263" s="316"/>
      <c r="L263" s="316">
        <f>E263-F263-G263-H263-I263-J263</f>
        <v>0</v>
      </c>
      <c r="M263" s="316"/>
      <c r="N263" s="316">
        <f>L263-M263</f>
        <v>0</v>
      </c>
      <c r="O263" s="394"/>
      <c r="P263" s="395"/>
      <c r="Q263" s="71"/>
      <c r="R263" s="86"/>
    </row>
    <row r="264" spans="1:18" ht="12.75" customHeight="1" x14ac:dyDescent="0.25">
      <c r="A264" s="1229"/>
      <c r="B264" s="1230"/>
      <c r="C264" s="1231"/>
      <c r="D264" s="904"/>
      <c r="E264" s="319">
        <f>SUM(E259:E263)</f>
        <v>6.2058439999999999</v>
      </c>
      <c r="F264" s="319">
        <f>SUM(F259:F263)</f>
        <v>0.31029220000000002</v>
      </c>
      <c r="G264" s="319">
        <f>SUM(G259:G263)</f>
        <v>0</v>
      </c>
      <c r="H264" s="319">
        <f>SUM(H259:H262)</f>
        <v>0</v>
      </c>
      <c r="I264" s="319">
        <f>SUM(I259:I262)</f>
        <v>0</v>
      </c>
      <c r="J264" s="319">
        <f>SUM(J259:J263)</f>
        <v>0.47164400000000001</v>
      </c>
      <c r="K264" s="319">
        <f>SUM(K259:K262)</f>
        <v>0</v>
      </c>
      <c r="L264" s="319">
        <f>SUM(L259:L263)</f>
        <v>5.4239077999999994</v>
      </c>
      <c r="M264" s="1118">
        <f>SUM(M259:M263)</f>
        <v>5.4240000000000004</v>
      </c>
      <c r="N264" s="319">
        <f>SUM(N259:N262)</f>
        <v>-9.2200000000985938E-5</v>
      </c>
      <c r="O264" s="394"/>
      <c r="P264" s="395"/>
      <c r="Q264" s="71"/>
      <c r="R264" s="86"/>
    </row>
    <row r="265" spans="1:18" ht="12.75" customHeight="1" x14ac:dyDescent="0.25">
      <c r="A265" s="1229">
        <v>43</v>
      </c>
      <c r="B265" s="1232" t="s">
        <v>830</v>
      </c>
      <c r="C265" s="1233" t="s">
        <v>833</v>
      </c>
      <c r="D265" s="904">
        <v>1</v>
      </c>
      <c r="E265" s="316"/>
      <c r="F265" s="316"/>
      <c r="G265" s="316"/>
      <c r="H265" s="316"/>
      <c r="I265" s="316"/>
      <c r="J265" s="316"/>
      <c r="K265" s="316"/>
      <c r="L265" s="316">
        <f>E265-F265-G265-H265-I265-J265</f>
        <v>0</v>
      </c>
      <c r="M265" s="316"/>
      <c r="N265" s="316">
        <f>L265-M265</f>
        <v>0</v>
      </c>
      <c r="O265" s="394"/>
      <c r="P265" s="395"/>
      <c r="Q265" s="71"/>
      <c r="R265" s="86"/>
    </row>
    <row r="266" spans="1:18" ht="12.75" customHeight="1" x14ac:dyDescent="0.25">
      <c r="A266" s="1229"/>
      <c r="B266" s="1232"/>
      <c r="C266" s="1234"/>
      <c r="D266" s="904"/>
      <c r="E266" s="316"/>
      <c r="F266" s="316"/>
      <c r="G266" s="316"/>
      <c r="H266" s="316"/>
      <c r="I266" s="316"/>
      <c r="J266" s="316"/>
      <c r="K266" s="316"/>
      <c r="L266" s="316">
        <f>E266-F266-G266-H266-I266-J266</f>
        <v>0</v>
      </c>
      <c r="M266" s="316"/>
      <c r="N266" s="316">
        <f>L266-M266</f>
        <v>0</v>
      </c>
      <c r="O266" s="394"/>
      <c r="P266" s="395"/>
      <c r="Q266" s="71"/>
      <c r="R266" s="86"/>
    </row>
    <row r="267" spans="1:18" ht="12.75" customHeight="1" x14ac:dyDescent="0.25">
      <c r="A267" s="1229"/>
      <c r="B267" s="1232"/>
      <c r="C267" s="1234"/>
      <c r="D267" s="904"/>
      <c r="E267" s="316"/>
      <c r="F267" s="316"/>
      <c r="G267" s="316"/>
      <c r="H267" s="316"/>
      <c r="I267" s="316"/>
      <c r="J267" s="316"/>
      <c r="K267" s="316"/>
      <c r="L267" s="316">
        <f>E267-F267-G267-H267-I267-J267</f>
        <v>0</v>
      </c>
      <c r="M267" s="316"/>
      <c r="N267" s="316">
        <f>L267-M267</f>
        <v>0</v>
      </c>
      <c r="O267" s="394"/>
      <c r="P267" s="395"/>
      <c r="Q267" s="71"/>
      <c r="R267" s="86"/>
    </row>
    <row r="268" spans="1:18" ht="12.75" customHeight="1" x14ac:dyDescent="0.25">
      <c r="A268" s="1229"/>
      <c r="B268" s="1232"/>
      <c r="C268" s="1234"/>
      <c r="D268" s="904"/>
      <c r="E268" s="316"/>
      <c r="F268" s="316"/>
      <c r="G268" s="316"/>
      <c r="H268" s="316"/>
      <c r="I268" s="316"/>
      <c r="J268" s="316"/>
      <c r="K268" s="316"/>
      <c r="L268" s="316">
        <f>E268-F268-G268-H268-I268-J268</f>
        <v>0</v>
      </c>
      <c r="M268" s="316"/>
      <c r="N268" s="316">
        <f>L268-M268</f>
        <v>0</v>
      </c>
      <c r="O268" s="394"/>
      <c r="P268" s="395"/>
      <c r="Q268" s="71"/>
      <c r="R268" s="86"/>
    </row>
    <row r="269" spans="1:18" ht="12.75" customHeight="1" x14ac:dyDescent="0.25">
      <c r="A269" s="905"/>
      <c r="B269" s="1232"/>
      <c r="C269" s="1235"/>
      <c r="D269" s="904"/>
      <c r="E269" s="316"/>
      <c r="F269" s="316"/>
      <c r="G269" s="316"/>
      <c r="H269" s="316"/>
      <c r="I269" s="316"/>
      <c r="J269" s="316"/>
      <c r="K269" s="316"/>
      <c r="L269" s="316">
        <f>E269-F269-G269-H269-I269-J269</f>
        <v>0</v>
      </c>
      <c r="M269" s="316"/>
      <c r="N269" s="316">
        <f>L269-M269</f>
        <v>0</v>
      </c>
      <c r="O269" s="394"/>
      <c r="P269" s="395"/>
      <c r="Q269" s="71"/>
      <c r="R269" s="86"/>
    </row>
    <row r="270" spans="1:18" ht="12.75" customHeight="1" x14ac:dyDescent="0.25">
      <c r="A270" s="1229"/>
      <c r="B270" s="1230"/>
      <c r="C270" s="1231"/>
      <c r="D270" s="904"/>
      <c r="E270" s="319">
        <f>SUM(E265:E269)</f>
        <v>0</v>
      </c>
      <c r="F270" s="319">
        <f>SUM(F265:F269)</f>
        <v>0</v>
      </c>
      <c r="G270" s="319">
        <f>SUM(G265:G269)</f>
        <v>0</v>
      </c>
      <c r="H270" s="319">
        <f>SUM(H265:H268)</f>
        <v>0</v>
      </c>
      <c r="I270" s="319">
        <f>SUM(I265:I268)</f>
        <v>0</v>
      </c>
      <c r="J270" s="319">
        <f>SUM(J265:J269)</f>
        <v>0</v>
      </c>
      <c r="K270" s="319">
        <f>SUM(K265:K268)</f>
        <v>0</v>
      </c>
      <c r="L270" s="319">
        <f>SUM(L265:L269)</f>
        <v>0</v>
      </c>
      <c r="M270" s="319">
        <f>SUM(M265:M269)</f>
        <v>0</v>
      </c>
      <c r="N270" s="319">
        <f>SUM(N265:N268)</f>
        <v>0</v>
      </c>
      <c r="O270" s="394"/>
      <c r="P270" s="395"/>
      <c r="Q270" s="71"/>
      <c r="R270" s="86"/>
    </row>
    <row r="271" spans="1:18" ht="12.75" customHeight="1" x14ac:dyDescent="0.25">
      <c r="A271" s="1229">
        <v>44</v>
      </c>
      <c r="B271" s="1232" t="s">
        <v>826</v>
      </c>
      <c r="C271" s="1233" t="s">
        <v>834</v>
      </c>
      <c r="D271" s="904">
        <v>1</v>
      </c>
      <c r="E271" s="910">
        <v>9.6898730000000004</v>
      </c>
      <c r="F271" s="910">
        <f>E271*0.05</f>
        <v>0.48449365000000005</v>
      </c>
      <c r="G271" s="910"/>
      <c r="H271" s="910"/>
      <c r="I271" s="910"/>
      <c r="J271" s="910">
        <v>0.73643000000000003</v>
      </c>
      <c r="K271" s="910"/>
      <c r="L271" s="910">
        <f>E271-F271-G271-H271-I271-J271</f>
        <v>8.4689493500000008</v>
      </c>
      <c r="M271" s="910">
        <f>L271</f>
        <v>8.4689493500000008</v>
      </c>
      <c r="N271" s="316">
        <f>L271-M271</f>
        <v>0</v>
      </c>
      <c r="O271" s="394" t="s">
        <v>867</v>
      </c>
      <c r="P271" s="395" t="s">
        <v>868</v>
      </c>
      <c r="Q271" s="71"/>
      <c r="R271" s="86"/>
    </row>
    <row r="272" spans="1:18" ht="12.75" customHeight="1" x14ac:dyDescent="0.25">
      <c r="A272" s="1229"/>
      <c r="B272" s="1232"/>
      <c r="C272" s="1234"/>
      <c r="D272" s="904">
        <v>2</v>
      </c>
      <c r="E272" s="910">
        <v>4.1529999999999996</v>
      </c>
      <c r="F272" s="910">
        <v>0.20799999999999999</v>
      </c>
      <c r="G272" s="910"/>
      <c r="H272" s="910"/>
      <c r="I272" s="910"/>
      <c r="J272" s="910">
        <v>0.316</v>
      </c>
      <c r="K272" s="910"/>
      <c r="L272" s="910">
        <v>3.63</v>
      </c>
      <c r="M272" s="910">
        <f>L272</f>
        <v>3.63</v>
      </c>
      <c r="N272" s="316">
        <f>L272-M272</f>
        <v>0</v>
      </c>
      <c r="O272" s="394"/>
      <c r="P272" s="395"/>
      <c r="Q272" s="71"/>
      <c r="R272" s="86"/>
    </row>
    <row r="273" spans="1:18" ht="12.75" customHeight="1" x14ac:dyDescent="0.25">
      <c r="A273" s="1229"/>
      <c r="B273" s="1232"/>
      <c r="C273" s="1234"/>
      <c r="D273" s="904"/>
      <c r="E273" s="316"/>
      <c r="F273" s="316"/>
      <c r="G273" s="316"/>
      <c r="H273" s="316"/>
      <c r="I273" s="316"/>
      <c r="J273" s="316"/>
      <c r="K273" s="316"/>
      <c r="L273" s="316">
        <f>E273-F273-G273-H273-I273-J273</f>
        <v>0</v>
      </c>
      <c r="M273" s="316"/>
      <c r="N273" s="316">
        <f>L273-M273</f>
        <v>0</v>
      </c>
      <c r="O273" s="394"/>
      <c r="P273" s="395"/>
      <c r="Q273" s="71"/>
      <c r="R273" s="86"/>
    </row>
    <row r="274" spans="1:18" ht="12.75" customHeight="1" x14ac:dyDescent="0.25">
      <c r="A274" s="1229"/>
      <c r="B274" s="1232"/>
      <c r="C274" s="1234"/>
      <c r="D274" s="904"/>
      <c r="E274" s="316"/>
      <c r="F274" s="316"/>
      <c r="G274" s="316"/>
      <c r="H274" s="316"/>
      <c r="I274" s="316"/>
      <c r="J274" s="316"/>
      <c r="K274" s="316"/>
      <c r="L274" s="316">
        <f>E274-F274-G274-H274-I274-J274</f>
        <v>0</v>
      </c>
      <c r="M274" s="316"/>
      <c r="N274" s="316">
        <f>L274-M274</f>
        <v>0</v>
      </c>
      <c r="O274" s="394"/>
      <c r="P274" s="395"/>
      <c r="Q274" s="71"/>
      <c r="R274" s="86"/>
    </row>
    <row r="275" spans="1:18" ht="12.75" customHeight="1" x14ac:dyDescent="0.25">
      <c r="A275" s="905"/>
      <c r="B275" s="1232"/>
      <c r="C275" s="1235"/>
      <c r="D275" s="904"/>
      <c r="E275" s="316"/>
      <c r="F275" s="316"/>
      <c r="G275" s="316"/>
      <c r="H275" s="316"/>
      <c r="I275" s="316"/>
      <c r="J275" s="316"/>
      <c r="K275" s="316"/>
      <c r="L275" s="316">
        <f>E275-F275-G275-H275-I275-J275</f>
        <v>0</v>
      </c>
      <c r="M275" s="316"/>
      <c r="N275" s="316">
        <f>L275-M275</f>
        <v>0</v>
      </c>
      <c r="O275" s="394"/>
      <c r="P275" s="395"/>
      <c r="Q275" s="71"/>
      <c r="R275" s="86"/>
    </row>
    <row r="276" spans="1:18" ht="12.75" customHeight="1" x14ac:dyDescent="0.25">
      <c r="A276" s="1229"/>
      <c r="B276" s="1230"/>
      <c r="C276" s="1231"/>
      <c r="D276" s="904"/>
      <c r="E276" s="319">
        <f>SUM(E271:E275)</f>
        <v>13.842873000000001</v>
      </c>
      <c r="F276" s="319">
        <f>SUM(F271:F275)</f>
        <v>0.69249365000000007</v>
      </c>
      <c r="G276" s="319">
        <f>SUM(G271:G275)</f>
        <v>0</v>
      </c>
      <c r="H276" s="319">
        <f>SUM(H271:H274)</f>
        <v>0</v>
      </c>
      <c r="I276" s="319">
        <f>SUM(I271:I274)</f>
        <v>0</v>
      </c>
      <c r="J276" s="319">
        <f>SUM(J271:J275)</f>
        <v>1.05243</v>
      </c>
      <c r="K276" s="319">
        <f>SUM(K271:K274)</f>
        <v>0</v>
      </c>
      <c r="L276" s="319">
        <f>SUM(L271:L275)</f>
        <v>12.098949350000002</v>
      </c>
      <c r="M276" s="1118">
        <f>SUM(M271:M275)</f>
        <v>12.098949350000002</v>
      </c>
      <c r="N276" s="319">
        <f>SUM(N271:N274)</f>
        <v>0</v>
      </c>
      <c r="O276" s="394"/>
      <c r="P276" s="395"/>
      <c r="Q276" s="71"/>
      <c r="R276" s="86"/>
    </row>
    <row r="277" spans="1:18" ht="12.75" customHeight="1" x14ac:dyDescent="0.25">
      <c r="A277" s="1229">
        <v>45</v>
      </c>
      <c r="B277" s="1232" t="s">
        <v>835</v>
      </c>
      <c r="C277" s="1233" t="s">
        <v>836</v>
      </c>
      <c r="D277" s="904">
        <v>1</v>
      </c>
      <c r="E277" s="910">
        <v>1.206809</v>
      </c>
      <c r="F277" s="910">
        <v>6.0339999999999998E-2</v>
      </c>
      <c r="G277" s="910"/>
      <c r="H277" s="910"/>
      <c r="I277" s="910"/>
      <c r="J277" s="910">
        <v>9.1717000000000007E-2</v>
      </c>
      <c r="K277" s="910"/>
      <c r="L277" s="910">
        <f>E277-F277-G277-H277-I277-J277</f>
        <v>1.0547519999999999</v>
      </c>
      <c r="M277" s="910">
        <v>1.0549999999999999</v>
      </c>
      <c r="N277" s="316">
        <f>L277-M277</f>
        <v>-2.4800000000002598E-4</v>
      </c>
      <c r="O277" s="394">
        <v>196422</v>
      </c>
      <c r="P277" s="395">
        <v>45742</v>
      </c>
      <c r="Q277" s="71"/>
      <c r="R277" s="86"/>
    </row>
    <row r="278" spans="1:18" ht="12.75" customHeight="1" x14ac:dyDescent="0.25">
      <c r="A278" s="1229"/>
      <c r="B278" s="1232"/>
      <c r="C278" s="1234"/>
      <c r="D278" s="904">
        <v>2</v>
      </c>
      <c r="E278" s="910">
        <v>2.88</v>
      </c>
      <c r="F278" s="910">
        <f>E278*0.05</f>
        <v>0.14399999999999999</v>
      </c>
      <c r="G278" s="910">
        <v>2.5569999999999999</v>
      </c>
      <c r="H278" s="910"/>
      <c r="I278" s="910"/>
      <c r="J278" s="910">
        <f>(E278-F278-G278)*0.08</f>
        <v>1.4319999999999986E-2</v>
      </c>
      <c r="K278" s="910"/>
      <c r="L278" s="910">
        <f>E278-F278-G278-H278-I278-J278</f>
        <v>0.16467999999999983</v>
      </c>
      <c r="M278" s="910">
        <f>L278</f>
        <v>0.16467999999999983</v>
      </c>
      <c r="N278" s="316">
        <f>L278-M278</f>
        <v>0</v>
      </c>
      <c r="O278" s="394">
        <v>199113</v>
      </c>
      <c r="P278" s="395">
        <v>45804</v>
      </c>
      <c r="Q278" s="71"/>
      <c r="R278" s="86"/>
    </row>
    <row r="279" spans="1:18" ht="12.75" customHeight="1" x14ac:dyDescent="0.25">
      <c r="A279" s="1229"/>
      <c r="B279" s="1232"/>
      <c r="C279" s="1234"/>
      <c r="D279" s="1105" t="s">
        <v>660</v>
      </c>
      <c r="E279" s="910"/>
      <c r="F279" s="910"/>
      <c r="G279" s="910">
        <v>-4.165</v>
      </c>
      <c r="H279" s="910"/>
      <c r="I279" s="910"/>
      <c r="J279" s="910">
        <v>0.33324799999999999</v>
      </c>
      <c r="K279" s="910"/>
      <c r="L279" s="910">
        <f>E279-F279-G279-H279-I279-J279</f>
        <v>3.8317519999999998</v>
      </c>
      <c r="M279" s="910">
        <v>3.8319999999999999</v>
      </c>
      <c r="N279" s="910">
        <f>L279-M279</f>
        <v>-2.4800000000002598E-4</v>
      </c>
      <c r="O279" s="1106">
        <v>201760</v>
      </c>
      <c r="P279" s="1107">
        <v>45853</v>
      </c>
      <c r="Q279" s="71"/>
      <c r="R279" s="86"/>
    </row>
    <row r="280" spans="1:18" ht="12.75" customHeight="1" x14ac:dyDescent="0.25">
      <c r="A280" s="1229"/>
      <c r="B280" s="1232"/>
      <c r="C280" s="1234"/>
      <c r="D280" s="904"/>
      <c r="E280" s="316"/>
      <c r="F280" s="316"/>
      <c r="G280" s="316"/>
      <c r="H280" s="316"/>
      <c r="I280" s="316"/>
      <c r="J280" s="316"/>
      <c r="K280" s="316"/>
      <c r="L280" s="316">
        <f>E280-F280-G280-H280-I280-J280</f>
        <v>0</v>
      </c>
      <c r="M280" s="316"/>
      <c r="N280" s="316">
        <f>L280-M280</f>
        <v>0</v>
      </c>
      <c r="O280" s="394"/>
      <c r="P280" s="395"/>
      <c r="Q280" s="71"/>
      <c r="R280" s="86"/>
    </row>
    <row r="281" spans="1:18" ht="12.75" customHeight="1" x14ac:dyDescent="0.25">
      <c r="A281" s="905"/>
      <c r="B281" s="1232"/>
      <c r="C281" s="1235"/>
      <c r="D281" s="904"/>
      <c r="E281" s="316"/>
      <c r="F281" s="316"/>
      <c r="G281" s="316"/>
      <c r="H281" s="316"/>
      <c r="I281" s="316"/>
      <c r="J281" s="316"/>
      <c r="K281" s="316"/>
      <c r="L281" s="316">
        <f>E281-F281-G281-H281-I281-J281</f>
        <v>0</v>
      </c>
      <c r="M281" s="316"/>
      <c r="N281" s="316">
        <f>L281-M281</f>
        <v>0</v>
      </c>
      <c r="O281" s="394"/>
      <c r="P281" s="395"/>
      <c r="Q281" s="71"/>
      <c r="R281" s="86"/>
    </row>
    <row r="282" spans="1:18" ht="12.75" customHeight="1" x14ac:dyDescent="0.25">
      <c r="A282" s="1229"/>
      <c r="B282" s="1230"/>
      <c r="C282" s="1231"/>
      <c r="D282" s="904"/>
      <c r="E282" s="319">
        <f>SUM(E277:E281)</f>
        <v>4.0868089999999997</v>
      </c>
      <c r="F282" s="319">
        <f>SUM(F277:F281)</f>
        <v>0.20433999999999999</v>
      </c>
      <c r="G282" s="319">
        <f>SUM(G277:G281)</f>
        <v>-1.6080000000000001</v>
      </c>
      <c r="H282" s="319">
        <f>SUM(H277:H280)</f>
        <v>0</v>
      </c>
      <c r="I282" s="319">
        <f>SUM(I277:I280)</f>
        <v>0</v>
      </c>
      <c r="J282" s="319">
        <f>SUM(J277:J281)</f>
        <v>0.43928499999999998</v>
      </c>
      <c r="K282" s="319">
        <f>SUM(K277:K280)</f>
        <v>0</v>
      </c>
      <c r="L282" s="319">
        <f>SUM(L277:L281)</f>
        <v>5.0511839999999992</v>
      </c>
      <c r="M282" s="1118">
        <f>SUM(M277:M281)</f>
        <v>5.0516799999999993</v>
      </c>
      <c r="N282" s="319">
        <f>SUM(N277:N280)</f>
        <v>-4.9600000000005195E-4</v>
      </c>
      <c r="O282" s="394"/>
      <c r="P282" s="395"/>
      <c r="Q282" s="917"/>
      <c r="R282" s="86"/>
    </row>
    <row r="283" spans="1:18" ht="12.75" customHeight="1" x14ac:dyDescent="0.25">
      <c r="A283" s="1229">
        <v>46</v>
      </c>
      <c r="B283" s="1232" t="s">
        <v>835</v>
      </c>
      <c r="C283" s="1233" t="s">
        <v>837</v>
      </c>
      <c r="D283" s="904">
        <v>1</v>
      </c>
      <c r="E283" s="910">
        <v>8.5581060000000004</v>
      </c>
      <c r="F283" s="910">
        <v>0.42790499999999998</v>
      </c>
      <c r="G283" s="910"/>
      <c r="H283" s="910"/>
      <c r="I283" s="910"/>
      <c r="J283" s="910">
        <v>0.65041599999999999</v>
      </c>
      <c r="K283" s="910"/>
      <c r="L283" s="910">
        <f>E283-F283-G283-H283-I283-J283</f>
        <v>7.4797849999999997</v>
      </c>
      <c r="M283" s="910">
        <v>7.48</v>
      </c>
      <c r="N283" s="316">
        <f>L283-M283</f>
        <v>-2.1500000000074238E-4</v>
      </c>
      <c r="O283" s="394" t="s">
        <v>859</v>
      </c>
      <c r="P283" s="395" t="s">
        <v>860</v>
      </c>
      <c r="Q283" s="917"/>
      <c r="R283" s="86"/>
    </row>
    <row r="284" spans="1:18" ht="12.75" customHeight="1" x14ac:dyDescent="0.25">
      <c r="A284" s="1229"/>
      <c r="B284" s="1232"/>
      <c r="C284" s="1234"/>
      <c r="D284" s="904">
        <v>2</v>
      </c>
      <c r="E284" s="910">
        <v>2.942437</v>
      </c>
      <c r="F284" s="910">
        <f>E284*0.05</f>
        <v>0.14712185</v>
      </c>
      <c r="G284" s="910"/>
      <c r="H284" s="910"/>
      <c r="I284" s="910"/>
      <c r="J284" s="910">
        <f>(E284-F284-G284)*0.08</f>
        <v>0.22362521199999999</v>
      </c>
      <c r="K284" s="910"/>
      <c r="L284" s="910">
        <f>E284-F284-G284-H284-I284-J284</f>
        <v>2.571689938</v>
      </c>
      <c r="M284" s="910">
        <v>2.5720000000000001</v>
      </c>
      <c r="N284" s="316">
        <f>L284-M284</f>
        <v>-3.1006200000005535E-4</v>
      </c>
      <c r="O284" s="394">
        <v>199031</v>
      </c>
      <c r="P284" s="395">
        <v>45797</v>
      </c>
      <c r="Q284" s="918"/>
      <c r="R284" s="86"/>
    </row>
    <row r="285" spans="1:18" ht="12.75" customHeight="1" x14ac:dyDescent="0.25">
      <c r="A285" s="1229"/>
      <c r="B285" s="1232"/>
      <c r="C285" s="1234"/>
      <c r="D285" s="1105" t="s">
        <v>660</v>
      </c>
      <c r="E285" s="910"/>
      <c r="F285" s="910">
        <v>-2.4941599999999999</v>
      </c>
      <c r="G285" s="910"/>
      <c r="H285" s="910"/>
      <c r="I285" s="910"/>
      <c r="J285" s="910"/>
      <c r="K285" s="910"/>
      <c r="L285" s="910">
        <f>E285-F285-G285-H285-I285-J285</f>
        <v>2.4941599999999999</v>
      </c>
      <c r="M285" s="910"/>
      <c r="N285" s="910">
        <f>L285-M285</f>
        <v>2.4941599999999999</v>
      </c>
      <c r="O285" s="1106"/>
      <c r="P285" s="395"/>
      <c r="Q285" s="918"/>
      <c r="R285" s="86"/>
    </row>
    <row r="286" spans="1:18" ht="12.75" customHeight="1" x14ac:dyDescent="0.25">
      <c r="A286" s="1229"/>
      <c r="B286" s="1232"/>
      <c r="C286" s="1234"/>
      <c r="D286" s="904"/>
      <c r="E286" s="316"/>
      <c r="F286" s="316"/>
      <c r="G286" s="316"/>
      <c r="H286" s="316"/>
      <c r="I286" s="316"/>
      <c r="J286" s="316"/>
      <c r="K286" s="316"/>
      <c r="L286" s="316">
        <f>E286-F286-G286-H286-I286-J286</f>
        <v>0</v>
      </c>
      <c r="M286" s="316"/>
      <c r="N286" s="316">
        <f>L286-M286</f>
        <v>0</v>
      </c>
      <c r="O286" s="394"/>
      <c r="P286" s="395"/>
      <c r="Q286" s="918"/>
      <c r="R286" s="86"/>
    </row>
    <row r="287" spans="1:18" ht="12.75" customHeight="1" x14ac:dyDescent="0.25">
      <c r="A287" s="905"/>
      <c r="B287" s="1232"/>
      <c r="C287" s="1235"/>
      <c r="D287" s="904"/>
      <c r="E287" s="316"/>
      <c r="F287" s="316"/>
      <c r="G287" s="316"/>
      <c r="H287" s="316"/>
      <c r="I287" s="316"/>
      <c r="J287" s="316"/>
      <c r="K287" s="316"/>
      <c r="L287" s="316">
        <f>E287-F287-G287-H287-I287-J287</f>
        <v>0</v>
      </c>
      <c r="M287" s="316"/>
      <c r="N287" s="316">
        <f>L287-M287</f>
        <v>0</v>
      </c>
      <c r="O287" s="394"/>
      <c r="P287" s="395"/>
      <c r="Q287" s="917"/>
      <c r="R287" s="86"/>
    </row>
    <row r="288" spans="1:18" ht="12.75" customHeight="1" x14ac:dyDescent="0.25">
      <c r="A288" s="1229"/>
      <c r="B288" s="1230"/>
      <c r="C288" s="1231"/>
      <c r="D288" s="904"/>
      <c r="E288" s="319">
        <f>SUM(E283:E287)</f>
        <v>11.500543</v>
      </c>
      <c r="F288" s="319">
        <f>SUM(F283:F287)</f>
        <v>-1.91913315</v>
      </c>
      <c r="G288" s="319">
        <f>SUM(G283:G287)</f>
        <v>0</v>
      </c>
      <c r="H288" s="319">
        <f>SUM(H283:H286)</f>
        <v>0</v>
      </c>
      <c r="I288" s="319">
        <f>SUM(I283:I286)</f>
        <v>0</v>
      </c>
      <c r="J288" s="319">
        <f>SUM(J283:J287)</f>
        <v>0.87404121199999996</v>
      </c>
      <c r="K288" s="319">
        <f>SUM(K283:K286)</f>
        <v>0</v>
      </c>
      <c r="L288" s="319">
        <f>SUM(L283:L287)</f>
        <v>12.545634937999999</v>
      </c>
      <c r="M288" s="1118">
        <f>SUM(M283:M287)</f>
        <v>10.052</v>
      </c>
      <c r="N288" s="319">
        <f>SUM(N283:N286)</f>
        <v>2.4936349379999991</v>
      </c>
      <c r="O288" s="394"/>
      <c r="P288" s="395"/>
      <c r="Q288" s="917"/>
      <c r="R288" s="86"/>
    </row>
    <row r="289" spans="1:23" ht="12.75" customHeight="1" x14ac:dyDescent="0.25">
      <c r="A289" s="1229">
        <v>47</v>
      </c>
      <c r="B289" s="1232" t="s">
        <v>835</v>
      </c>
      <c r="C289" s="1233" t="s">
        <v>838</v>
      </c>
      <c r="D289" s="904">
        <v>1</v>
      </c>
      <c r="E289" s="910">
        <v>13.499796999999999</v>
      </c>
      <c r="F289" s="910">
        <f>E289*0.05</f>
        <v>0.67498985</v>
      </c>
      <c r="G289" s="910"/>
      <c r="H289" s="910"/>
      <c r="I289" s="910"/>
      <c r="J289" s="910">
        <v>1.0259799999999999</v>
      </c>
      <c r="K289" s="910"/>
      <c r="L289" s="910">
        <f>E289-F289-G289-H289-I289-J289</f>
        <v>11.798827149999999</v>
      </c>
      <c r="M289" s="910">
        <v>11.798999999999999</v>
      </c>
      <c r="N289" s="316">
        <f>L289-M289</f>
        <v>-1.7285000000022421E-4</v>
      </c>
      <c r="O289" s="394" t="s">
        <v>857</v>
      </c>
      <c r="P289" s="395" t="s">
        <v>858</v>
      </c>
      <c r="Q289" s="917"/>
      <c r="R289" s="86"/>
    </row>
    <row r="290" spans="1:23" ht="12.75" customHeight="1" x14ac:dyDescent="0.25">
      <c r="A290" s="1229"/>
      <c r="B290" s="1232"/>
      <c r="C290" s="1234"/>
      <c r="D290" s="904">
        <v>2</v>
      </c>
      <c r="E290" s="910">
        <v>0.45200000000000001</v>
      </c>
      <c r="F290" s="910">
        <f>E290*0.05</f>
        <v>2.2600000000000002E-2</v>
      </c>
      <c r="G290" s="910"/>
      <c r="H290" s="910"/>
      <c r="I290" s="910"/>
      <c r="J290" s="910">
        <f>(E290-F290-G290)*0.08</f>
        <v>3.4352000000000001E-2</v>
      </c>
      <c r="K290" s="910"/>
      <c r="L290" s="910">
        <f>E290-F290-G290-H290-I290-J290</f>
        <v>0.39504800000000001</v>
      </c>
      <c r="M290" s="910">
        <f>L290</f>
        <v>0.39504800000000001</v>
      </c>
      <c r="N290" s="316">
        <f>L290-M290</f>
        <v>0</v>
      </c>
      <c r="O290" s="394">
        <v>199114</v>
      </c>
      <c r="P290" s="395">
        <v>45804</v>
      </c>
      <c r="Q290" s="71"/>
      <c r="R290" s="86"/>
    </row>
    <row r="291" spans="1:23" ht="12.75" customHeight="1" x14ac:dyDescent="0.25">
      <c r="A291" s="1229"/>
      <c r="B291" s="1232"/>
      <c r="C291" s="1234"/>
      <c r="D291" s="904"/>
      <c r="E291" s="316"/>
      <c r="F291" s="316"/>
      <c r="G291" s="316"/>
      <c r="H291" s="316"/>
      <c r="I291" s="316"/>
      <c r="J291" s="316"/>
      <c r="K291" s="316"/>
      <c r="L291" s="316">
        <f>E291-F291-G291-H291-I291-J291</f>
        <v>0</v>
      </c>
      <c r="M291" s="316"/>
      <c r="N291" s="316">
        <f>L291-M291</f>
        <v>0</v>
      </c>
      <c r="O291" s="394"/>
      <c r="P291" s="395"/>
      <c r="Q291" s="71"/>
      <c r="R291" s="86"/>
    </row>
    <row r="292" spans="1:23" ht="12.75" customHeight="1" x14ac:dyDescent="0.25">
      <c r="A292" s="1229"/>
      <c r="B292" s="1232"/>
      <c r="C292" s="1234"/>
      <c r="D292" s="904"/>
      <c r="E292" s="316"/>
      <c r="F292" s="316"/>
      <c r="G292" s="316"/>
      <c r="H292" s="316"/>
      <c r="I292" s="316"/>
      <c r="J292" s="316"/>
      <c r="K292" s="316"/>
      <c r="L292" s="316">
        <f>E292-F292-G292-H292-I292-J292</f>
        <v>0</v>
      </c>
      <c r="M292" s="316"/>
      <c r="N292" s="316">
        <f>L292-M292</f>
        <v>0</v>
      </c>
      <c r="O292" s="394"/>
      <c r="P292" s="395"/>
      <c r="Q292" s="71"/>
      <c r="R292" s="86"/>
    </row>
    <row r="293" spans="1:23" ht="12.75" customHeight="1" x14ac:dyDescent="0.25">
      <c r="A293" s="905"/>
      <c r="B293" s="1232"/>
      <c r="C293" s="1235"/>
      <c r="D293" s="904"/>
      <c r="E293" s="316"/>
      <c r="F293" s="316"/>
      <c r="G293" s="316"/>
      <c r="H293" s="316"/>
      <c r="I293" s="316"/>
      <c r="J293" s="316"/>
      <c r="K293" s="316"/>
      <c r="L293" s="316">
        <f>E293-F293-G293-H293-I293-J293</f>
        <v>0</v>
      </c>
      <c r="M293" s="316"/>
      <c r="N293" s="316">
        <f>L293-M293</f>
        <v>0</v>
      </c>
      <c r="O293" s="394"/>
      <c r="P293" s="395"/>
      <c r="Q293" s="71"/>
      <c r="R293" s="86"/>
    </row>
    <row r="294" spans="1:23" ht="12.75" customHeight="1" x14ac:dyDescent="0.25">
      <c r="A294" s="1229"/>
      <c r="B294" s="1230"/>
      <c r="C294" s="1231"/>
      <c r="D294" s="1074"/>
      <c r="E294" s="319">
        <f>SUM(E289:E293)</f>
        <v>13.951796999999999</v>
      </c>
      <c r="F294" s="319">
        <f>SUM(F289:F293)</f>
        <v>0.69758984999999996</v>
      </c>
      <c r="G294" s="319">
        <f>SUM(G289:G293)</f>
        <v>0</v>
      </c>
      <c r="H294" s="319">
        <f>SUM(H289:H292)</f>
        <v>0</v>
      </c>
      <c r="I294" s="319">
        <f>SUM(I289:I292)</f>
        <v>0</v>
      </c>
      <c r="J294" s="319">
        <f>SUM(J289:J293)</f>
        <v>1.0603319999999998</v>
      </c>
      <c r="K294" s="319">
        <f>SUM(K289:K292)</f>
        <v>0</v>
      </c>
      <c r="L294" s="319">
        <f>SUM(L289:L293)</f>
        <v>12.193875149999998</v>
      </c>
      <c r="M294" s="1118">
        <f>SUM(M289:M293)</f>
        <v>12.194047999999999</v>
      </c>
      <c r="N294" s="319">
        <f>SUM(N289:N292)</f>
        <v>-1.7285000000022421E-4</v>
      </c>
      <c r="O294" s="394"/>
      <c r="P294" s="395"/>
      <c r="Q294" s="71"/>
      <c r="R294" s="86"/>
    </row>
    <row r="295" spans="1:23" ht="12.75" customHeight="1" x14ac:dyDescent="0.25">
      <c r="A295" s="1075"/>
      <c r="B295" s="1082"/>
      <c r="C295" s="1076"/>
      <c r="D295" s="1074"/>
      <c r="E295" s="316"/>
      <c r="F295" s="316"/>
      <c r="G295" s="316"/>
      <c r="H295" s="316"/>
      <c r="I295" s="316"/>
      <c r="J295" s="316"/>
      <c r="K295" s="316"/>
      <c r="L295" s="316"/>
      <c r="M295" s="316"/>
      <c r="N295" s="316"/>
      <c r="O295" s="394"/>
      <c r="P295" s="395"/>
      <c r="Q295" s="71"/>
      <c r="R295" s="86"/>
    </row>
    <row r="296" spans="1:23" ht="12.75" customHeight="1" x14ac:dyDescent="0.25">
      <c r="A296" s="1229">
        <v>47</v>
      </c>
      <c r="B296" s="1232" t="s">
        <v>835</v>
      </c>
      <c r="C296" s="1233" t="s">
        <v>851</v>
      </c>
      <c r="D296" s="1074">
        <v>1</v>
      </c>
      <c r="E296" s="910">
        <v>7.8410510000000002</v>
      </c>
      <c r="F296" s="910">
        <f>E296*0.05</f>
        <v>0.39205255000000006</v>
      </c>
      <c r="G296" s="910"/>
      <c r="H296" s="910"/>
      <c r="I296" s="910"/>
      <c r="J296" s="910">
        <f>(E296-F296-G296)*0.08</f>
        <v>0.59591987600000007</v>
      </c>
      <c r="K296" s="910"/>
      <c r="L296" s="910">
        <f>E296-F296-G296-H296-I296-J296</f>
        <v>6.8530785740000004</v>
      </c>
      <c r="M296" s="910">
        <v>6.8529999999999998</v>
      </c>
      <c r="N296" s="910">
        <f>L296-M296</f>
        <v>7.8574000000664057E-5</v>
      </c>
      <c r="O296" s="394" t="s">
        <v>907</v>
      </c>
      <c r="P296" s="395">
        <v>45792</v>
      </c>
      <c r="Q296" s="509"/>
      <c r="R296" s="86">
        <v>7448999</v>
      </c>
      <c r="S296" s="67">
        <v>595920</v>
      </c>
      <c r="U296" s="67">
        <v>6853079</v>
      </c>
      <c r="V296" s="67">
        <v>45792</v>
      </c>
      <c r="W296" s="67">
        <v>198923</v>
      </c>
    </row>
    <row r="297" spans="1:23" ht="12.75" customHeight="1" x14ac:dyDescent="0.25">
      <c r="A297" s="1229"/>
      <c r="B297" s="1232"/>
      <c r="C297" s="1234"/>
      <c r="D297" s="1074"/>
      <c r="E297" s="316"/>
      <c r="F297" s="316"/>
      <c r="G297" s="316"/>
      <c r="H297" s="316"/>
      <c r="I297" s="316"/>
      <c r="J297" s="316"/>
      <c r="K297" s="316"/>
      <c r="L297" s="316">
        <f>E297-F297-G297-H297-I297-J297</f>
        <v>0</v>
      </c>
      <c r="M297" s="316"/>
      <c r="N297" s="316">
        <f>L297-M297</f>
        <v>0</v>
      </c>
      <c r="O297" s="394"/>
      <c r="P297" s="395"/>
      <c r="Q297" s="71"/>
      <c r="R297" s="86"/>
      <c r="U297" s="67">
        <v>0</v>
      </c>
      <c r="V297" s="67">
        <v>45793</v>
      </c>
      <c r="W297" s="67">
        <v>198956</v>
      </c>
    </row>
    <row r="298" spans="1:23" ht="12.75" customHeight="1" x14ac:dyDescent="0.25">
      <c r="A298" s="1229"/>
      <c r="B298" s="1232"/>
      <c r="C298" s="1234"/>
      <c r="D298" s="1074"/>
      <c r="E298" s="316"/>
      <c r="F298" s="316"/>
      <c r="G298" s="316"/>
      <c r="H298" s="316"/>
      <c r="I298" s="316"/>
      <c r="J298" s="316"/>
      <c r="K298" s="316"/>
      <c r="L298" s="316">
        <f>E298-F298-G298-H298-I298-J298</f>
        <v>0</v>
      </c>
      <c r="M298" s="316"/>
      <c r="N298" s="316">
        <f>L298-M298</f>
        <v>0</v>
      </c>
      <c r="O298" s="394"/>
      <c r="P298" s="395"/>
      <c r="Q298" s="71"/>
      <c r="R298" s="86"/>
    </row>
    <row r="299" spans="1:23" ht="12.75" customHeight="1" x14ac:dyDescent="0.25">
      <c r="A299" s="1229"/>
      <c r="B299" s="1232"/>
      <c r="C299" s="1234"/>
      <c r="D299" s="1074"/>
      <c r="E299" s="316"/>
      <c r="F299" s="316"/>
      <c r="G299" s="316"/>
      <c r="H299" s="316"/>
      <c r="I299" s="316"/>
      <c r="J299" s="316"/>
      <c r="K299" s="316"/>
      <c r="L299" s="316">
        <f>E299-F299-G299-H299-I299-J299</f>
        <v>0</v>
      </c>
      <c r="M299" s="316"/>
      <c r="N299" s="316">
        <f>L299-M299</f>
        <v>0</v>
      </c>
      <c r="O299" s="394"/>
      <c r="P299" s="395"/>
      <c r="Q299" s="71"/>
      <c r="R299" s="77">
        <f>R296/0.95</f>
        <v>7841051.578947369</v>
      </c>
    </row>
    <row r="300" spans="1:23" ht="12.75" customHeight="1" x14ac:dyDescent="0.25">
      <c r="A300" s="1075"/>
      <c r="B300" s="1232"/>
      <c r="C300" s="1235"/>
      <c r="D300" s="1074"/>
      <c r="E300" s="316"/>
      <c r="F300" s="316"/>
      <c r="G300" s="316"/>
      <c r="H300" s="316"/>
      <c r="I300" s="316"/>
      <c r="J300" s="316"/>
      <c r="K300" s="316"/>
      <c r="L300" s="316">
        <f>E300-F300-G300-H300-I300-J300</f>
        <v>0</v>
      </c>
      <c r="M300" s="316"/>
      <c r="N300" s="316">
        <f>L300-M300</f>
        <v>0</v>
      </c>
      <c r="O300" s="394"/>
      <c r="P300" s="395"/>
      <c r="Q300" s="71"/>
      <c r="R300" s="86"/>
    </row>
    <row r="301" spans="1:23" ht="12.75" customHeight="1" x14ac:dyDescent="0.25">
      <c r="A301" s="1229"/>
      <c r="B301" s="1230"/>
      <c r="C301" s="1231"/>
      <c r="D301" s="904"/>
      <c r="E301" s="319">
        <f>SUM(E296:E300)</f>
        <v>7.8410510000000002</v>
      </c>
      <c r="F301" s="319">
        <f>SUM(F296:F300)</f>
        <v>0.39205255000000006</v>
      </c>
      <c r="G301" s="319">
        <f>SUM(G296:G300)</f>
        <v>0</v>
      </c>
      <c r="H301" s="319">
        <f>SUM(H296:H299)</f>
        <v>0</v>
      </c>
      <c r="I301" s="319">
        <f>SUM(I296:I299)</f>
        <v>0</v>
      </c>
      <c r="J301" s="319">
        <f>SUM(J296:J300)</f>
        <v>0.59591987600000007</v>
      </c>
      <c r="K301" s="319">
        <f>SUM(K296:K299)</f>
        <v>0</v>
      </c>
      <c r="L301" s="319">
        <f>SUM(L296:L300)</f>
        <v>6.8530785740000004</v>
      </c>
      <c r="M301" s="1118">
        <f>SUM(M296:M300)</f>
        <v>6.8529999999999998</v>
      </c>
      <c r="N301" s="319">
        <f>SUM(N296:N299)</f>
        <v>7.8574000000664057E-5</v>
      </c>
      <c r="O301" s="394"/>
      <c r="P301" s="395"/>
      <c r="Q301" s="71"/>
      <c r="R301" s="86"/>
    </row>
    <row r="302" spans="1:23" ht="12.75" customHeight="1" x14ac:dyDescent="0.25">
      <c r="A302" s="1229">
        <v>47</v>
      </c>
      <c r="B302" s="1232" t="s">
        <v>914</v>
      </c>
      <c r="C302" s="1233" t="s">
        <v>915</v>
      </c>
      <c r="D302" s="907">
        <v>1</v>
      </c>
      <c r="E302" s="910">
        <v>2.8260000000000001</v>
      </c>
      <c r="F302" s="910">
        <f>E302*0.05</f>
        <v>0.14130000000000001</v>
      </c>
      <c r="G302" s="910"/>
      <c r="H302" s="910"/>
      <c r="I302" s="910"/>
      <c r="J302" s="910">
        <f>(E302-F302-G302)*0.08</f>
        <v>0.21477599999999999</v>
      </c>
      <c r="K302" s="910"/>
      <c r="L302" s="910">
        <f>E302-F302-G302-H302-I302-J302</f>
        <v>2.4699239999999998</v>
      </c>
      <c r="M302" s="910">
        <v>0</v>
      </c>
      <c r="N302" s="910">
        <f>L302-M302</f>
        <v>2.4699239999999998</v>
      </c>
      <c r="O302" s="394"/>
      <c r="P302" s="395"/>
      <c r="Q302" s="71"/>
      <c r="R302" s="86"/>
    </row>
    <row r="303" spans="1:23" ht="12.75" customHeight="1" x14ac:dyDescent="0.25">
      <c r="A303" s="1229"/>
      <c r="B303" s="1232"/>
      <c r="C303" s="1234"/>
      <c r="D303" s="907"/>
      <c r="E303" s="316"/>
      <c r="F303" s="316"/>
      <c r="G303" s="316"/>
      <c r="H303" s="316"/>
      <c r="I303" s="316"/>
      <c r="J303" s="316"/>
      <c r="K303" s="316"/>
      <c r="L303" s="316">
        <f>E303-F303-G303-H303-I303-J303</f>
        <v>0</v>
      </c>
      <c r="M303" s="316"/>
      <c r="N303" s="316">
        <f>L303-M303</f>
        <v>0</v>
      </c>
      <c r="O303" s="394"/>
      <c r="P303" s="395"/>
      <c r="Q303" s="71"/>
      <c r="R303" s="86"/>
    </row>
    <row r="304" spans="1:23" ht="12.75" customHeight="1" x14ac:dyDescent="0.25">
      <c r="A304" s="1229"/>
      <c r="B304" s="1232"/>
      <c r="C304" s="1234"/>
      <c r="D304" s="907"/>
      <c r="E304" s="316"/>
      <c r="F304" s="316"/>
      <c r="G304" s="316"/>
      <c r="H304" s="316"/>
      <c r="I304" s="316"/>
      <c r="J304" s="316"/>
      <c r="K304" s="316"/>
      <c r="L304" s="316">
        <f>E304-F304-G304-H304-I304-J304</f>
        <v>0</v>
      </c>
      <c r="M304" s="316"/>
      <c r="N304" s="316">
        <f>L304-M304</f>
        <v>0</v>
      </c>
      <c r="O304" s="394"/>
      <c r="P304" s="395"/>
      <c r="Q304" s="71"/>
      <c r="R304" s="86"/>
    </row>
    <row r="305" spans="1:18" ht="12.75" customHeight="1" x14ac:dyDescent="0.25">
      <c r="A305" s="1229"/>
      <c r="B305" s="1232"/>
      <c r="C305" s="1234"/>
      <c r="D305" s="907"/>
      <c r="E305" s="316"/>
      <c r="F305" s="316"/>
      <c r="G305" s="316"/>
      <c r="H305" s="316"/>
      <c r="I305" s="316"/>
      <c r="J305" s="316"/>
      <c r="K305" s="316"/>
      <c r="L305" s="316">
        <f>E305-F305-G305-H305-I305-J305</f>
        <v>0</v>
      </c>
      <c r="M305" s="316"/>
      <c r="N305" s="316">
        <f>L305-M305</f>
        <v>0</v>
      </c>
      <c r="O305" s="394"/>
      <c r="P305" s="395"/>
      <c r="Q305" s="71"/>
      <c r="R305" s="86"/>
    </row>
    <row r="306" spans="1:18" ht="12.75" customHeight="1" x14ac:dyDescent="0.25">
      <c r="A306" s="908"/>
      <c r="B306" s="1232"/>
      <c r="C306" s="1235"/>
      <c r="D306" s="907"/>
      <c r="E306" s="316"/>
      <c r="F306" s="316"/>
      <c r="G306" s="316"/>
      <c r="H306" s="316"/>
      <c r="I306" s="316"/>
      <c r="J306" s="316"/>
      <c r="K306" s="316"/>
      <c r="L306" s="316">
        <f>E306-F306-G306-H306-I306-J306</f>
        <v>0</v>
      </c>
      <c r="M306" s="316"/>
      <c r="N306" s="316">
        <f>L306-M306</f>
        <v>0</v>
      </c>
      <c r="O306" s="394"/>
      <c r="P306" s="395"/>
      <c r="Q306" s="71"/>
      <c r="R306" s="86"/>
    </row>
    <row r="307" spans="1:18" ht="13.5" customHeight="1" x14ac:dyDescent="0.25">
      <c r="A307" s="1229"/>
      <c r="B307" s="1230"/>
      <c r="C307" s="1231"/>
      <c r="D307" s="907"/>
      <c r="E307" s="319">
        <f>SUM(E302:E306)</f>
        <v>2.8260000000000001</v>
      </c>
      <c r="F307" s="319">
        <f>SUM(F302:F306)</f>
        <v>0.14130000000000001</v>
      </c>
      <c r="G307" s="319">
        <f>SUM(G302:G306)</f>
        <v>0</v>
      </c>
      <c r="H307" s="319">
        <f>SUM(H302:H305)</f>
        <v>0</v>
      </c>
      <c r="I307" s="319">
        <f>SUM(I302:I305)</f>
        <v>0</v>
      </c>
      <c r="J307" s="319">
        <f>SUM(J302:J306)</f>
        <v>0.21477599999999999</v>
      </c>
      <c r="K307" s="319">
        <f>SUM(K302:K305)</f>
        <v>0</v>
      </c>
      <c r="L307" s="319">
        <f>SUM(L302:L306)</f>
        <v>2.4699239999999998</v>
      </c>
      <c r="M307" s="319">
        <f>SUM(M302:M306)</f>
        <v>0</v>
      </c>
      <c r="N307" s="486">
        <f>SUM(N302:N305)</f>
        <v>2.4699239999999998</v>
      </c>
      <c r="O307" s="394"/>
      <c r="P307" s="395"/>
      <c r="Q307" s="71"/>
      <c r="R307" s="86"/>
    </row>
    <row r="308" spans="1:18" ht="13.5" customHeight="1" x14ac:dyDescent="0.25">
      <c r="A308" s="1092"/>
      <c r="B308" s="1093"/>
      <c r="C308" s="1094"/>
      <c r="D308" s="1091"/>
      <c r="E308" s="319"/>
      <c r="F308" s="319"/>
      <c r="G308" s="319"/>
      <c r="H308" s="319"/>
      <c r="I308" s="319"/>
      <c r="J308" s="319"/>
      <c r="K308" s="319"/>
      <c r="L308" s="319"/>
      <c r="M308" s="319"/>
      <c r="N308" s="319"/>
      <c r="O308" s="394"/>
      <c r="P308" s="395"/>
      <c r="Q308" s="71"/>
      <c r="R308" s="86"/>
    </row>
    <row r="309" spans="1:18" ht="13.5" customHeight="1" x14ac:dyDescent="0.25">
      <c r="A309" s="1229">
        <v>48</v>
      </c>
      <c r="B309" s="1232" t="s">
        <v>815</v>
      </c>
      <c r="C309" s="1233" t="s">
        <v>929</v>
      </c>
      <c r="D309" s="1109">
        <v>1</v>
      </c>
      <c r="E309" s="915">
        <v>0.47555599999999998</v>
      </c>
      <c r="F309" s="915">
        <f>E309*0.05</f>
        <v>2.3777800000000002E-2</v>
      </c>
      <c r="G309" s="915"/>
      <c r="H309" s="915"/>
      <c r="I309" s="915"/>
      <c r="J309" s="915">
        <f>(E309-F309-G309)*0.08</f>
        <v>3.6142255999999998E-2</v>
      </c>
      <c r="K309" s="915"/>
      <c r="L309" s="915">
        <f>E309-F309-G309-H309-I309-J309</f>
        <v>0.41563594399999998</v>
      </c>
      <c r="M309" s="915">
        <v>0</v>
      </c>
      <c r="N309" s="915">
        <f>L309-M309</f>
        <v>0.41563594399999998</v>
      </c>
      <c r="O309" s="394"/>
      <c r="P309" s="395"/>
      <c r="Q309" s="71"/>
      <c r="R309" s="86"/>
    </row>
    <row r="310" spans="1:18" ht="13.5" customHeight="1" x14ac:dyDescent="0.25">
      <c r="A310" s="1229"/>
      <c r="B310" s="1232"/>
      <c r="C310" s="1234"/>
      <c r="D310" s="1109">
        <v>2</v>
      </c>
      <c r="E310" s="910">
        <v>0.20033699999999999</v>
      </c>
      <c r="F310" s="910">
        <f>E310*0.05</f>
        <v>1.0016850000000001E-2</v>
      </c>
      <c r="G310" s="910"/>
      <c r="H310" s="910"/>
      <c r="I310" s="910"/>
      <c r="J310" s="910">
        <f>(E310-F310-G310)*0.08</f>
        <v>1.5225611999999999E-2</v>
      </c>
      <c r="K310" s="910"/>
      <c r="L310" s="910">
        <f>E310-F310-G310-H310-I310-J310</f>
        <v>0.17509453799999999</v>
      </c>
      <c r="M310" s="910">
        <v>0.17499999999999999</v>
      </c>
      <c r="N310" s="910">
        <f>L310-M310</f>
        <v>9.4538000000005118E-5</v>
      </c>
      <c r="O310" s="394">
        <v>201773</v>
      </c>
      <c r="P310" s="395">
        <v>45856</v>
      </c>
      <c r="Q310" s="71"/>
      <c r="R310" s="86"/>
    </row>
    <row r="311" spans="1:18" ht="13.5" customHeight="1" x14ac:dyDescent="0.25">
      <c r="A311" s="1229"/>
      <c r="B311" s="1232"/>
      <c r="C311" s="1234"/>
      <c r="D311" s="1091"/>
      <c r="E311" s="316"/>
      <c r="F311" s="316"/>
      <c r="G311" s="316"/>
      <c r="H311" s="316"/>
      <c r="I311" s="316"/>
      <c r="J311" s="316"/>
      <c r="K311" s="316"/>
      <c r="L311" s="316">
        <f>E311-F311-G311-H311-I311-J311</f>
        <v>0</v>
      </c>
      <c r="M311" s="316"/>
      <c r="N311" s="316">
        <f>L311-M311</f>
        <v>0</v>
      </c>
      <c r="O311" s="394"/>
      <c r="P311" s="395"/>
      <c r="Q311" s="71"/>
      <c r="R311" s="86"/>
    </row>
    <row r="312" spans="1:18" ht="13.5" customHeight="1" x14ac:dyDescent="0.25">
      <c r="A312" s="1229"/>
      <c r="B312" s="1232"/>
      <c r="C312" s="1234"/>
      <c r="D312" s="1091"/>
      <c r="E312" s="316"/>
      <c r="F312" s="316"/>
      <c r="G312" s="316"/>
      <c r="H312" s="316"/>
      <c r="I312" s="316"/>
      <c r="J312" s="316"/>
      <c r="K312" s="316"/>
      <c r="L312" s="316">
        <f>E312-F312-G312-H312-I312-J312</f>
        <v>0</v>
      </c>
      <c r="M312" s="316"/>
      <c r="N312" s="316">
        <f>L312-M312</f>
        <v>0</v>
      </c>
      <c r="O312" s="394"/>
      <c r="P312" s="395"/>
      <c r="Q312" s="71"/>
      <c r="R312" s="86"/>
    </row>
    <row r="313" spans="1:18" ht="13.5" customHeight="1" x14ac:dyDescent="0.25">
      <c r="A313" s="1092"/>
      <c r="B313" s="1232"/>
      <c r="C313" s="1235"/>
      <c r="D313" s="1091"/>
      <c r="E313" s="316"/>
      <c r="F313" s="316"/>
      <c r="G313" s="316"/>
      <c r="H313" s="316"/>
      <c r="I313" s="316"/>
      <c r="J313" s="316"/>
      <c r="K313" s="316"/>
      <c r="L313" s="316">
        <f>E313-F313-G313-H313-I313-J313</f>
        <v>0</v>
      </c>
      <c r="M313" s="316"/>
      <c r="N313" s="316">
        <f>L313-M313</f>
        <v>0</v>
      </c>
      <c r="O313" s="394"/>
      <c r="P313" s="395"/>
      <c r="Q313" s="71"/>
      <c r="R313" s="86"/>
    </row>
    <row r="314" spans="1:18" ht="13.5" customHeight="1" x14ac:dyDescent="0.25">
      <c r="A314" s="1229"/>
      <c r="B314" s="1230"/>
      <c r="C314" s="1231"/>
      <c r="D314" s="1091"/>
      <c r="E314" s="319">
        <f>SUM(E309:E313)</f>
        <v>0.67589299999999997</v>
      </c>
      <c r="F314" s="319">
        <f>SUM(F309:F313)</f>
        <v>3.3794650000000002E-2</v>
      </c>
      <c r="G314" s="319">
        <f>SUM(G309:G313)</f>
        <v>0</v>
      </c>
      <c r="H314" s="319">
        <f>SUM(H309:H312)</f>
        <v>0</v>
      </c>
      <c r="I314" s="319">
        <f>SUM(I309:I312)</f>
        <v>0</v>
      </c>
      <c r="J314" s="319">
        <f>SUM(J309:J313)</f>
        <v>5.1367867999999997E-2</v>
      </c>
      <c r="K314" s="319">
        <f>SUM(K309:K312)</f>
        <v>0</v>
      </c>
      <c r="L314" s="319">
        <f>SUM(L309:L313)</f>
        <v>0.590730482</v>
      </c>
      <c r="M314" s="1118">
        <f>SUM(M309:M313)</f>
        <v>0.17499999999999999</v>
      </c>
      <c r="N314" s="486">
        <f>SUM(N309:N312)</f>
        <v>0.41573048199999996</v>
      </c>
      <c r="O314" s="394"/>
      <c r="P314" s="395"/>
      <c r="Q314" s="71"/>
      <c r="R314" s="86"/>
    </row>
    <row r="315" spans="1:18" ht="13.5" customHeight="1" x14ac:dyDescent="0.25">
      <c r="A315" s="1096"/>
      <c r="B315" s="1097"/>
      <c r="C315" s="1098"/>
      <c r="D315" s="1095"/>
      <c r="E315" s="319"/>
      <c r="F315" s="319"/>
      <c r="G315" s="319"/>
      <c r="H315" s="319"/>
      <c r="I315" s="319"/>
      <c r="J315" s="319"/>
      <c r="K315" s="319"/>
      <c r="L315" s="319"/>
      <c r="M315" s="319"/>
      <c r="N315" s="1108"/>
      <c r="O315" s="394"/>
      <c r="P315" s="395"/>
      <c r="Q315" s="71"/>
      <c r="R315" s="86"/>
    </row>
    <row r="316" spans="1:18" ht="13.5" customHeight="1" x14ac:dyDescent="0.25">
      <c r="A316" s="1229">
        <v>48</v>
      </c>
      <c r="B316" s="1232" t="s">
        <v>920</v>
      </c>
      <c r="C316" s="1233" t="s">
        <v>930</v>
      </c>
      <c r="D316" s="1105">
        <v>1</v>
      </c>
      <c r="E316" s="910">
        <v>7.2880000000000003</v>
      </c>
      <c r="F316" s="910">
        <f>E316*0.05</f>
        <v>0.36440000000000006</v>
      </c>
      <c r="G316" s="910"/>
      <c r="H316" s="910"/>
      <c r="I316" s="910"/>
      <c r="J316" s="910">
        <f>(E316-F316-G316)*0.08</f>
        <v>0.55388800000000005</v>
      </c>
      <c r="K316" s="910"/>
      <c r="L316" s="910">
        <f>E316-F316-G316-H316-I316-J316</f>
        <v>6.3697120000000007</v>
      </c>
      <c r="M316" s="910">
        <v>0</v>
      </c>
      <c r="N316" s="910">
        <f>L316-M316</f>
        <v>6.3697120000000007</v>
      </c>
      <c r="O316" s="394"/>
      <c r="P316" s="395"/>
      <c r="Q316" s="71"/>
      <c r="R316" s="86"/>
    </row>
    <row r="317" spans="1:18" ht="13.5" customHeight="1" x14ac:dyDescent="0.25">
      <c r="A317" s="1229"/>
      <c r="B317" s="1232"/>
      <c r="C317" s="1234"/>
      <c r="D317" s="1109"/>
      <c r="E317" s="915"/>
      <c r="F317" s="915"/>
      <c r="G317" s="915"/>
      <c r="H317" s="915"/>
      <c r="I317" s="915"/>
      <c r="J317" s="915"/>
      <c r="K317" s="915"/>
      <c r="L317" s="915"/>
      <c r="M317" s="915"/>
      <c r="N317" s="915"/>
      <c r="O317" s="394"/>
      <c r="P317" s="395"/>
      <c r="Q317" s="71"/>
      <c r="R317" s="86"/>
    </row>
    <row r="318" spans="1:18" ht="13.5" customHeight="1" x14ac:dyDescent="0.25">
      <c r="A318" s="1229"/>
      <c r="B318" s="1232"/>
      <c r="C318" s="1234"/>
      <c r="D318" s="1095"/>
      <c r="E318" s="316"/>
      <c r="F318" s="316"/>
      <c r="G318" s="316"/>
      <c r="H318" s="316"/>
      <c r="I318" s="316"/>
      <c r="J318" s="316"/>
      <c r="K318" s="316"/>
      <c r="L318" s="316"/>
      <c r="M318" s="316"/>
      <c r="N318" s="316"/>
      <c r="O318" s="394"/>
      <c r="P318" s="395"/>
      <c r="Q318" s="71"/>
      <c r="R318" s="86"/>
    </row>
    <row r="319" spans="1:18" ht="13.5" customHeight="1" x14ac:dyDescent="0.25">
      <c r="A319" s="1229"/>
      <c r="B319" s="1232"/>
      <c r="C319" s="1234"/>
      <c r="D319" s="1095"/>
      <c r="E319" s="316"/>
      <c r="F319" s="316"/>
      <c r="G319" s="316"/>
      <c r="H319" s="316"/>
      <c r="I319" s="316"/>
      <c r="J319" s="316"/>
      <c r="K319" s="316"/>
      <c r="L319" s="316"/>
      <c r="M319" s="316"/>
      <c r="N319" s="316"/>
      <c r="O319" s="394"/>
      <c r="P319" s="395"/>
      <c r="Q319" s="71"/>
      <c r="R319" s="86"/>
    </row>
    <row r="320" spans="1:18" ht="13.5" customHeight="1" x14ac:dyDescent="0.25">
      <c r="A320" s="1096"/>
      <c r="B320" s="1232"/>
      <c r="C320" s="1235"/>
      <c r="D320" s="1095"/>
      <c r="E320" s="316"/>
      <c r="F320" s="316"/>
      <c r="G320" s="316"/>
      <c r="H320" s="316"/>
      <c r="I320" s="316"/>
      <c r="J320" s="316"/>
      <c r="K320" s="316"/>
      <c r="L320" s="316"/>
      <c r="M320" s="316"/>
      <c r="N320" s="316"/>
      <c r="O320" s="394"/>
      <c r="P320" s="395"/>
      <c r="Q320" s="71"/>
      <c r="R320" s="86"/>
    </row>
    <row r="321" spans="1:19" ht="13.5" customHeight="1" x14ac:dyDescent="0.25">
      <c r="A321" s="1229"/>
      <c r="B321" s="1230"/>
      <c r="C321" s="1231"/>
      <c r="D321" s="1095"/>
      <c r="E321" s="319">
        <f>SUM(E316:E320)</f>
        <v>7.2880000000000003</v>
      </c>
      <c r="F321" s="319">
        <f>SUM(F316:F320)</f>
        <v>0.36440000000000006</v>
      </c>
      <c r="G321" s="319">
        <f>SUM(G316:G320)</f>
        <v>0</v>
      </c>
      <c r="H321" s="319">
        <f>SUM(H316:H319)</f>
        <v>0</v>
      </c>
      <c r="I321" s="319">
        <f>SUM(I316:I319)</f>
        <v>0</v>
      </c>
      <c r="J321" s="319">
        <f>SUM(J316:J320)</f>
        <v>0.55388800000000005</v>
      </c>
      <c r="K321" s="319">
        <f>SUM(K316:K319)</f>
        <v>0</v>
      </c>
      <c r="L321" s="319">
        <f>SUM(L316:L320)</f>
        <v>6.3697120000000007</v>
      </c>
      <c r="M321" s="319">
        <f>SUM(M316:M320)</f>
        <v>0</v>
      </c>
      <c r="N321" s="486">
        <f>SUM(N316:N319)</f>
        <v>6.3697120000000007</v>
      </c>
      <c r="O321" s="394"/>
      <c r="P321" s="395"/>
      <c r="Q321" s="71"/>
      <c r="R321" s="86"/>
    </row>
    <row r="322" spans="1:19" ht="33.6" customHeight="1" x14ac:dyDescent="0.25">
      <c r="A322" s="1229"/>
      <c r="B322" s="1230"/>
      <c r="C322" s="1231"/>
      <c r="D322" s="296"/>
      <c r="E322" s="319">
        <f>E13+E18+E24+E30+E38+E45+E52+E58+E74+E78+E93+E99+E64+E86+E105+E111+E116+E126+E131+E137+E142+E121+E147+E154+E161+E168+E174+E180+E186+E192+E198+E204+E210+E216+E222+E228+E234+E240+E246+E252+E258+E264+E270+E276+E282+E288+E301+E307+E294+E314+E321</f>
        <v>430.03879000000006</v>
      </c>
      <c r="F322" s="319">
        <f>F13+F18+F24+F30+F38+F45+F52+F58+F74+F78+F93+F99+F64+F86+F105+F111+F116+F126+F131+F137+F142+F121+F147+F154+F161+F168+F174+F180+F186+F192+F198+F204+F210+F216+F222+F228+F234+F240+F246+F252+F258+F264+F270+F276+F282+F288+F301+F307+F294+F314+F321</f>
        <v>4.1380526500000006</v>
      </c>
      <c r="G322" s="319">
        <f>G13+G18+G24+G30+G38+G45+G52+G58+G74+G78+G93+G99+G64+G86+G105+G111+G116+G126+G131+G137+G142+G121+G147+G154+G161+G168+G174+G180+G186+G192+G198+G204+G210+G216+G222+G228+G234+G240+G246+G252+G258+G264+G270+G276+G282+G288+G301+G307+G294+G314+G321</f>
        <v>68.739745999999997</v>
      </c>
      <c r="H322" s="319">
        <f>H13+H18+H24+H30+H38+H45+H52+H58+H74+H78+H93+H99+H64+H86+H105+H111+H116+H126+H131+H137+H142+H121+H147+H154+H161+H168+H174+H180+H186+H192+H198+H204+H210+H216+H222+H228+H234+H240+H246+H252+H258+H264+H270+H276+H282+H288+H301+H307+H294+H314+H321</f>
        <v>0.753</v>
      </c>
      <c r="I322" s="319">
        <f>I13+I18+I24+I30+I38+I45+I52+I58+I74+I78+I93+I99+I64+I86+I105+I111+I116+I126+I131+I137+I142+I121+I147+I154+I161+I168+I174+I180+I186+I192+I198+I204+I210+I216+I222+I228+I234+I240+I246+I252+I258+I264+I270+I276+I282+I288+I301+I307+I294</f>
        <v>0</v>
      </c>
      <c r="J322" s="319">
        <f>J13+J18+J24+J30+J38+J45+J52+J58+J74+J78+J93+J99+J64+J86+J105+J111+J116+J126+J131+J137+J142+J121+J147+J154+J161+J168+J174+J180+J186+J192+J198+J204+J210+J216+J222+J228+J234+J240+J246+J252+J258+J264+J270+J276+J282+J288+J301+J307+J294+J314+J321</f>
        <v>27.149217056000012</v>
      </c>
      <c r="K322" s="319">
        <f>K13+K18+K24+K30+K38+K45+K52+K58+K74+K78+K93+K99+K64+K86+K105+K111+K116+K126+K131+K137+K142+K121+K147+K154+K161+K168+K174+K180+K186+K192+K198+K204+K210+K216+K222+K228+K234+K240+K246+K252+K258+K264+K270+K276+K282+K288+K301+K307+K294</f>
        <v>0</v>
      </c>
      <c r="L322" s="319">
        <f>L13+L18+L24+L30+L38+L45+L52+L58+L74+L78+L93+L99+L64+L86+L105+L111+L116+L126+L131+L137+L142+L121+L147+L154+L161+L168+L174+L180+L186+L192+L198+L204+L210+L216+L222+L228+L234+L240+L246+L252+L258+L264+L270+L276+L282+L288+L301+L307+L294+L314+L321</f>
        <v>329.26235079399999</v>
      </c>
      <c r="M322" s="319">
        <f>M13+M18+M24+M30+M38+M45+M52+M58+M74+M78+M93+M99+M64+M86+M105+M111+M116+M126+M131+M137+M142+M121+M147+M154+M161+M168+M174+M180+M186+M192+M198+M204+M210+M216+M222+M228+M234+M240+M246+M252+M258+M264+M270+M276+M282+M288+M301+M307+M294+M314+M321</f>
        <v>309.68971735000002</v>
      </c>
      <c r="N322" s="319">
        <f>N13+N18+N24+N30+N38+N45+N52+N58+N74+N78+N93+N99+N64+N86+N105+N111+N116+N126+N131+N137+N142+N121+N147+N154+N161+N168+N174+N180+N186+N192+N198+N204+N210+N216+N222+N228+N234+N240+N246+N252+N258+N264+N270+N276+N282+N288+N301+N307+N294+N314+N321</f>
        <v>18.316087644</v>
      </c>
      <c r="O322" s="390">
        <v>0</v>
      </c>
      <c r="P322" s="390">
        <v>0</v>
      </c>
      <c r="Q322" s="105">
        <f>SUM(Q13:Q146)</f>
        <v>323.90936469999991</v>
      </c>
    </row>
    <row r="323" spans="1:19" ht="33" customHeight="1" x14ac:dyDescent="0.25">
      <c r="A323" s="152"/>
      <c r="B323" s="152"/>
      <c r="C323" s="152"/>
      <c r="D323" s="152"/>
      <c r="E323" s="105">
        <f>E322-'Anx E'!N79</f>
        <v>-17.056366111508453</v>
      </c>
      <c r="F323" s="152"/>
      <c r="G323" s="152"/>
      <c r="H323" s="152"/>
      <c r="I323" s="152"/>
      <c r="J323" s="397"/>
      <c r="K323" s="397"/>
      <c r="L323" s="1117"/>
      <c r="M323" s="397"/>
      <c r="N323" s="397"/>
      <c r="O323" s="398"/>
      <c r="P323" s="399"/>
      <c r="S323" s="67">
        <v>227500</v>
      </c>
    </row>
    <row r="324" spans="1:19" x14ac:dyDescent="0.25">
      <c r="D324" s="148">
        <f>F324*5%</f>
        <v>0.12195</v>
      </c>
      <c r="E324" s="148">
        <f>F324*7%</f>
        <v>0.17073000000000002</v>
      </c>
      <c r="F324" s="148">
        <v>2.4390000000000001</v>
      </c>
      <c r="P324" s="75"/>
    </row>
    <row r="325" spans="1:19" x14ac:dyDescent="0.25">
      <c r="P325" s="75"/>
    </row>
    <row r="326" spans="1:19" x14ac:dyDescent="0.25">
      <c r="D326" s="148">
        <v>0</v>
      </c>
      <c r="E326" s="148">
        <f>'Anx E'!N79-'Anx F Contr '!E322</f>
        <v>17.056366111508453</v>
      </c>
      <c r="N326" s="148">
        <f>L322-M322</f>
        <v>19.572633443999962</v>
      </c>
      <c r="P326" s="75"/>
    </row>
    <row r="327" spans="1:19" x14ac:dyDescent="0.25">
      <c r="E327" s="249">
        <f>E326/'Anx E'!N79</f>
        <v>3.8149297478084244E-2</v>
      </c>
      <c r="L327" s="148">
        <f>E322-F322-G322-H322-J322</f>
        <v>329.25877429400003</v>
      </c>
      <c r="P327" s="75"/>
    </row>
    <row r="328" spans="1:19" x14ac:dyDescent="0.25">
      <c r="P328" s="75"/>
    </row>
    <row r="329" spans="1:19" x14ac:dyDescent="0.25">
      <c r="P329" s="75"/>
    </row>
    <row r="330" spans="1:19" x14ac:dyDescent="0.25">
      <c r="P330" s="75"/>
    </row>
    <row r="331" spans="1:19" x14ac:dyDescent="0.25">
      <c r="P331" s="75"/>
    </row>
    <row r="332" spans="1:19" x14ac:dyDescent="0.25">
      <c r="P332" s="75"/>
    </row>
    <row r="333" spans="1:19" x14ac:dyDescent="0.25">
      <c r="P333" s="75"/>
    </row>
    <row r="334" spans="1:19" x14ac:dyDescent="0.25">
      <c r="P334" s="75"/>
    </row>
    <row r="335" spans="1:19" x14ac:dyDescent="0.25">
      <c r="P335" s="75"/>
    </row>
    <row r="336" spans="1:19" x14ac:dyDescent="0.25">
      <c r="P336" s="75"/>
    </row>
    <row r="337" spans="16:16" x14ac:dyDescent="0.25">
      <c r="P337" s="75"/>
    </row>
    <row r="338" spans="16:16" x14ac:dyDescent="0.25">
      <c r="P338" s="75"/>
    </row>
    <row r="339" spans="16:16" x14ac:dyDescent="0.25">
      <c r="P339" s="75"/>
    </row>
    <row r="340" spans="16:16" x14ac:dyDescent="0.25">
      <c r="P340" s="75"/>
    </row>
    <row r="341" spans="16:16" x14ac:dyDescent="0.25">
      <c r="P341" s="75"/>
    </row>
    <row r="342" spans="16:16" x14ac:dyDescent="0.25">
      <c r="P342" s="75"/>
    </row>
    <row r="343" spans="16:16" x14ac:dyDescent="0.25">
      <c r="P343" s="75"/>
    </row>
    <row r="344" spans="16:16" x14ac:dyDescent="0.25">
      <c r="P344" s="75"/>
    </row>
    <row r="345" spans="16:16" x14ac:dyDescent="0.25">
      <c r="P345" s="75"/>
    </row>
    <row r="346" spans="16:16" x14ac:dyDescent="0.25">
      <c r="P346" s="75"/>
    </row>
    <row r="347" spans="16:16" x14ac:dyDescent="0.25">
      <c r="P347" s="75"/>
    </row>
    <row r="348" spans="16:16" x14ac:dyDescent="0.25">
      <c r="P348" s="75"/>
    </row>
    <row r="349" spans="16:16" x14ac:dyDescent="0.25">
      <c r="P349" s="75"/>
    </row>
    <row r="350" spans="16:16" x14ac:dyDescent="0.25">
      <c r="P350" s="75"/>
    </row>
    <row r="351" spans="16:16" x14ac:dyDescent="0.25">
      <c r="P351" s="75"/>
    </row>
    <row r="352" spans="16:16" x14ac:dyDescent="0.25">
      <c r="P352" s="75"/>
    </row>
    <row r="353" spans="16:16" x14ac:dyDescent="0.25">
      <c r="P353" s="75"/>
    </row>
    <row r="354" spans="16:16" x14ac:dyDescent="0.25">
      <c r="P354" s="75"/>
    </row>
    <row r="355" spans="16:16" x14ac:dyDescent="0.25">
      <c r="P355" s="75"/>
    </row>
    <row r="356" spans="16:16" x14ac:dyDescent="0.25">
      <c r="P356" s="75"/>
    </row>
    <row r="357" spans="16:16" x14ac:dyDescent="0.25">
      <c r="P357" s="75"/>
    </row>
    <row r="358" spans="16:16" x14ac:dyDescent="0.25">
      <c r="P358" s="75"/>
    </row>
    <row r="359" spans="16:16" x14ac:dyDescent="0.25">
      <c r="P359" s="75"/>
    </row>
    <row r="360" spans="16:16" x14ac:dyDescent="0.25">
      <c r="P360" s="75"/>
    </row>
    <row r="361" spans="16:16" x14ac:dyDescent="0.25">
      <c r="P361" s="75"/>
    </row>
    <row r="362" spans="16:16" x14ac:dyDescent="0.25">
      <c r="P362" s="75"/>
    </row>
    <row r="363" spans="16:16" x14ac:dyDescent="0.25">
      <c r="P363" s="75"/>
    </row>
  </sheetData>
  <mergeCells count="200">
    <mergeCell ref="A316:A319"/>
    <mergeCell ref="B316:B320"/>
    <mergeCell ref="C316:C320"/>
    <mergeCell ref="A321:C321"/>
    <mergeCell ref="A309:A312"/>
    <mergeCell ref="B309:B313"/>
    <mergeCell ref="C309:C313"/>
    <mergeCell ref="A314:C314"/>
    <mergeCell ref="A142:C142"/>
    <mergeCell ref="A302:A305"/>
    <mergeCell ref="B302:B306"/>
    <mergeCell ref="C302:C306"/>
    <mergeCell ref="A307:C307"/>
    <mergeCell ref="B143:B146"/>
    <mergeCell ref="C143:C146"/>
    <mergeCell ref="A147:C147"/>
    <mergeCell ref="A148:A151"/>
    <mergeCell ref="A168:C168"/>
    <mergeCell ref="A154:C154"/>
    <mergeCell ref="B148:B152"/>
    <mergeCell ref="C148:C152"/>
    <mergeCell ref="A155:A158"/>
    <mergeCell ref="B155:B159"/>
    <mergeCell ref="C155:C159"/>
    <mergeCell ref="B127:B130"/>
    <mergeCell ref="C127:C130"/>
    <mergeCell ref="A127:A130"/>
    <mergeCell ref="A131:C131"/>
    <mergeCell ref="A133:A136"/>
    <mergeCell ref="B133:B136"/>
    <mergeCell ref="C133:C136"/>
    <mergeCell ref="A137:C137"/>
    <mergeCell ref="A138:A141"/>
    <mergeCell ref="B138:B141"/>
    <mergeCell ref="C138:C141"/>
    <mergeCell ref="A100:A104"/>
    <mergeCell ref="B100:B104"/>
    <mergeCell ref="C100:C104"/>
    <mergeCell ref="B106:B110"/>
    <mergeCell ref="C106:C110"/>
    <mergeCell ref="A106:A110"/>
    <mergeCell ref="A122:A125"/>
    <mergeCell ref="B122:B125"/>
    <mergeCell ref="C122:C125"/>
    <mergeCell ref="A112:A115"/>
    <mergeCell ref="B112:B115"/>
    <mergeCell ref="C112:C115"/>
    <mergeCell ref="A117:A120"/>
    <mergeCell ref="B117:B120"/>
    <mergeCell ref="C117:C120"/>
    <mergeCell ref="A65:A73"/>
    <mergeCell ref="B39:B44"/>
    <mergeCell ref="A59:A63"/>
    <mergeCell ref="B59:B63"/>
    <mergeCell ref="C59:C63"/>
    <mergeCell ref="C65:C73"/>
    <mergeCell ref="A94:A98"/>
    <mergeCell ref="B94:B98"/>
    <mergeCell ref="C94:C98"/>
    <mergeCell ref="C75:C77"/>
    <mergeCell ref="A87:A92"/>
    <mergeCell ref="B87:B92"/>
    <mergeCell ref="C87:C92"/>
    <mergeCell ref="A75:A77"/>
    <mergeCell ref="B75:B77"/>
    <mergeCell ref="C79:C84"/>
    <mergeCell ref="B79:B84"/>
    <mergeCell ref="B19:B23"/>
    <mergeCell ref="C19:C23"/>
    <mergeCell ref="B53:B57"/>
    <mergeCell ref="C53:C57"/>
    <mergeCell ref="C39:C44"/>
    <mergeCell ref="A46:A51"/>
    <mergeCell ref="B46:B51"/>
    <mergeCell ref="C46:C51"/>
    <mergeCell ref="A31:A37"/>
    <mergeCell ref="A39:A44"/>
    <mergeCell ref="A1:P1"/>
    <mergeCell ref="A3:P3"/>
    <mergeCell ref="A4:P4"/>
    <mergeCell ref="O7:O8"/>
    <mergeCell ref="A5:P5"/>
    <mergeCell ref="A7:A8"/>
    <mergeCell ref="C7:C8"/>
    <mergeCell ref="D7:N7"/>
    <mergeCell ref="Q7:Q8"/>
    <mergeCell ref="P7:P8"/>
    <mergeCell ref="B7:B8"/>
    <mergeCell ref="A322:C322"/>
    <mergeCell ref="A9:A12"/>
    <mergeCell ref="A14:A17"/>
    <mergeCell ref="A25:A29"/>
    <mergeCell ref="A99:C99"/>
    <mergeCell ref="A18:C18"/>
    <mergeCell ref="A13:C13"/>
    <mergeCell ref="C25:C29"/>
    <mergeCell ref="B25:B29"/>
    <mergeCell ref="C14:C17"/>
    <mergeCell ref="B14:B17"/>
    <mergeCell ref="C9:C12"/>
    <mergeCell ref="B9:B12"/>
    <mergeCell ref="B65:B73"/>
    <mergeCell ref="A79:A82"/>
    <mergeCell ref="A143:A146"/>
    <mergeCell ref="A19:A23"/>
    <mergeCell ref="A53:A57"/>
    <mergeCell ref="B31:B37"/>
    <mergeCell ref="C31:C37"/>
    <mergeCell ref="A161:C161"/>
    <mergeCell ref="A162:A165"/>
    <mergeCell ref="B162:B166"/>
    <mergeCell ref="C162:C166"/>
    <mergeCell ref="A186:C186"/>
    <mergeCell ref="A169:A172"/>
    <mergeCell ref="B169:B173"/>
    <mergeCell ref="C169:C173"/>
    <mergeCell ref="A174:C174"/>
    <mergeCell ref="A175:A178"/>
    <mergeCell ref="B175:B179"/>
    <mergeCell ref="C175:C179"/>
    <mergeCell ref="A198:C198"/>
    <mergeCell ref="A180:C180"/>
    <mergeCell ref="A181:A184"/>
    <mergeCell ref="B181:B185"/>
    <mergeCell ref="C181:C185"/>
    <mergeCell ref="A199:A202"/>
    <mergeCell ref="B199:B203"/>
    <mergeCell ref="C199:C203"/>
    <mergeCell ref="A204:C204"/>
    <mergeCell ref="A187:A190"/>
    <mergeCell ref="B187:B191"/>
    <mergeCell ref="C187:C191"/>
    <mergeCell ref="A192:C192"/>
    <mergeCell ref="A193:A196"/>
    <mergeCell ref="B193:B197"/>
    <mergeCell ref="C193:C197"/>
    <mergeCell ref="A216:C216"/>
    <mergeCell ref="A217:A220"/>
    <mergeCell ref="B217:B221"/>
    <mergeCell ref="C217:C221"/>
    <mergeCell ref="A222:C222"/>
    <mergeCell ref="A205:A208"/>
    <mergeCell ref="B205:B209"/>
    <mergeCell ref="C205:C209"/>
    <mergeCell ref="A210:C210"/>
    <mergeCell ref="A211:A214"/>
    <mergeCell ref="B211:B215"/>
    <mergeCell ref="C211:C215"/>
    <mergeCell ref="A234:C234"/>
    <mergeCell ref="A235:A238"/>
    <mergeCell ref="B235:B239"/>
    <mergeCell ref="C235:C239"/>
    <mergeCell ref="A240:C240"/>
    <mergeCell ref="A223:A226"/>
    <mergeCell ref="B223:B227"/>
    <mergeCell ref="C223:C227"/>
    <mergeCell ref="A228:C228"/>
    <mergeCell ref="A229:A232"/>
    <mergeCell ref="B229:B233"/>
    <mergeCell ref="C229:C233"/>
    <mergeCell ref="A252:C252"/>
    <mergeCell ref="A253:A256"/>
    <mergeCell ref="B253:B257"/>
    <mergeCell ref="C253:C257"/>
    <mergeCell ref="A258:C258"/>
    <mergeCell ref="A241:A244"/>
    <mergeCell ref="B241:B245"/>
    <mergeCell ref="C241:C245"/>
    <mergeCell ref="A246:C246"/>
    <mergeCell ref="A247:A250"/>
    <mergeCell ref="B247:B251"/>
    <mergeCell ref="C247:C251"/>
    <mergeCell ref="A270:C270"/>
    <mergeCell ref="A271:A274"/>
    <mergeCell ref="B271:B275"/>
    <mergeCell ref="C271:C275"/>
    <mergeCell ref="A276:C276"/>
    <mergeCell ref="A259:A262"/>
    <mergeCell ref="B259:B263"/>
    <mergeCell ref="C259:C263"/>
    <mergeCell ref="A264:C264"/>
    <mergeCell ref="A265:A268"/>
    <mergeCell ref="B265:B269"/>
    <mergeCell ref="C265:C269"/>
    <mergeCell ref="A288:C288"/>
    <mergeCell ref="A289:A292"/>
    <mergeCell ref="B289:B293"/>
    <mergeCell ref="C289:C293"/>
    <mergeCell ref="A301:C301"/>
    <mergeCell ref="A277:A280"/>
    <mergeCell ref="B277:B281"/>
    <mergeCell ref="C277:C281"/>
    <mergeCell ref="A282:C282"/>
    <mergeCell ref="A283:A286"/>
    <mergeCell ref="B283:B287"/>
    <mergeCell ref="C283:C287"/>
    <mergeCell ref="A296:A299"/>
    <mergeCell ref="B296:B300"/>
    <mergeCell ref="C296:C300"/>
    <mergeCell ref="A294:C294"/>
  </mergeCells>
  <printOptions horizontalCentered="1"/>
  <pageMargins left="0.57999999999999996" right="0.17" top="0.27" bottom="0.33" header="0.17" footer="0.18"/>
  <pageSetup paperSize="9" scale="47" orientation="landscape" r:id="rId1"/>
  <headerFooter alignWithMargins="0"/>
  <drawing r:id="rId2"/>
  <legacyDrawing r:id="rId3"/>
  <oleObjects>
    <mc:AlternateContent xmlns:mc="http://schemas.openxmlformats.org/markup-compatibility/2006">
      <mc:Choice Requires="x14">
        <oleObject progId="Word.Picture.8" shapeId="18433" r:id="rId4">
          <objectPr defaultSize="0" autoPict="0" r:id="rId5">
            <anchor moveWithCells="1" sizeWithCells="1">
              <from>
                <xdr:col>0</xdr:col>
                <xdr:colOff>0</xdr:colOff>
                <xdr:row>0</xdr:row>
                <xdr:rowOff>0</xdr:rowOff>
              </from>
              <to>
                <xdr:col>0</xdr:col>
                <xdr:colOff>57150</xdr:colOff>
                <xdr:row>0</xdr:row>
                <xdr:rowOff>76200</xdr:rowOff>
              </to>
            </anchor>
          </objectPr>
        </oleObject>
      </mc:Choice>
      <mc:Fallback>
        <oleObject progId="Word.Picture.8" shapeId="1843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D7464A6-6131-481F-8747-275B4430B3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Sheet1</vt:lpstr>
      <vt:lpstr>Summary</vt:lpstr>
      <vt:lpstr>Anx A</vt:lpstr>
      <vt:lpstr>Anx B</vt:lpstr>
      <vt:lpstr>Anx C </vt:lpstr>
      <vt:lpstr>Consumtion State</vt:lpstr>
      <vt:lpstr>Anx D</vt:lpstr>
      <vt:lpstr>Anx E</vt:lpstr>
      <vt:lpstr>Anx F Contr </vt:lpstr>
      <vt:lpstr>Anx F Petty</vt:lpstr>
      <vt:lpstr>Anx G</vt:lpstr>
      <vt:lpstr>Anx H</vt:lpstr>
      <vt:lpstr>Anx J</vt:lpstr>
      <vt:lpstr>Anx k</vt:lpstr>
      <vt:lpstr>Anx L</vt:lpstr>
      <vt:lpstr>Anx M</vt:lpstr>
      <vt:lpstr>Anx N</vt:lpstr>
      <vt:lpstr>Anx O</vt:lpstr>
      <vt:lpstr>Appx I to Anx A</vt:lpstr>
      <vt:lpstr>w.d detail</vt:lpstr>
      <vt:lpstr>Tax on Jul to Oct-24</vt:lpstr>
      <vt:lpstr>'Anx A'!Print_Area</vt:lpstr>
      <vt:lpstr>'Anx B'!Print_Area</vt:lpstr>
      <vt:lpstr>'Anx C '!Print_Area</vt:lpstr>
      <vt:lpstr>'Anx D'!Print_Area</vt:lpstr>
      <vt:lpstr>'Anx E'!Print_Area</vt:lpstr>
      <vt:lpstr>'Anx F Contr '!Print_Area</vt:lpstr>
      <vt:lpstr>'Anx F Petty'!Print_Area</vt:lpstr>
      <vt:lpstr>'Anx G'!Print_Area</vt:lpstr>
      <vt:lpstr>'Anx H'!Print_Area</vt:lpstr>
      <vt:lpstr>'Anx J'!Print_Area</vt:lpstr>
      <vt:lpstr>'Anx k'!Print_Area</vt:lpstr>
      <vt:lpstr>'Anx L'!Print_Area</vt:lpstr>
      <vt:lpstr>'Anx M'!Print_Area</vt:lpstr>
      <vt:lpstr>'Anx N'!Print_Area</vt:lpstr>
      <vt:lpstr>'Anx O'!Print_Area</vt:lpstr>
      <vt:lpstr>'Appx I to Anx A'!Print_Area</vt:lpstr>
      <vt:lpstr>Summary!Print_Area</vt:lpstr>
      <vt:lpstr>'Anx D'!Print_Titles</vt:lpstr>
      <vt:lpstr>'Anx F Contr '!Print_Titles</vt:lpstr>
      <vt:lpstr>'Appx I to Anx 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2013-04-26T17:08:21Z</cp:lastPrinted>
  <dcterms:created xsi:type="dcterms:W3CDTF">2006-09-16T00:00:00Z</dcterms:created>
  <dcterms:modified xsi:type="dcterms:W3CDTF">2025-08-08T07:14:43Z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{AD7464A6-6131-481F-8747-275B4430B3A2}</vt:lpwstr>
  </property>
</Properties>
</file>